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2\"/>
    </mc:Choice>
  </mc:AlternateContent>
  <xr:revisionPtr revIDLastSave="0" documentId="13_ncr:1_{D7464B70-CC41-4A06-8960-8B9F67A9F6EA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PaymentSummary" sheetId="12" state="hidden" r:id="rId5"/>
    <sheet name="SurtaxPayment" sheetId="17" state="hidden" r:id="rId6"/>
    <sheet name="Data" sheetId="11" state="hidden" r:id="rId7"/>
    <sheet name="Notes" sheetId="10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4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5">SurtaxPayment!$1:$5</definedName>
  </definedNames>
  <calcPr calcId="191029" iterateDelta="0"/>
</workbook>
</file>

<file path=xl/calcChain.xml><?xml version="1.0" encoding="utf-8"?>
<calcChain xmlns="http://schemas.openxmlformats.org/spreadsheetml/2006/main"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E330" i="15" l="1"/>
  <c r="D1" i="15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B17" i="12" l="1"/>
  <c r="B18" i="12"/>
  <c r="B19" i="12"/>
  <c r="B20" i="12"/>
  <c r="B21" i="12"/>
  <c r="B22" i="12"/>
  <c r="B23" i="12"/>
  <c r="B24" i="12"/>
  <c r="B25" i="12"/>
  <c r="B26" i="12" s="1"/>
  <c r="B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C4" i="2"/>
  <c r="B4" i="2"/>
  <c r="A7" i="2"/>
  <c r="A8" i="2"/>
  <c r="A9" i="2"/>
  <c r="A10" i="2"/>
  <c r="A11" i="2"/>
  <c r="F11" i="2" s="1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A26" i="2"/>
  <c r="A27" i="2"/>
  <c r="A28" i="2"/>
  <c r="G28" i="2" s="1"/>
  <c r="A29" i="2"/>
  <c r="A30" i="2"/>
  <c r="A31" i="2"/>
  <c r="A32" i="2"/>
  <c r="A33" i="2"/>
  <c r="A34" i="2"/>
  <c r="A35" i="2"/>
  <c r="F35" i="2" s="1"/>
  <c r="A36" i="2"/>
  <c r="A37" i="2"/>
  <c r="A38" i="2"/>
  <c r="F38" i="2" s="1"/>
  <c r="A39" i="2"/>
  <c r="A40" i="2"/>
  <c r="G40" i="2" s="1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C59" i="2" s="1"/>
  <c r="A60" i="2"/>
  <c r="A61" i="2"/>
  <c r="A62" i="2"/>
  <c r="A63" i="2"/>
  <c r="G63" i="2" s="1"/>
  <c r="A64" i="2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B90" i="2" s="1"/>
  <c r="A91" i="2"/>
  <c r="A92" i="2"/>
  <c r="A93" i="2"/>
  <c r="C93" i="2" s="1"/>
  <c r="A94" i="2"/>
  <c r="A95" i="2"/>
  <c r="A96" i="2"/>
  <c r="A97" i="2"/>
  <c r="A98" i="2"/>
  <c r="A99" i="2"/>
  <c r="A100" i="2"/>
  <c r="A101" i="2"/>
  <c r="A102" i="2"/>
  <c r="G102" i="2" s="1"/>
  <c r="A103" i="2"/>
  <c r="A104" i="2"/>
  <c r="A105" i="2"/>
  <c r="G105" i="2" s="1"/>
  <c r="A106" i="2"/>
  <c r="A107" i="2"/>
  <c r="B107" i="2" s="1"/>
  <c r="A108" i="2"/>
  <c r="A109" i="2"/>
  <c r="A110" i="2"/>
  <c r="A111" i="2"/>
  <c r="A112" i="2"/>
  <c r="A113" i="2"/>
  <c r="A114" i="2"/>
  <c r="B114" i="2" s="1"/>
  <c r="A115" i="2"/>
  <c r="A116" i="2"/>
  <c r="A117" i="2"/>
  <c r="A118" i="2"/>
  <c r="A119" i="2"/>
  <c r="A120" i="2"/>
  <c r="A121" i="2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C130" i="2" s="1"/>
  <c r="A131" i="2"/>
  <c r="C131" i="2" s="1"/>
  <c r="A132" i="2"/>
  <c r="A133" i="2"/>
  <c r="A134" i="2"/>
  <c r="A135" i="2"/>
  <c r="A136" i="2"/>
  <c r="A137" i="2"/>
  <c r="A138" i="2"/>
  <c r="A139" i="2"/>
  <c r="A140" i="2"/>
  <c r="F140" i="2" s="1"/>
  <c r="A141" i="2"/>
  <c r="G141" i="2" s="1"/>
  <c r="A142" i="2"/>
  <c r="A143" i="2"/>
  <c r="A144" i="2"/>
  <c r="B144" i="2" s="1"/>
  <c r="A145" i="2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G154" i="2" s="1"/>
  <c r="A155" i="2"/>
  <c r="F155" i="2" s="1"/>
  <c r="A156" i="2"/>
  <c r="A157" i="2"/>
  <c r="G157" i="2" s="1"/>
  <c r="A158" i="2"/>
  <c r="A159" i="2"/>
  <c r="A160" i="2"/>
  <c r="A161" i="2"/>
  <c r="A162" i="2"/>
  <c r="A163" i="2"/>
  <c r="A164" i="2"/>
  <c r="A165" i="2"/>
  <c r="A166" i="2"/>
  <c r="G166" i="2" s="1"/>
  <c r="A167" i="2"/>
  <c r="A168" i="2"/>
  <c r="A169" i="2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G181" i="2" s="1"/>
  <c r="A182" i="2"/>
  <c r="A183" i="2"/>
  <c r="A184" i="2"/>
  <c r="G184" i="2" s="1"/>
  <c r="A185" i="2"/>
  <c r="A186" i="2"/>
  <c r="A187" i="2"/>
  <c r="A188" i="2"/>
  <c r="A189" i="2"/>
  <c r="A190" i="2"/>
  <c r="A191" i="2"/>
  <c r="G191" i="2" s="1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G205" i="2" s="1"/>
  <c r="A206" i="2"/>
  <c r="A207" i="2"/>
  <c r="G207" i="2" s="1"/>
  <c r="A208" i="2"/>
  <c r="A209" i="2"/>
  <c r="A210" i="2"/>
  <c r="B210" i="2" s="1"/>
  <c r="A211" i="2"/>
  <c r="G211" i="2" s="1"/>
  <c r="A212" i="2"/>
  <c r="F212" i="2" s="1"/>
  <c r="A213" i="2"/>
  <c r="A214" i="2"/>
  <c r="A215" i="2"/>
  <c r="A216" i="2"/>
  <c r="A217" i="2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C229" i="2" s="1"/>
  <c r="A230" i="2"/>
  <c r="A231" i="2"/>
  <c r="A232" i="2"/>
  <c r="G232" i="2" s="1"/>
  <c r="A233" i="2"/>
  <c r="A234" i="2"/>
  <c r="A235" i="2"/>
  <c r="A236" i="2"/>
  <c r="A237" i="2"/>
  <c r="G237" i="2" s="1"/>
  <c r="A238" i="2"/>
  <c r="A239" i="2"/>
  <c r="A240" i="2"/>
  <c r="A241" i="2"/>
  <c r="A242" i="2"/>
  <c r="A243" i="2"/>
  <c r="E243" i="2" s="1"/>
  <c r="A244" i="2"/>
  <c r="C244" i="2" s="1"/>
  <c r="A245" i="2"/>
  <c r="A246" i="2"/>
  <c r="G246" i="2" s="1"/>
  <c r="A247" i="2"/>
  <c r="A248" i="2"/>
  <c r="A249" i="2"/>
  <c r="A250" i="2"/>
  <c r="A251" i="2"/>
  <c r="A252" i="2"/>
  <c r="A253" i="2"/>
  <c r="A254" i="2"/>
  <c r="A255" i="2"/>
  <c r="A256" i="2"/>
  <c r="A257" i="2"/>
  <c r="A258" i="2"/>
  <c r="B258" i="2" s="1"/>
  <c r="A259" i="2"/>
  <c r="A260" i="2"/>
  <c r="G260" i="2" s="1"/>
  <c r="A261" i="2"/>
  <c r="A262" i="2"/>
  <c r="A263" i="2"/>
  <c r="A264" i="2"/>
  <c r="A265" i="2"/>
  <c r="A266" i="2"/>
  <c r="A267" i="2"/>
  <c r="E267" i="2" s="1"/>
  <c r="A268" i="2"/>
  <c r="G268" i="2" s="1"/>
  <c r="A269" i="2"/>
  <c r="G269" i="2" s="1"/>
  <c r="A270" i="2"/>
  <c r="A271" i="2"/>
  <c r="A272" i="2"/>
  <c r="A273" i="2"/>
  <c r="G273" i="2" s="1"/>
  <c r="A274" i="2"/>
  <c r="B274" i="2" s="1"/>
  <c r="A275" i="2"/>
  <c r="A276" i="2"/>
  <c r="A277" i="2"/>
  <c r="C277" i="2" s="1"/>
  <c r="A278" i="2"/>
  <c r="A279" i="2"/>
  <c r="A280" i="2"/>
  <c r="G280" i="2" s="1"/>
  <c r="A281" i="2"/>
  <c r="A282" i="2"/>
  <c r="B282" i="2" s="1"/>
  <c r="A283" i="2"/>
  <c r="G283" i="2" s="1"/>
  <c r="A284" i="2"/>
  <c r="A285" i="2"/>
  <c r="G285" i="2" s="1"/>
  <c r="A286" i="2"/>
  <c r="A287" i="2"/>
  <c r="A288" i="2"/>
  <c r="A289" i="2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G325" i="2" s="1"/>
  <c r="A326" i="2"/>
  <c r="A327" i="2"/>
  <c r="A328" i="2"/>
  <c r="G328" i="2" s="1"/>
  <c r="A329" i="2"/>
  <c r="C329" i="2" s="1"/>
  <c r="A330" i="2"/>
  <c r="C330" i="2" s="1"/>
  <c r="A331" i="2"/>
  <c r="A332" i="2"/>
  <c r="A6" i="2"/>
  <c r="B4" i="1"/>
  <c r="B129" i="1" s="1"/>
  <c r="A7" i="1"/>
  <c r="A8" i="1"/>
  <c r="A9" i="1"/>
  <c r="A10" i="1"/>
  <c r="C10" i="1" s="1"/>
  <c r="A11" i="1"/>
  <c r="C11" i="1" s="1"/>
  <c r="A12" i="1"/>
  <c r="D12" i="1" s="1"/>
  <c r="A13" i="1"/>
  <c r="C13" i="1" s="1"/>
  <c r="A14" i="1"/>
  <c r="A15" i="1"/>
  <c r="A16" i="1"/>
  <c r="A17" i="1"/>
  <c r="A18" i="1"/>
  <c r="A19" i="1"/>
  <c r="A20" i="1"/>
  <c r="A21" i="1"/>
  <c r="B21" i="1" s="1"/>
  <c r="A22" i="1"/>
  <c r="A23" i="1"/>
  <c r="A24" i="1"/>
  <c r="A25" i="1"/>
  <c r="A26" i="1"/>
  <c r="A27" i="1"/>
  <c r="A28" i="1"/>
  <c r="D28" i="1" s="1"/>
  <c r="A29" i="1"/>
  <c r="A30" i="1"/>
  <c r="A31" i="1"/>
  <c r="A32" i="1"/>
  <c r="A33" i="1"/>
  <c r="A34" i="1"/>
  <c r="C34" i="1" s="1"/>
  <c r="A35" i="1"/>
  <c r="A36" i="1"/>
  <c r="C36" i="1" s="1"/>
  <c r="A37" i="1"/>
  <c r="A38" i="1"/>
  <c r="C38" i="1" s="1"/>
  <c r="A39" i="1"/>
  <c r="A40" i="1"/>
  <c r="A41" i="1"/>
  <c r="A42" i="1"/>
  <c r="C42" i="1" s="1"/>
  <c r="A43" i="1"/>
  <c r="C43" i="1" s="1"/>
  <c r="A44" i="1"/>
  <c r="C44" i="1" s="1"/>
  <c r="A45" i="1"/>
  <c r="A46" i="1"/>
  <c r="A47" i="1"/>
  <c r="A48" i="1"/>
  <c r="B48" i="1" s="1"/>
  <c r="A49" i="1"/>
  <c r="A50" i="1"/>
  <c r="C50" i="1" s="1"/>
  <c r="A51" i="1"/>
  <c r="B51" i="1" s="1"/>
  <c r="A52" i="1"/>
  <c r="C52" i="1" s="1"/>
  <c r="A53" i="1"/>
  <c r="C53" i="1" s="1"/>
  <c r="A54" i="1"/>
  <c r="B54" i="1" s="1"/>
  <c r="A55" i="1"/>
  <c r="A56" i="1"/>
  <c r="A57" i="1"/>
  <c r="A58" i="1"/>
  <c r="C58" i="1" s="1"/>
  <c r="A59" i="1"/>
  <c r="B59" i="1" s="1"/>
  <c r="A60" i="1"/>
  <c r="B60" i="1" s="1"/>
  <c r="A61" i="1"/>
  <c r="A62" i="1"/>
  <c r="C62" i="1" s="1"/>
  <c r="A63" i="1"/>
  <c r="A64" i="1"/>
  <c r="C64" i="1" s="1"/>
  <c r="A65" i="1"/>
  <c r="A66" i="1"/>
  <c r="B66" i="1" s="1"/>
  <c r="A67" i="1"/>
  <c r="A68" i="1"/>
  <c r="C68" i="1" s="1"/>
  <c r="A69" i="1"/>
  <c r="A70" i="1"/>
  <c r="C70" i="1" s="1"/>
  <c r="A71" i="1"/>
  <c r="A72" i="1"/>
  <c r="C72" i="1" s="1"/>
  <c r="A73" i="1"/>
  <c r="A74" i="1"/>
  <c r="C74" i="1" s="1"/>
  <c r="A75" i="1"/>
  <c r="D75" i="1" s="1"/>
  <c r="A76" i="1"/>
  <c r="D76" i="1" s="1"/>
  <c r="A77" i="1"/>
  <c r="C77" i="1" s="1"/>
  <c r="A78" i="1"/>
  <c r="B78" i="1" s="1"/>
  <c r="A79" i="1"/>
  <c r="A80" i="1"/>
  <c r="A81" i="1"/>
  <c r="A82" i="1"/>
  <c r="A83" i="1"/>
  <c r="A84" i="1"/>
  <c r="A85" i="1"/>
  <c r="C85" i="1" s="1"/>
  <c r="A86" i="1"/>
  <c r="A87" i="1"/>
  <c r="A88" i="1"/>
  <c r="A89" i="1"/>
  <c r="A90" i="1"/>
  <c r="A91" i="1"/>
  <c r="C91" i="1" s="1"/>
  <c r="A92" i="1"/>
  <c r="A93" i="1"/>
  <c r="D93" i="1" s="1"/>
  <c r="A94" i="1"/>
  <c r="C94" i="1" s="1"/>
  <c r="A95" i="1"/>
  <c r="A96" i="1"/>
  <c r="B96" i="1" s="1"/>
  <c r="A97" i="1"/>
  <c r="A98" i="1"/>
  <c r="C98" i="1" s="1"/>
  <c r="A99" i="1"/>
  <c r="B99" i="1" s="1"/>
  <c r="A100" i="1"/>
  <c r="C100" i="1" s="1"/>
  <c r="A101" i="1"/>
  <c r="A102" i="1"/>
  <c r="B102" i="1" s="1"/>
  <c r="A103" i="1"/>
  <c r="A104" i="1"/>
  <c r="A105" i="1"/>
  <c r="A106" i="1"/>
  <c r="A107" i="1"/>
  <c r="C107" i="1" s="1"/>
  <c r="A108" i="1"/>
  <c r="A109" i="1"/>
  <c r="D109" i="1" s="1"/>
  <c r="A110" i="1"/>
  <c r="A111" i="1"/>
  <c r="A112" i="1"/>
  <c r="C112" i="1" s="1"/>
  <c r="A113" i="1"/>
  <c r="A114" i="1"/>
  <c r="A115" i="1"/>
  <c r="C115" i="1" s="1"/>
  <c r="A116" i="1"/>
  <c r="A117" i="1"/>
  <c r="A118" i="1"/>
  <c r="A119" i="1"/>
  <c r="A120" i="1"/>
  <c r="C120" i="1" s="1"/>
  <c r="A121" i="1"/>
  <c r="A122" i="1"/>
  <c r="A123" i="1"/>
  <c r="A124" i="1"/>
  <c r="A125" i="1"/>
  <c r="A126" i="1"/>
  <c r="C126" i="1" s="1"/>
  <c r="A127" i="1"/>
  <c r="A128" i="1"/>
  <c r="A129" i="1"/>
  <c r="A130" i="1"/>
  <c r="A131" i="1"/>
  <c r="C131" i="1" s="1"/>
  <c r="A132" i="1"/>
  <c r="A133" i="1"/>
  <c r="C133" i="1" s="1"/>
  <c r="A134" i="1"/>
  <c r="A135" i="1"/>
  <c r="A136" i="1"/>
  <c r="C136" i="1" s="1"/>
  <c r="A137" i="1"/>
  <c r="A138" i="1"/>
  <c r="A139" i="1"/>
  <c r="D139" i="1" s="1"/>
  <c r="A140" i="1"/>
  <c r="A141" i="1"/>
  <c r="A142" i="1"/>
  <c r="C142" i="1" s="1"/>
  <c r="A143" i="1"/>
  <c r="A144" i="1"/>
  <c r="D144" i="1" s="1"/>
  <c r="A145" i="1"/>
  <c r="A146" i="1"/>
  <c r="A147" i="1"/>
  <c r="A148" i="1"/>
  <c r="C148" i="1" s="1"/>
  <c r="A149" i="1"/>
  <c r="C149" i="1" s="1"/>
  <c r="A150" i="1"/>
  <c r="A151" i="1"/>
  <c r="A152" i="1"/>
  <c r="A153" i="1"/>
  <c r="A154" i="1"/>
  <c r="C154" i="1" s="1"/>
  <c r="A155" i="1"/>
  <c r="A156" i="1"/>
  <c r="C156" i="1" s="1"/>
  <c r="A157" i="1"/>
  <c r="A158" i="1"/>
  <c r="A159" i="1"/>
  <c r="A160" i="1"/>
  <c r="C160" i="1" s="1"/>
  <c r="A161" i="1"/>
  <c r="A162" i="1"/>
  <c r="A163" i="1"/>
  <c r="A164" i="1"/>
  <c r="A165" i="1"/>
  <c r="A166" i="1"/>
  <c r="A167" i="1"/>
  <c r="A168" i="1"/>
  <c r="A169" i="1"/>
  <c r="A170" i="1"/>
  <c r="A171" i="1"/>
  <c r="A172" i="1"/>
  <c r="D172" i="1" s="1"/>
  <c r="A173" i="1"/>
  <c r="C173" i="1" s="1"/>
  <c r="A174" i="1"/>
  <c r="B174" i="1" s="1"/>
  <c r="A175" i="1"/>
  <c r="A176" i="1"/>
  <c r="A177" i="1"/>
  <c r="A178" i="1"/>
  <c r="C178" i="1" s="1"/>
  <c r="A179" i="1"/>
  <c r="A180" i="1"/>
  <c r="A181" i="1"/>
  <c r="A182" i="1"/>
  <c r="C182" i="1" s="1"/>
  <c r="A183" i="1"/>
  <c r="A184" i="1"/>
  <c r="A185" i="1"/>
  <c r="A186" i="1"/>
  <c r="A187" i="1"/>
  <c r="A188" i="1"/>
  <c r="A189" i="1"/>
  <c r="A190" i="1"/>
  <c r="A191" i="1"/>
  <c r="A192" i="1"/>
  <c r="B192" i="1" s="1"/>
  <c r="A193" i="1"/>
  <c r="A194" i="1"/>
  <c r="B194" i="1" s="1"/>
  <c r="A195" i="1"/>
  <c r="B195" i="1" s="1"/>
  <c r="A196" i="1"/>
  <c r="A197" i="1"/>
  <c r="C197" i="1" s="1"/>
  <c r="A198" i="1"/>
  <c r="C198" i="1" s="1"/>
  <c r="A199" i="1"/>
  <c r="A200" i="1"/>
  <c r="A201" i="1"/>
  <c r="A202" i="1"/>
  <c r="A203" i="1"/>
  <c r="C203" i="1" s="1"/>
  <c r="A204" i="1"/>
  <c r="C204" i="1" s="1"/>
  <c r="A205" i="1"/>
  <c r="A206" i="1"/>
  <c r="A207" i="1"/>
  <c r="A208" i="1"/>
  <c r="A209" i="1"/>
  <c r="A210" i="1"/>
  <c r="B210" i="1" s="1"/>
  <c r="A211" i="1"/>
  <c r="A212" i="1"/>
  <c r="C212" i="1" s="1"/>
  <c r="A213" i="1"/>
  <c r="A214" i="1"/>
  <c r="C214" i="1" s="1"/>
  <c r="A215" i="1"/>
  <c r="A216" i="1"/>
  <c r="B216" i="1" s="1"/>
  <c r="A217" i="1"/>
  <c r="A218" i="1"/>
  <c r="A219" i="1"/>
  <c r="A220" i="1"/>
  <c r="A221" i="1"/>
  <c r="C221" i="1" s="1"/>
  <c r="A222" i="1"/>
  <c r="A223" i="1"/>
  <c r="A224" i="1"/>
  <c r="A225" i="1"/>
  <c r="A226" i="1"/>
  <c r="C226" i="1" s="1"/>
  <c r="A227" i="1"/>
  <c r="A228" i="1"/>
  <c r="A229" i="1"/>
  <c r="A230" i="1"/>
  <c r="A231" i="1"/>
  <c r="A232" i="1"/>
  <c r="C232" i="1" s="1"/>
  <c r="A233" i="1"/>
  <c r="A234" i="1"/>
  <c r="A235" i="1"/>
  <c r="A236" i="1"/>
  <c r="A237" i="1"/>
  <c r="C237" i="1" s="1"/>
  <c r="A238" i="1"/>
  <c r="A239" i="1"/>
  <c r="A240" i="1"/>
  <c r="C240" i="1" s="1"/>
  <c r="A241" i="1"/>
  <c r="A242" i="1"/>
  <c r="A243" i="1"/>
  <c r="B243" i="1" s="1"/>
  <c r="A244" i="1"/>
  <c r="C244" i="1" s="1"/>
  <c r="A245" i="1"/>
  <c r="A246" i="1"/>
  <c r="C246" i="1" s="1"/>
  <c r="A247" i="1"/>
  <c r="A248" i="1"/>
  <c r="C248" i="1" s="1"/>
  <c r="A249" i="1"/>
  <c r="A250" i="1"/>
  <c r="B250" i="1" s="1"/>
  <c r="A251" i="1"/>
  <c r="C251" i="1" s="1"/>
  <c r="A252" i="1"/>
  <c r="A253" i="1"/>
  <c r="C253" i="1" s="1"/>
  <c r="A254" i="1"/>
  <c r="A255" i="1"/>
  <c r="A256" i="1"/>
  <c r="C256" i="1" s="1"/>
  <c r="A257" i="1"/>
  <c r="A258" i="1"/>
  <c r="A259" i="1"/>
  <c r="D259" i="1" s="1"/>
  <c r="A260" i="1"/>
  <c r="A261" i="1"/>
  <c r="C261" i="1" s="1"/>
  <c r="A262" i="1"/>
  <c r="A263" i="1"/>
  <c r="A264" i="1"/>
  <c r="A265" i="1"/>
  <c r="A266" i="1"/>
  <c r="A267" i="1"/>
  <c r="C267" i="1" s="1"/>
  <c r="A268" i="1"/>
  <c r="C268" i="1" s="1"/>
  <c r="A269" i="1"/>
  <c r="A270" i="1"/>
  <c r="A271" i="1"/>
  <c r="A272" i="1"/>
  <c r="A273" i="1"/>
  <c r="A274" i="1"/>
  <c r="A275" i="1"/>
  <c r="C275" i="1" s="1"/>
  <c r="A276" i="1"/>
  <c r="D276" i="1" s="1"/>
  <c r="A277" i="1"/>
  <c r="A278" i="1"/>
  <c r="A279" i="1"/>
  <c r="A280" i="1"/>
  <c r="C280" i="1" s="1"/>
  <c r="A281" i="1"/>
  <c r="A282" i="1"/>
  <c r="A283" i="1"/>
  <c r="C283" i="1" s="1"/>
  <c r="A284" i="1"/>
  <c r="A285" i="1"/>
  <c r="A286" i="1"/>
  <c r="A287" i="1"/>
  <c r="A288" i="1"/>
  <c r="A289" i="1"/>
  <c r="A290" i="1"/>
  <c r="C290" i="1" s="1"/>
  <c r="A291" i="1"/>
  <c r="D291" i="1" s="1"/>
  <c r="A292" i="1"/>
  <c r="A293" i="1"/>
  <c r="A294" i="1"/>
  <c r="A295" i="1"/>
  <c r="A296" i="1"/>
  <c r="C296" i="1" s="1"/>
  <c r="A297" i="1"/>
  <c r="A298" i="1"/>
  <c r="A299" i="1"/>
  <c r="B299" i="1" s="1"/>
  <c r="A300" i="1"/>
  <c r="C300" i="1" s="1"/>
  <c r="A301" i="1"/>
  <c r="C301" i="1" s="1"/>
  <c r="A302" i="1"/>
  <c r="A303" i="1"/>
  <c r="A304" i="1"/>
  <c r="A305" i="1"/>
  <c r="A306" i="1"/>
  <c r="B306" i="1" s="1"/>
  <c r="A307" i="1"/>
  <c r="B307" i="1" s="1"/>
  <c r="A308" i="1"/>
  <c r="A309" i="1"/>
  <c r="A310" i="1"/>
  <c r="C310" i="1" s="1"/>
  <c r="A311" i="1"/>
  <c r="A312" i="1"/>
  <c r="D312" i="1" s="1"/>
  <c r="A313" i="1"/>
  <c r="A314" i="1"/>
  <c r="C314" i="1" s="1"/>
  <c r="A315" i="1"/>
  <c r="A316" i="1"/>
  <c r="A317" i="1"/>
  <c r="A318" i="1"/>
  <c r="A319" i="1"/>
  <c r="A320" i="1"/>
  <c r="C320" i="1" s="1"/>
  <c r="A321" i="1"/>
  <c r="A322" i="1"/>
  <c r="C322" i="1" s="1"/>
  <c r="A323" i="1"/>
  <c r="B323" i="1" s="1"/>
  <c r="A324" i="1"/>
  <c r="C324" i="1" s="1"/>
  <c r="A325" i="1"/>
  <c r="A326" i="1"/>
  <c r="A327" i="1"/>
  <c r="A328" i="1"/>
  <c r="C328" i="1" s="1"/>
  <c r="A329" i="1"/>
  <c r="A330" i="1"/>
  <c r="D330" i="1" s="1"/>
  <c r="A331" i="1"/>
  <c r="A332" i="1"/>
  <c r="C332" i="1" s="1"/>
  <c r="A6" i="1"/>
  <c r="F4" i="1"/>
  <c r="E4" i="1"/>
  <c r="D4" i="1"/>
  <c r="D87" i="1" s="1"/>
  <c r="C4" i="1"/>
  <c r="G215" i="2"/>
  <c r="G250" i="2"/>
  <c r="C202" i="2"/>
  <c r="G329" i="2"/>
  <c r="E329" i="2"/>
  <c r="C325" i="2"/>
  <c r="C317" i="2"/>
  <c r="G313" i="2"/>
  <c r="C313" i="2"/>
  <c r="G305" i="2"/>
  <c r="C305" i="2"/>
  <c r="G301" i="2"/>
  <c r="G289" i="2"/>
  <c r="C289" i="2"/>
  <c r="G281" i="2"/>
  <c r="G277" i="2"/>
  <c r="G265" i="2"/>
  <c r="C265" i="2"/>
  <c r="G253" i="2"/>
  <c r="C245" i="2"/>
  <c r="G241" i="2"/>
  <c r="C241" i="2"/>
  <c r="G229" i="2"/>
  <c r="G221" i="2"/>
  <c r="C221" i="2"/>
  <c r="G217" i="2"/>
  <c r="C217" i="2"/>
  <c r="G209" i="2"/>
  <c r="C209" i="2"/>
  <c r="G197" i="2"/>
  <c r="G193" i="2"/>
  <c r="C193" i="2"/>
  <c r="B193" i="2"/>
  <c r="G185" i="2"/>
  <c r="C185" i="2"/>
  <c r="G173" i="2"/>
  <c r="C173" i="2"/>
  <c r="G169" i="2"/>
  <c r="C169" i="2"/>
  <c r="G161" i="2"/>
  <c r="C161" i="2"/>
  <c r="C149" i="2"/>
  <c r="G145" i="2"/>
  <c r="C145" i="2"/>
  <c r="E141" i="2"/>
  <c r="G137" i="2"/>
  <c r="C137" i="2"/>
  <c r="G133" i="2"/>
  <c r="C133" i="2"/>
  <c r="G125" i="2"/>
  <c r="G121" i="2"/>
  <c r="G109" i="2"/>
  <c r="C101" i="2"/>
  <c r="G97" i="2"/>
  <c r="E93" i="2"/>
  <c r="G89" i="2"/>
  <c r="G85" i="2"/>
  <c r="C77" i="2"/>
  <c r="G73" i="2"/>
  <c r="C69" i="2"/>
  <c r="G65" i="2"/>
  <c r="G61" i="2"/>
  <c r="C53" i="2"/>
  <c r="G49" i="2"/>
  <c r="G41" i="2"/>
  <c r="G37" i="2"/>
  <c r="G33" i="2"/>
  <c r="G25" i="2"/>
  <c r="C25" i="2"/>
  <c r="D17" i="2"/>
  <c r="G13" i="2"/>
  <c r="C13" i="2"/>
  <c r="B115" i="2"/>
  <c r="C280" i="2"/>
  <c r="G208" i="2"/>
  <c r="C208" i="2"/>
  <c r="D196" i="2"/>
  <c r="G160" i="2"/>
  <c r="G136" i="2"/>
  <c r="C104" i="2"/>
  <c r="D92" i="2"/>
  <c r="C88" i="2"/>
  <c r="B88" i="2"/>
  <c r="F64" i="2"/>
  <c r="C40" i="2"/>
  <c r="D40" i="2"/>
  <c r="C32" i="2"/>
  <c r="G16" i="2"/>
  <c r="C8" i="2"/>
  <c r="G319" i="2"/>
  <c r="F319" i="2"/>
  <c r="C319" i="2"/>
  <c r="G311" i="2"/>
  <c r="C311" i="2"/>
  <c r="G235" i="2"/>
  <c r="C235" i="2"/>
  <c r="G179" i="2"/>
  <c r="G175" i="2"/>
  <c r="G167" i="2"/>
  <c r="G163" i="2"/>
  <c r="F163" i="2"/>
  <c r="G155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G103" i="2"/>
  <c r="F103" i="2"/>
  <c r="G95" i="2"/>
  <c r="F95" i="2"/>
  <c r="G91" i="2"/>
  <c r="F91" i="2"/>
  <c r="G83" i="2"/>
  <c r="F83" i="2"/>
  <c r="F79" i="2"/>
  <c r="G79" i="2"/>
  <c r="G71" i="2"/>
  <c r="F71" i="2"/>
  <c r="F67" i="2"/>
  <c r="G67" i="2"/>
  <c r="G59" i="2"/>
  <c r="F59" i="2"/>
  <c r="G55" i="2"/>
  <c r="F55" i="2"/>
  <c r="G47" i="2"/>
  <c r="F47" i="2"/>
  <c r="G43" i="2"/>
  <c r="F43" i="2"/>
  <c r="F39" i="2"/>
  <c r="G35" i="2"/>
  <c r="G31" i="2"/>
  <c r="F31" i="2"/>
  <c r="E27" i="2"/>
  <c r="G23" i="2"/>
  <c r="F23" i="2"/>
  <c r="G19" i="2"/>
  <c r="F19" i="2"/>
  <c r="F15" i="2"/>
  <c r="G11" i="2"/>
  <c r="G7" i="2"/>
  <c r="F7" i="2"/>
  <c r="C179" i="2"/>
  <c r="C163" i="2"/>
  <c r="C115" i="2"/>
  <c r="C67" i="2"/>
  <c r="C35" i="2"/>
  <c r="C19" i="2"/>
  <c r="D91" i="2"/>
  <c r="C167" i="2"/>
  <c r="C151" i="2"/>
  <c r="C119" i="2"/>
  <c r="C103" i="2"/>
  <c r="C71" i="2"/>
  <c r="C55" i="2"/>
  <c r="C23" i="2"/>
  <c r="C7" i="2"/>
  <c r="D175" i="2"/>
  <c r="C155" i="2"/>
  <c r="C139" i="2"/>
  <c r="C107" i="2"/>
  <c r="C91" i="2"/>
  <c r="C43" i="2"/>
  <c r="C175" i="2"/>
  <c r="C143" i="2"/>
  <c r="C127" i="2"/>
  <c r="C95" i="2"/>
  <c r="C79" i="2"/>
  <c r="C47" i="2"/>
  <c r="C31" i="2"/>
  <c r="D103" i="2"/>
  <c r="D71" i="2"/>
  <c r="B267" i="1"/>
  <c r="C247" i="1"/>
  <c r="B247" i="1"/>
  <c r="C199" i="1"/>
  <c r="B199" i="1"/>
  <c r="C103" i="1"/>
  <c r="C6" i="1"/>
  <c r="C327" i="1"/>
  <c r="B327" i="1"/>
  <c r="C279" i="1"/>
  <c r="B279" i="1"/>
  <c r="D231" i="1"/>
  <c r="C231" i="1"/>
  <c r="C223" i="1"/>
  <c r="D203" i="1"/>
  <c r="C187" i="1"/>
  <c r="B187" i="1"/>
  <c r="C175" i="1"/>
  <c r="C151" i="1"/>
  <c r="B151" i="1"/>
  <c r="C123" i="1"/>
  <c r="B115" i="1"/>
  <c r="C87" i="1"/>
  <c r="B87" i="1"/>
  <c r="C79" i="1"/>
  <c r="C63" i="1"/>
  <c r="C55" i="1"/>
  <c r="C39" i="1"/>
  <c r="B39" i="1"/>
  <c r="C31" i="1"/>
  <c r="B31" i="1"/>
  <c r="C19" i="1"/>
  <c r="B19" i="1"/>
  <c r="C15" i="1"/>
  <c r="B15" i="1"/>
  <c r="C7" i="1"/>
  <c r="B7" i="1"/>
  <c r="C90" i="1"/>
  <c r="B90" i="1"/>
  <c r="C78" i="1"/>
  <c r="C66" i="1"/>
  <c r="C54" i="1"/>
  <c r="B46" i="1"/>
  <c r="B42" i="1"/>
  <c r="C30" i="1"/>
  <c r="B30" i="1"/>
  <c r="B22" i="1"/>
  <c r="B6" i="1"/>
  <c r="C295" i="1"/>
  <c r="C271" i="1"/>
  <c r="B271" i="1"/>
  <c r="C255" i="1"/>
  <c r="C243" i="1"/>
  <c r="C235" i="1"/>
  <c r="C207" i="1"/>
  <c r="C191" i="1"/>
  <c r="D183" i="1"/>
  <c r="C183" i="1"/>
  <c r="D159" i="1"/>
  <c r="C159" i="1"/>
  <c r="D147" i="1"/>
  <c r="C147" i="1"/>
  <c r="B147" i="1"/>
  <c r="C135" i="1"/>
  <c r="C127" i="1"/>
  <c r="B127" i="1"/>
  <c r="C111" i="1"/>
  <c r="D99" i="1"/>
  <c r="C99" i="1"/>
  <c r="D91" i="1"/>
  <c r="C75" i="1"/>
  <c r="D67" i="1"/>
  <c r="C67" i="1"/>
  <c r="C51" i="1"/>
  <c r="B43" i="1"/>
  <c r="C27" i="1"/>
  <c r="B27" i="1"/>
  <c r="D11" i="1"/>
  <c r="C306" i="1"/>
  <c r="C234" i="1"/>
  <c r="C222" i="1"/>
  <c r="D210" i="1"/>
  <c r="C210" i="1"/>
  <c r="C186" i="1"/>
  <c r="C174" i="1"/>
  <c r="C162" i="1"/>
  <c r="C150" i="1"/>
  <c r="D138" i="1"/>
  <c r="C138" i="1"/>
  <c r="C114" i="1"/>
  <c r="C102" i="1"/>
  <c r="D82" i="1"/>
  <c r="C325" i="1"/>
  <c r="D317" i="1"/>
  <c r="D301" i="1"/>
  <c r="D237" i="1"/>
  <c r="B286" i="1"/>
  <c r="B222" i="1"/>
  <c r="C331" i="1"/>
  <c r="D319" i="1"/>
  <c r="C319" i="1"/>
  <c r="B319" i="1"/>
  <c r="C303" i="1"/>
  <c r="D287" i="1"/>
  <c r="D195" i="1"/>
  <c r="C195" i="1"/>
  <c r="C330" i="1"/>
  <c r="D282" i="1"/>
  <c r="D270" i="1"/>
  <c r="C270" i="1"/>
  <c r="D258" i="1"/>
  <c r="D246" i="1"/>
  <c r="C190" i="1"/>
  <c r="B58" i="1"/>
  <c r="C321" i="1"/>
  <c r="D313" i="1"/>
  <c r="C313" i="1"/>
  <c r="C309" i="1"/>
  <c r="C297" i="1"/>
  <c r="D289" i="1"/>
  <c r="C289" i="1"/>
  <c r="C285" i="1"/>
  <c r="C277" i="1"/>
  <c r="D273" i="1"/>
  <c r="C273" i="1"/>
  <c r="C265" i="1"/>
  <c r="D253" i="1"/>
  <c r="C249" i="1"/>
  <c r="C241" i="1"/>
  <c r="C233" i="1"/>
  <c r="D229" i="1"/>
  <c r="C229" i="1"/>
  <c r="C225" i="1"/>
  <c r="D217" i="1"/>
  <c r="C217" i="1"/>
  <c r="C213" i="1"/>
  <c r="D205" i="1"/>
  <c r="C205" i="1"/>
  <c r="C201" i="1"/>
  <c r="C193" i="1"/>
  <c r="D189" i="1"/>
  <c r="C189" i="1"/>
  <c r="D181" i="1"/>
  <c r="C181" i="1"/>
  <c r="C177" i="1"/>
  <c r="C169" i="1"/>
  <c r="C165" i="1"/>
  <c r="C161" i="1"/>
  <c r="D157" i="1"/>
  <c r="C157" i="1"/>
  <c r="C153" i="1"/>
  <c r="D145" i="1"/>
  <c r="C145" i="1"/>
  <c r="C141" i="1"/>
  <c r="C137" i="1"/>
  <c r="D133" i="1"/>
  <c r="D129" i="1"/>
  <c r="C129" i="1"/>
  <c r="C125" i="1"/>
  <c r="B270" i="1"/>
  <c r="B265" i="1"/>
  <c r="B201" i="1"/>
  <c r="D324" i="1"/>
  <c r="C312" i="1"/>
  <c r="C288" i="1"/>
  <c r="C264" i="1"/>
  <c r="D248" i="1"/>
  <c r="D216" i="1"/>
  <c r="C216" i="1"/>
  <c r="D204" i="1"/>
  <c r="D192" i="1"/>
  <c r="B168" i="1"/>
  <c r="C168" i="1"/>
  <c r="B156" i="1"/>
  <c r="B144" i="1"/>
  <c r="D124" i="1"/>
  <c r="D120" i="1"/>
  <c r="B120" i="1"/>
  <c r="C96" i="1"/>
  <c r="D84" i="1"/>
  <c r="B84" i="1"/>
  <c r="C84" i="1"/>
  <c r="C80" i="1"/>
  <c r="B72" i="1"/>
  <c r="C56" i="1"/>
  <c r="D52" i="1"/>
  <c r="D48" i="1"/>
  <c r="D36" i="1"/>
  <c r="C24" i="1"/>
  <c r="B24" i="1"/>
  <c r="B312" i="1"/>
  <c r="B301" i="1"/>
  <c r="B264" i="1"/>
  <c r="B253" i="1"/>
  <c r="B237" i="1"/>
  <c r="B232" i="1"/>
  <c r="B200" i="1"/>
  <c r="B186" i="1"/>
  <c r="B154" i="1"/>
  <c r="B138" i="1"/>
  <c r="B114" i="1"/>
  <c r="D121" i="1"/>
  <c r="D97" i="1"/>
  <c r="D85" i="1"/>
  <c r="D73" i="1"/>
  <c r="B65" i="1"/>
  <c r="D61" i="1"/>
  <c r="B61" i="1"/>
  <c r="D49" i="1"/>
  <c r="D45" i="1"/>
  <c r="B41" i="1"/>
  <c r="B37" i="1"/>
  <c r="D33" i="1"/>
  <c r="B33" i="1"/>
  <c r="D21" i="1"/>
  <c r="B17" i="1"/>
  <c r="B13" i="1"/>
  <c r="B9" i="1"/>
  <c r="C117" i="1"/>
  <c r="C101" i="1"/>
  <c r="C69" i="1"/>
  <c r="C33" i="1"/>
  <c r="C25" i="1"/>
  <c r="C9" i="1"/>
  <c r="C121" i="1"/>
  <c r="C105" i="1"/>
  <c r="C73" i="1"/>
  <c r="C57" i="1"/>
  <c r="C93" i="1"/>
  <c r="C61" i="1"/>
  <c r="C45" i="1"/>
  <c r="C37" i="1"/>
  <c r="C21" i="1"/>
  <c r="C97" i="1"/>
  <c r="C81" i="1"/>
  <c r="C49" i="1"/>
  <c r="B1" i="10"/>
  <c r="C308" i="1" l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D43" i="2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D15" i="2"/>
  <c r="Q15" i="3" s="1"/>
  <c r="D15" i="3" s="1"/>
  <c r="D123" i="2"/>
  <c r="Q123" i="3" s="1"/>
  <c r="D123" i="3" s="1"/>
  <c r="E59" i="2"/>
  <c r="E91" i="2"/>
  <c r="R91" i="3" s="1"/>
  <c r="E91" i="3" s="1"/>
  <c r="G111" i="2"/>
  <c r="G135" i="2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Q43" i="3"/>
  <c r="D43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39" i="3"/>
  <c r="D39" i="3" s="1"/>
  <c r="Q151" i="3"/>
  <c r="D151" i="3" s="1"/>
  <c r="Q163" i="3"/>
  <c r="D163" i="3" s="1"/>
  <c r="P91" i="3"/>
  <c r="C91" i="3" s="1"/>
  <c r="Q31" i="3"/>
  <c r="D31" i="3" s="1"/>
  <c r="P67" i="3"/>
  <c r="C67" i="3" s="1"/>
  <c r="S23" i="3"/>
  <c r="F23" i="3" s="1"/>
  <c r="R59" i="3"/>
  <c r="E59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9" i="3"/>
  <c r="D9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T135" i="3"/>
  <c r="G135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R83" i="3"/>
  <c r="E83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T9" i="3" s="1"/>
  <c r="G9" i="3" s="1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E109" i="2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R36" i="3"/>
  <c r="E36" i="3" s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R60" i="3"/>
  <c r="E60" i="3" s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C252" i="2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C61" i="2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R88" i="3"/>
  <c r="E88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R276" i="3"/>
  <c r="E276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P61" i="3"/>
  <c r="C61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T233" i="3"/>
  <c r="G233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R25" i="3"/>
  <c r="E25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R109" i="3"/>
  <c r="E109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5" i="3"/>
  <c r="C85" i="3" s="1"/>
  <c r="P89" i="3"/>
  <c r="C89" i="3" s="1"/>
  <c r="Q97" i="3"/>
  <c r="D97" i="3" s="1"/>
  <c r="F109" i="2"/>
  <c r="S109" i="3" s="1"/>
  <c r="F109" i="3" s="1"/>
  <c r="Q129" i="3"/>
  <c r="D129" i="3" s="1"/>
  <c r="R133" i="3"/>
  <c r="E133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B264" i="5"/>
  <c r="B95" i="5"/>
  <c r="B322" i="5"/>
  <c r="T244" i="3"/>
  <c r="G244" i="3" s="1"/>
  <c r="P252" i="3"/>
  <c r="C252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R101" i="3"/>
  <c r="E101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R22" i="3"/>
  <c r="E22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R261" i="3"/>
  <c r="E261" i="3" s="1"/>
  <c r="Q265" i="3"/>
  <c r="D265" i="3" s="1"/>
  <c r="P273" i="3"/>
  <c r="C273" i="3" s="1"/>
  <c r="Q277" i="3"/>
  <c r="D277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Q190" i="3"/>
  <c r="D190" i="3" s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G326" i="2"/>
  <c r="T326" i="3" s="1"/>
  <c r="G326" i="3" s="1"/>
  <c r="C187" i="2"/>
  <c r="P187" i="3" s="1"/>
  <c r="C187" i="3" s="1"/>
  <c r="R191" i="3"/>
  <c r="E191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Q267" i="3"/>
  <c r="D267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M15" i="5" s="1"/>
  <c r="F7" i="5"/>
  <c r="M7" i="5" s="1"/>
  <c r="F238" i="5"/>
  <c r="M238" i="5" s="1"/>
  <c r="I61" i="3"/>
  <c r="S226" i="3"/>
  <c r="F226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T298" i="3"/>
  <c r="G298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P326" i="3"/>
  <c r="C326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63" i="3"/>
  <c r="G26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M104" i="5"/>
  <c r="M224" i="5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T275" i="5" s="1"/>
  <c r="E86" i="5"/>
  <c r="T86" i="5" s="1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T191" i="5" s="1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T218" i="5" s="1"/>
  <c r="E206" i="5"/>
  <c r="T206" i="5" s="1"/>
  <c r="E78" i="5"/>
  <c r="E46" i="5"/>
  <c r="T46" i="5" s="1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T142" i="5" s="1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T284" i="5" s="1"/>
  <c r="E276" i="5"/>
  <c r="T276" i="5" s="1"/>
  <c r="E268" i="5"/>
  <c r="T268" i="5" s="1"/>
  <c r="E260" i="5"/>
  <c r="E252" i="5"/>
  <c r="E244" i="5"/>
  <c r="T244" i="5" s="1"/>
  <c r="E236" i="5"/>
  <c r="T236" i="5" s="1"/>
  <c r="D232" i="5"/>
  <c r="D212" i="5"/>
  <c r="K212" i="5" s="1"/>
  <c r="E153" i="5"/>
  <c r="E141" i="5"/>
  <c r="E126" i="5"/>
  <c r="E62" i="5"/>
  <c r="K61" i="3" s="1"/>
  <c r="D20" i="5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T327" i="5" s="1"/>
  <c r="D315" i="5"/>
  <c r="D295" i="5"/>
  <c r="E291" i="5"/>
  <c r="E283" i="5"/>
  <c r="D275" i="5"/>
  <c r="K275" i="5" s="1"/>
  <c r="D231" i="5"/>
  <c r="E227" i="5"/>
  <c r="E207" i="5"/>
  <c r="T207" i="5" s="1"/>
  <c r="E195" i="5"/>
  <c r="T195" i="5" s="1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K328" i="3" s="1"/>
  <c r="D329" i="5"/>
  <c r="B329" i="5"/>
  <c r="E325" i="5"/>
  <c r="T325" i="5" s="1"/>
  <c r="D325" i="5"/>
  <c r="B325" i="5"/>
  <c r="E321" i="5"/>
  <c r="K320" i="3" s="1"/>
  <c r="D321" i="5"/>
  <c r="B321" i="5"/>
  <c r="E317" i="5"/>
  <c r="D317" i="5"/>
  <c r="G317" i="5"/>
  <c r="B317" i="5"/>
  <c r="E313" i="5"/>
  <c r="T313" i="5" s="1"/>
  <c r="D313" i="5"/>
  <c r="B313" i="5"/>
  <c r="E309" i="5"/>
  <c r="D309" i="5"/>
  <c r="B309" i="5"/>
  <c r="E305" i="5"/>
  <c r="T305" i="5" s="1"/>
  <c r="D305" i="5"/>
  <c r="B305" i="5"/>
  <c r="E301" i="5"/>
  <c r="T301" i="5" s="1"/>
  <c r="G301" i="5"/>
  <c r="D301" i="5"/>
  <c r="E297" i="5"/>
  <c r="D297" i="5"/>
  <c r="B297" i="5"/>
  <c r="E293" i="5"/>
  <c r="T293" i="5" s="1"/>
  <c r="D293" i="5"/>
  <c r="B293" i="5"/>
  <c r="E289" i="5"/>
  <c r="K288" i="3" s="1"/>
  <c r="D289" i="5"/>
  <c r="B289" i="5"/>
  <c r="D285" i="5"/>
  <c r="E285" i="5"/>
  <c r="T285" i="5" s="1"/>
  <c r="G285" i="5"/>
  <c r="B285" i="5"/>
  <c r="E281" i="5"/>
  <c r="K280" i="3" s="1"/>
  <c r="D281" i="5"/>
  <c r="B281" i="5"/>
  <c r="E277" i="5"/>
  <c r="T277" i="5" s="1"/>
  <c r="B277" i="5"/>
  <c r="D277" i="5"/>
  <c r="D273" i="5"/>
  <c r="B273" i="5"/>
  <c r="E273" i="5"/>
  <c r="K272" i="3" s="1"/>
  <c r="E269" i="5"/>
  <c r="G269" i="5"/>
  <c r="E265" i="5"/>
  <c r="D265" i="5"/>
  <c r="B265" i="5"/>
  <c r="E261" i="5"/>
  <c r="B261" i="5"/>
  <c r="D261" i="5"/>
  <c r="E257" i="5"/>
  <c r="T257" i="5" s="1"/>
  <c r="D257" i="5"/>
  <c r="B257" i="5"/>
  <c r="G253" i="5"/>
  <c r="E253" i="5"/>
  <c r="T253" i="5" s="1"/>
  <c r="B253" i="5"/>
  <c r="D253" i="5"/>
  <c r="E249" i="5"/>
  <c r="D249" i="5"/>
  <c r="B249" i="5"/>
  <c r="E245" i="5"/>
  <c r="B245" i="5"/>
  <c r="D245" i="5"/>
  <c r="E241" i="5"/>
  <c r="D241" i="5"/>
  <c r="E237" i="5"/>
  <c r="T237" i="5" s="1"/>
  <c r="G237" i="5"/>
  <c r="B237" i="5"/>
  <c r="D237" i="5"/>
  <c r="E233" i="5"/>
  <c r="K232" i="3" s="1"/>
  <c r="D233" i="5"/>
  <c r="B233" i="5"/>
  <c r="E229" i="5"/>
  <c r="T229" i="5" s="1"/>
  <c r="B229" i="5"/>
  <c r="D229" i="5"/>
  <c r="E225" i="5"/>
  <c r="D225" i="5"/>
  <c r="F225" i="5"/>
  <c r="B225" i="5"/>
  <c r="D221" i="5"/>
  <c r="E221" i="5"/>
  <c r="T221" i="5" s="1"/>
  <c r="G221" i="5"/>
  <c r="E217" i="5"/>
  <c r="K216" i="3" s="1"/>
  <c r="D217" i="5"/>
  <c r="B217" i="5"/>
  <c r="E213" i="5"/>
  <c r="K212" i="3" s="1"/>
  <c r="D213" i="5"/>
  <c r="B213" i="5"/>
  <c r="E209" i="5"/>
  <c r="K208" i="3" s="1"/>
  <c r="D209" i="5"/>
  <c r="B209" i="5"/>
  <c r="E205" i="5"/>
  <c r="D205" i="5"/>
  <c r="G205" i="5"/>
  <c r="B205" i="5"/>
  <c r="D201" i="5"/>
  <c r="E201" i="5"/>
  <c r="T201" i="5" s="1"/>
  <c r="E197" i="5"/>
  <c r="B197" i="5"/>
  <c r="E193" i="5"/>
  <c r="T193" i="5" s="1"/>
  <c r="D193" i="5"/>
  <c r="B193" i="5"/>
  <c r="E189" i="5"/>
  <c r="K188" i="3" s="1"/>
  <c r="D189" i="5"/>
  <c r="G189" i="5"/>
  <c r="B189" i="5"/>
  <c r="D107" i="5"/>
  <c r="E107" i="5"/>
  <c r="B107" i="5"/>
  <c r="D100" i="5"/>
  <c r="E100" i="5"/>
  <c r="T100" i="5" s="1"/>
  <c r="B100" i="5"/>
  <c r="E96" i="5"/>
  <c r="T96" i="5" s="1"/>
  <c r="D96" i="5"/>
  <c r="K96" i="5" s="1"/>
  <c r="B96" i="5"/>
  <c r="D92" i="5"/>
  <c r="E92" i="5"/>
  <c r="B92" i="5"/>
  <c r="E88" i="5"/>
  <c r="T88" i="5" s="1"/>
  <c r="D88" i="5"/>
  <c r="K88" i="5" s="1"/>
  <c r="B88" i="5"/>
  <c r="D85" i="5"/>
  <c r="B85" i="5"/>
  <c r="E85" i="5"/>
  <c r="T85" i="5" s="1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T21" i="5" s="1"/>
  <c r="D21" i="5"/>
  <c r="B21" i="5"/>
  <c r="D269" i="5"/>
  <c r="B310" i="1"/>
  <c r="F310" i="1"/>
  <c r="F273" i="1"/>
  <c r="B273" i="1"/>
  <c r="B240" i="2"/>
  <c r="E122" i="5"/>
  <c r="K121" i="3" s="1"/>
  <c r="G122" i="5"/>
  <c r="D122" i="5"/>
  <c r="E118" i="5"/>
  <c r="K117" i="3" s="1"/>
  <c r="D118" i="5"/>
  <c r="E114" i="5"/>
  <c r="D114" i="5"/>
  <c r="B114" i="5"/>
  <c r="E110" i="5"/>
  <c r="T110" i="5" s="1"/>
  <c r="D110" i="5"/>
  <c r="B110" i="5"/>
  <c r="E66" i="5"/>
  <c r="T66" i="5" s="1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T163" i="5" s="1"/>
  <c r="D163" i="5"/>
  <c r="B163" i="5"/>
  <c r="E159" i="5"/>
  <c r="D159" i="5"/>
  <c r="B159" i="5"/>
  <c r="E152" i="5"/>
  <c r="D152" i="5"/>
  <c r="B152" i="5"/>
  <c r="E144" i="5"/>
  <c r="T144" i="5" s="1"/>
  <c r="D144" i="5"/>
  <c r="B144" i="5"/>
  <c r="D140" i="5"/>
  <c r="E140" i="5"/>
  <c r="T140" i="5" s="1"/>
  <c r="B140" i="5"/>
  <c r="E137" i="5"/>
  <c r="T137" i="5" s="1"/>
  <c r="D137" i="5"/>
  <c r="E133" i="5"/>
  <c r="D133" i="5"/>
  <c r="E129" i="5"/>
  <c r="T129" i="5" s="1"/>
  <c r="D129" i="5"/>
  <c r="B129" i="5"/>
  <c r="E125" i="5"/>
  <c r="G125" i="5"/>
  <c r="B125" i="5"/>
  <c r="D125" i="5"/>
  <c r="E79" i="5"/>
  <c r="T79" i="5" s="1"/>
  <c r="D79" i="5"/>
  <c r="B79" i="5"/>
  <c r="E72" i="5"/>
  <c r="T72" i="5" s="1"/>
  <c r="D72" i="5"/>
  <c r="B72" i="5"/>
  <c r="E69" i="5"/>
  <c r="D69" i="5"/>
  <c r="D47" i="5"/>
  <c r="E47" i="5"/>
  <c r="T47" i="5" s="1"/>
  <c r="B47" i="5"/>
  <c r="D40" i="5"/>
  <c r="E40" i="5"/>
  <c r="B40" i="5"/>
  <c r="E37" i="5"/>
  <c r="T37" i="5" s="1"/>
  <c r="D37" i="5"/>
  <c r="E15" i="5"/>
  <c r="T15" i="5" s="1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K181" i="3" s="1"/>
  <c r="D182" i="5"/>
  <c r="E178" i="5"/>
  <c r="T178" i="5" s="1"/>
  <c r="D178" i="5"/>
  <c r="E174" i="5"/>
  <c r="T174" i="5" s="1"/>
  <c r="D174" i="5"/>
  <c r="E82" i="5"/>
  <c r="K81" i="3" s="1"/>
  <c r="D82" i="5"/>
  <c r="B82" i="5"/>
  <c r="E50" i="5"/>
  <c r="T50" i="5" s="1"/>
  <c r="D50" i="5"/>
  <c r="B50" i="5"/>
  <c r="D18" i="5"/>
  <c r="B18" i="5"/>
  <c r="E148" i="5"/>
  <c r="E130" i="1"/>
  <c r="F130" i="1"/>
  <c r="E332" i="5"/>
  <c r="T332" i="5" s="1"/>
  <c r="D332" i="5"/>
  <c r="E324" i="5"/>
  <c r="D324" i="5"/>
  <c r="E308" i="5"/>
  <c r="D308" i="5"/>
  <c r="D304" i="5"/>
  <c r="E304" i="5"/>
  <c r="T304" i="5" s="1"/>
  <c r="E300" i="5"/>
  <c r="T300" i="5" s="1"/>
  <c r="D300" i="5"/>
  <c r="E296" i="5"/>
  <c r="D296" i="5"/>
  <c r="E292" i="5"/>
  <c r="D292" i="5"/>
  <c r="E288" i="5"/>
  <c r="K287" i="3" s="1"/>
  <c r="D288" i="5"/>
  <c r="E280" i="5"/>
  <c r="T280" i="5" s="1"/>
  <c r="D280" i="5"/>
  <c r="E272" i="5"/>
  <c r="T272" i="5" s="1"/>
  <c r="D272" i="5"/>
  <c r="D264" i="5"/>
  <c r="K264" i="5" s="1"/>
  <c r="E264" i="5"/>
  <c r="K263" i="3" s="1"/>
  <c r="E256" i="5"/>
  <c r="D256" i="5"/>
  <c r="E248" i="5"/>
  <c r="D248" i="5"/>
  <c r="E240" i="5"/>
  <c r="D240" i="5"/>
  <c r="E228" i="5"/>
  <c r="D228" i="5"/>
  <c r="E224" i="5"/>
  <c r="K223" i="3" s="1"/>
  <c r="D224" i="5"/>
  <c r="D220" i="5"/>
  <c r="K220" i="5" s="1"/>
  <c r="E220" i="5"/>
  <c r="T220" i="5" s="1"/>
  <c r="D216" i="5"/>
  <c r="E216" i="5"/>
  <c r="E208" i="5"/>
  <c r="D208" i="5"/>
  <c r="E204" i="5"/>
  <c r="T204" i="5" s="1"/>
  <c r="D204" i="5"/>
  <c r="D200" i="5"/>
  <c r="E200" i="5"/>
  <c r="T200" i="5" s="1"/>
  <c r="E196" i="5"/>
  <c r="D196" i="5"/>
  <c r="K196" i="5" s="1"/>
  <c r="E192" i="5"/>
  <c r="D192" i="5"/>
  <c r="K192" i="5" s="1"/>
  <c r="E188" i="5"/>
  <c r="T188" i="5" s="1"/>
  <c r="D188" i="5"/>
  <c r="E181" i="5"/>
  <c r="T181" i="5" s="1"/>
  <c r="D181" i="5"/>
  <c r="E177" i="5"/>
  <c r="K176" i="3" s="1"/>
  <c r="D177" i="5"/>
  <c r="E173" i="5"/>
  <c r="D173" i="5"/>
  <c r="G173" i="5"/>
  <c r="D166" i="5"/>
  <c r="E166" i="5"/>
  <c r="E162" i="5"/>
  <c r="K161" i="3" s="1"/>
  <c r="D162" i="5"/>
  <c r="E158" i="5"/>
  <c r="D158" i="5"/>
  <c r="D155" i="5"/>
  <c r="E155" i="5"/>
  <c r="K154" i="3" s="1"/>
  <c r="E151" i="5"/>
  <c r="D151" i="5"/>
  <c r="E143" i="5"/>
  <c r="T143" i="5" s="1"/>
  <c r="D143" i="5"/>
  <c r="E136" i="5"/>
  <c r="T136" i="5" s="1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T109" i="5" s="1"/>
  <c r="G109" i="5"/>
  <c r="E106" i="5"/>
  <c r="T106" i="5" s="1"/>
  <c r="D106" i="5"/>
  <c r="E103" i="5"/>
  <c r="D103" i="5"/>
  <c r="E99" i="5"/>
  <c r="T99" i="5" s="1"/>
  <c r="D99" i="5"/>
  <c r="C99" i="5"/>
  <c r="E95" i="5"/>
  <c r="D95" i="5"/>
  <c r="E91" i="5"/>
  <c r="D91" i="5"/>
  <c r="E84" i="5"/>
  <c r="T84" i="5" s="1"/>
  <c r="D84" i="5"/>
  <c r="E81" i="5"/>
  <c r="T81" i="5" s="1"/>
  <c r="D81" i="5"/>
  <c r="E75" i="5"/>
  <c r="T75" i="5" s="1"/>
  <c r="D75" i="5"/>
  <c r="E68" i="5"/>
  <c r="D68" i="5"/>
  <c r="E65" i="5"/>
  <c r="T65" i="5" s="1"/>
  <c r="D65" i="5"/>
  <c r="D59" i="5"/>
  <c r="E59" i="5"/>
  <c r="E52" i="5"/>
  <c r="D52" i="5"/>
  <c r="E49" i="5"/>
  <c r="K48" i="3" s="1"/>
  <c r="D49" i="5"/>
  <c r="D43" i="5"/>
  <c r="E43" i="5"/>
  <c r="T43" i="5" s="1"/>
  <c r="E33" i="5"/>
  <c r="K32" i="3" s="1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K314" i="3" s="1"/>
  <c r="E231" i="5"/>
  <c r="T231" i="5" s="1"/>
  <c r="E190" i="5"/>
  <c r="E147" i="5"/>
  <c r="E9" i="5"/>
  <c r="K8" i="3" s="1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K330" i="3" s="1"/>
  <c r="D331" i="5"/>
  <c r="E323" i="5"/>
  <c r="T323" i="5" s="1"/>
  <c r="D323" i="5"/>
  <c r="E319" i="5"/>
  <c r="T319" i="5" s="1"/>
  <c r="D319" i="5"/>
  <c r="E311" i="5"/>
  <c r="D311" i="5"/>
  <c r="E307" i="5"/>
  <c r="K306" i="3" s="1"/>
  <c r="D307" i="5"/>
  <c r="E303" i="5"/>
  <c r="T303" i="5" s="1"/>
  <c r="D303" i="5"/>
  <c r="E299" i="5"/>
  <c r="D299" i="5"/>
  <c r="E287" i="5"/>
  <c r="D287" i="5"/>
  <c r="E279" i="5"/>
  <c r="D279" i="5"/>
  <c r="E271" i="5"/>
  <c r="T271" i="5" s="1"/>
  <c r="D271" i="5"/>
  <c r="E267" i="5"/>
  <c r="T267" i="5" s="1"/>
  <c r="D267" i="5"/>
  <c r="D263" i="5"/>
  <c r="E263" i="5"/>
  <c r="E259" i="5"/>
  <c r="K258" i="3" s="1"/>
  <c r="D259" i="5"/>
  <c r="E255" i="5"/>
  <c r="T255" i="5" s="1"/>
  <c r="D255" i="5"/>
  <c r="E251" i="5"/>
  <c r="K250" i="3" s="1"/>
  <c r="D251" i="5"/>
  <c r="E247" i="5"/>
  <c r="D247" i="5"/>
  <c r="D243" i="5"/>
  <c r="E243" i="5"/>
  <c r="T243" i="5" s="1"/>
  <c r="E239" i="5"/>
  <c r="T239" i="5" s="1"/>
  <c r="D239" i="5"/>
  <c r="E235" i="5"/>
  <c r="D235" i="5"/>
  <c r="E223" i="5"/>
  <c r="T223" i="5" s="1"/>
  <c r="D223" i="5"/>
  <c r="E219" i="5"/>
  <c r="K218" i="3" s="1"/>
  <c r="D219" i="5"/>
  <c r="E215" i="5"/>
  <c r="T215" i="5" s="1"/>
  <c r="D215" i="5"/>
  <c r="E211" i="5"/>
  <c r="T211" i="5" s="1"/>
  <c r="D211" i="5"/>
  <c r="E203" i="5"/>
  <c r="K202" i="3" s="1"/>
  <c r="D203" i="5"/>
  <c r="E199" i="5"/>
  <c r="D199" i="5"/>
  <c r="E184" i="5"/>
  <c r="D184" i="5"/>
  <c r="E180" i="5"/>
  <c r="D180" i="5"/>
  <c r="D176" i="5"/>
  <c r="E176" i="5"/>
  <c r="K175" i="3" s="1"/>
  <c r="E172" i="5"/>
  <c r="D172" i="5"/>
  <c r="E169" i="5"/>
  <c r="K168" i="3" s="1"/>
  <c r="D169" i="5"/>
  <c r="E161" i="5"/>
  <c r="D161" i="5"/>
  <c r="E157" i="5"/>
  <c r="T157" i="5" s="1"/>
  <c r="G157" i="5"/>
  <c r="D157" i="5"/>
  <c r="E150" i="5"/>
  <c r="K149" i="3" s="1"/>
  <c r="D150" i="5"/>
  <c r="E146" i="5"/>
  <c r="K145" i="3" s="1"/>
  <c r="D146" i="5"/>
  <c r="D139" i="5"/>
  <c r="E139" i="5"/>
  <c r="T139" i="5" s="1"/>
  <c r="E135" i="5"/>
  <c r="D135" i="5"/>
  <c r="D131" i="5"/>
  <c r="E131" i="5"/>
  <c r="T131" i="5" s="1"/>
  <c r="E127" i="5"/>
  <c r="D127" i="5"/>
  <c r="E120" i="5"/>
  <c r="D120" i="5"/>
  <c r="E112" i="5"/>
  <c r="D112" i="5"/>
  <c r="K112" i="5" s="1"/>
  <c r="D108" i="5"/>
  <c r="E108" i="5"/>
  <c r="T108" i="5" s="1"/>
  <c r="E105" i="5"/>
  <c r="K104" i="3" s="1"/>
  <c r="D105" i="5"/>
  <c r="E102" i="5"/>
  <c r="K101" i="3" s="1"/>
  <c r="D102" i="5"/>
  <c r="E98" i="5"/>
  <c r="D98" i="5"/>
  <c r="E90" i="5"/>
  <c r="K89" i="3" s="1"/>
  <c r="D90" i="5"/>
  <c r="G90" i="5"/>
  <c r="E87" i="5"/>
  <c r="D87" i="5"/>
  <c r="E80" i="5"/>
  <c r="T80" i="5" s="1"/>
  <c r="D80" i="5"/>
  <c r="K80" i="5" s="1"/>
  <c r="E77" i="5"/>
  <c r="G77" i="5"/>
  <c r="E74" i="5"/>
  <c r="K73" i="3" s="1"/>
  <c r="D74" i="5"/>
  <c r="E71" i="5"/>
  <c r="D71" i="5"/>
  <c r="E64" i="5"/>
  <c r="D64" i="5"/>
  <c r="E58" i="5"/>
  <c r="K57" i="3" s="1"/>
  <c r="D58" i="5"/>
  <c r="E48" i="5"/>
  <c r="T48" i="5" s="1"/>
  <c r="D48" i="5"/>
  <c r="E45" i="5"/>
  <c r="T45" i="5" s="1"/>
  <c r="G45" i="5"/>
  <c r="E42" i="5"/>
  <c r="D42" i="5"/>
  <c r="D39" i="5"/>
  <c r="E39" i="5"/>
  <c r="T39" i="5" s="1"/>
  <c r="E29" i="5"/>
  <c r="T29" i="5" s="1"/>
  <c r="G29" i="5"/>
  <c r="D26" i="5"/>
  <c r="K26" i="5" s="1"/>
  <c r="G26" i="5"/>
  <c r="E23" i="5"/>
  <c r="T23" i="5" s="1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T116" i="5" s="1"/>
  <c r="E55" i="5"/>
  <c r="T55" i="5" s="1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K325" i="3" s="1"/>
  <c r="E322" i="5"/>
  <c r="T322" i="5" s="1"/>
  <c r="D322" i="5"/>
  <c r="E318" i="5"/>
  <c r="T318" i="5" s="1"/>
  <c r="D318" i="5"/>
  <c r="E314" i="5"/>
  <c r="K313" i="3" s="1"/>
  <c r="D314" i="5"/>
  <c r="G314" i="5"/>
  <c r="E310" i="5"/>
  <c r="T310" i="5" s="1"/>
  <c r="D310" i="5"/>
  <c r="E302" i="5"/>
  <c r="K301" i="3" s="1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K273" i="3" s="1"/>
  <c r="D274" i="5"/>
  <c r="E270" i="5"/>
  <c r="T270" i="5" s="1"/>
  <c r="D270" i="5"/>
  <c r="E266" i="5"/>
  <c r="K265" i="3" s="1"/>
  <c r="D266" i="5"/>
  <c r="G266" i="5"/>
  <c r="E262" i="5"/>
  <c r="D262" i="5"/>
  <c r="E258" i="5"/>
  <c r="K257" i="3" s="1"/>
  <c r="D258" i="5"/>
  <c r="E254" i="5"/>
  <c r="T254" i="5" s="1"/>
  <c r="D254" i="5"/>
  <c r="E250" i="5"/>
  <c r="D250" i="5"/>
  <c r="G250" i="5"/>
  <c r="E246" i="5"/>
  <c r="K245" i="3" s="1"/>
  <c r="D246" i="5"/>
  <c r="E242" i="5"/>
  <c r="T242" i="5" s="1"/>
  <c r="D242" i="5"/>
  <c r="E238" i="5"/>
  <c r="K237" i="3" s="1"/>
  <c r="D238" i="5"/>
  <c r="E234" i="5"/>
  <c r="D234" i="5"/>
  <c r="G234" i="5"/>
  <c r="E230" i="5"/>
  <c r="D230" i="5"/>
  <c r="E226" i="5"/>
  <c r="D226" i="5"/>
  <c r="E222" i="5"/>
  <c r="K221" i="3" s="1"/>
  <c r="D222" i="5"/>
  <c r="E214" i="5"/>
  <c r="K213" i="3" s="1"/>
  <c r="D214" i="5"/>
  <c r="E202" i="5"/>
  <c r="T202" i="5" s="1"/>
  <c r="G202" i="5"/>
  <c r="D202" i="5"/>
  <c r="E198" i="5"/>
  <c r="T198" i="5" s="1"/>
  <c r="D198" i="5"/>
  <c r="E194" i="5"/>
  <c r="D194" i="5"/>
  <c r="E187" i="5"/>
  <c r="K186" i="3" s="1"/>
  <c r="D187" i="5"/>
  <c r="E183" i="5"/>
  <c r="D183" i="5"/>
  <c r="E179" i="5"/>
  <c r="D179" i="5"/>
  <c r="E168" i="5"/>
  <c r="D168" i="5"/>
  <c r="D164" i="5"/>
  <c r="E164" i="5"/>
  <c r="T164" i="5" s="1"/>
  <c r="D160" i="5"/>
  <c r="E160" i="5"/>
  <c r="T160" i="5" s="1"/>
  <c r="E156" i="5"/>
  <c r="T156" i="5" s="1"/>
  <c r="D156" i="5"/>
  <c r="E149" i="5"/>
  <c r="T149" i="5" s="1"/>
  <c r="D149" i="5"/>
  <c r="E145" i="5"/>
  <c r="K144" i="3" s="1"/>
  <c r="D145" i="5"/>
  <c r="E138" i="5"/>
  <c r="T138" i="5" s="1"/>
  <c r="D138" i="5"/>
  <c r="E134" i="5"/>
  <c r="K133" i="3" s="1"/>
  <c r="D134" i="5"/>
  <c r="E130" i="5"/>
  <c r="T130" i="5" s="1"/>
  <c r="D130" i="5"/>
  <c r="D123" i="5"/>
  <c r="E123" i="5"/>
  <c r="E119" i="5"/>
  <c r="T119" i="5" s="1"/>
  <c r="D119" i="5"/>
  <c r="E111" i="5"/>
  <c r="T111" i="5" s="1"/>
  <c r="D111" i="5"/>
  <c r="E104" i="5"/>
  <c r="D104" i="5"/>
  <c r="D101" i="5"/>
  <c r="E101" i="5"/>
  <c r="T101" i="5" s="1"/>
  <c r="E97" i="5"/>
  <c r="T97" i="5" s="1"/>
  <c r="D97" i="5"/>
  <c r="E93" i="5"/>
  <c r="T93" i="5" s="1"/>
  <c r="G93" i="5"/>
  <c r="E89" i="5"/>
  <c r="D89" i="5"/>
  <c r="E83" i="5"/>
  <c r="D83" i="5"/>
  <c r="E76" i="5"/>
  <c r="T76" i="5" s="1"/>
  <c r="D76" i="5"/>
  <c r="E73" i="5"/>
  <c r="T73" i="5" s="1"/>
  <c r="D73" i="5"/>
  <c r="E70" i="5"/>
  <c r="D70" i="5"/>
  <c r="D67" i="5"/>
  <c r="E67" i="5"/>
  <c r="T67" i="5" s="1"/>
  <c r="E60" i="5"/>
  <c r="D60" i="5"/>
  <c r="E57" i="5"/>
  <c r="D57" i="5"/>
  <c r="D51" i="5"/>
  <c r="E51" i="5"/>
  <c r="E44" i="5"/>
  <c r="D44" i="5"/>
  <c r="K44" i="5" s="1"/>
  <c r="E41" i="5"/>
  <c r="K40" i="3" s="1"/>
  <c r="D41" i="5"/>
  <c r="E38" i="5"/>
  <c r="K37" i="3" s="1"/>
  <c r="D38" i="5"/>
  <c r="D35" i="5"/>
  <c r="E35" i="5"/>
  <c r="D25" i="5"/>
  <c r="E25" i="5"/>
  <c r="T25" i="5" s="1"/>
  <c r="E19" i="5"/>
  <c r="T19" i="5" s="1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T210" i="5" s="1"/>
  <c r="E170" i="5"/>
  <c r="E115" i="5"/>
  <c r="E54" i="5"/>
  <c r="E7" i="5"/>
  <c r="K271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G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K20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K324" i="5"/>
  <c r="K92" i="5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31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K35" i="3" s="1"/>
  <c r="E34" i="5"/>
  <c r="K33" i="3" s="1"/>
  <c r="E32" i="5"/>
  <c r="K31" i="3" s="1"/>
  <c r="E30" i="5"/>
  <c r="K29" i="3" s="1"/>
  <c r="E28" i="5"/>
  <c r="T28" i="5" s="1"/>
  <c r="E26" i="5"/>
  <c r="K25" i="3" s="1"/>
  <c r="E24" i="5"/>
  <c r="K23" i="3" s="1"/>
  <c r="E22" i="5"/>
  <c r="K21" i="3" s="1"/>
  <c r="E20" i="5"/>
  <c r="K19" i="3" s="1"/>
  <c r="E18" i="5"/>
  <c r="K17" i="3" s="1"/>
  <c r="E16" i="5"/>
  <c r="T16" i="5" s="1"/>
  <c r="E14" i="5"/>
  <c r="T14" i="5" s="1"/>
  <c r="E12" i="5"/>
  <c r="K11" i="3" s="1"/>
  <c r="E10" i="5"/>
  <c r="K9" i="3" s="1"/>
  <c r="E8" i="5"/>
  <c r="T8" i="5" s="1"/>
  <c r="L7" i="5" l="1"/>
  <c r="K6" i="3"/>
  <c r="K43" i="3"/>
  <c r="K82" i="3"/>
  <c r="K293" i="3"/>
  <c r="K211" i="3"/>
  <c r="K12" i="3"/>
  <c r="K76" i="3"/>
  <c r="K171" i="3"/>
  <c r="K198" i="3"/>
  <c r="K278" i="3"/>
  <c r="K16" i="3"/>
  <c r="K102" i="3"/>
  <c r="K116" i="3"/>
  <c r="K147" i="3"/>
  <c r="K39" i="3"/>
  <c r="K124" i="3"/>
  <c r="K151" i="3"/>
  <c r="K166" i="3"/>
  <c r="K30" i="3"/>
  <c r="K62" i="3"/>
  <c r="K226" i="3"/>
  <c r="K251" i="3"/>
  <c r="K327" i="3"/>
  <c r="K153" i="3"/>
  <c r="K305" i="3"/>
  <c r="K10" i="3"/>
  <c r="T259" i="5"/>
  <c r="T167" i="5"/>
  <c r="T12" i="5"/>
  <c r="T213" i="5"/>
  <c r="T31" i="5"/>
  <c r="T238" i="5"/>
  <c r="T302" i="5"/>
  <c r="T264" i="5"/>
  <c r="T328" i="5"/>
  <c r="T314" i="5"/>
  <c r="T329" i="5"/>
  <c r="K53" i="3"/>
  <c r="K34" i="3"/>
  <c r="K50" i="3"/>
  <c r="K261" i="3"/>
  <c r="K294" i="3"/>
  <c r="K97" i="3"/>
  <c r="K111" i="3"/>
  <c r="K134" i="3"/>
  <c r="K262" i="3"/>
  <c r="K146" i="3"/>
  <c r="K67" i="3"/>
  <c r="K90" i="3"/>
  <c r="K172" i="3"/>
  <c r="K191" i="3"/>
  <c r="K207" i="3"/>
  <c r="K227" i="3"/>
  <c r="K291" i="3"/>
  <c r="K307" i="3"/>
  <c r="K71" i="3"/>
  <c r="K139" i="3"/>
  <c r="K170" i="3"/>
  <c r="K91" i="3"/>
  <c r="K244" i="3"/>
  <c r="K264" i="3"/>
  <c r="K276" i="3"/>
  <c r="K296" i="3"/>
  <c r="K316" i="3"/>
  <c r="K60" i="3"/>
  <c r="K125" i="3"/>
  <c r="K259" i="3"/>
  <c r="K164" i="3"/>
  <c r="K231" i="3"/>
  <c r="T11" i="5"/>
  <c r="T203" i="5"/>
  <c r="T331" i="5"/>
  <c r="T199" i="5"/>
  <c r="T20" i="5"/>
  <c r="T148" i="5"/>
  <c r="T212" i="5"/>
  <c r="T54" i="5"/>
  <c r="T118" i="5"/>
  <c r="T182" i="5"/>
  <c r="T246" i="5"/>
  <c r="T208" i="5"/>
  <c r="T122" i="5"/>
  <c r="T9" i="5"/>
  <c r="T265" i="5"/>
  <c r="T18" i="5"/>
  <c r="T146" i="5"/>
  <c r="K7" i="3"/>
  <c r="K114" i="3"/>
  <c r="K69" i="3"/>
  <c r="K88" i="3"/>
  <c r="K103" i="3"/>
  <c r="K129" i="3"/>
  <c r="K148" i="3"/>
  <c r="K167" i="3"/>
  <c r="K193" i="3"/>
  <c r="K233" i="3"/>
  <c r="K277" i="3"/>
  <c r="K297" i="3"/>
  <c r="K329" i="3"/>
  <c r="K22" i="3"/>
  <c r="K41" i="3"/>
  <c r="K63" i="3"/>
  <c r="K79" i="3"/>
  <c r="K138" i="3"/>
  <c r="K156" i="3"/>
  <c r="K222" i="3"/>
  <c r="K246" i="3"/>
  <c r="K286" i="3"/>
  <c r="K310" i="3"/>
  <c r="K189" i="3"/>
  <c r="K26" i="3"/>
  <c r="K105" i="3"/>
  <c r="K120" i="3"/>
  <c r="K135" i="3"/>
  <c r="K157" i="3"/>
  <c r="K215" i="3"/>
  <c r="K173" i="3"/>
  <c r="K185" i="3"/>
  <c r="K109" i="3"/>
  <c r="K84" i="3"/>
  <c r="K106" i="3"/>
  <c r="K192" i="3"/>
  <c r="K204" i="3"/>
  <c r="K224" i="3"/>
  <c r="K308" i="3"/>
  <c r="K93" i="3"/>
  <c r="K140" i="3"/>
  <c r="K267" i="3"/>
  <c r="K184" i="3"/>
  <c r="T83" i="5"/>
  <c r="T147" i="5"/>
  <c r="T92" i="5"/>
  <c r="T165" i="5"/>
  <c r="T274" i="5"/>
  <c r="T62" i="5"/>
  <c r="T126" i="5"/>
  <c r="T190" i="5"/>
  <c r="T24" i="5"/>
  <c r="T152" i="5"/>
  <c r="T216" i="5"/>
  <c r="T10" i="5"/>
  <c r="T17" i="5"/>
  <c r="T145" i="5"/>
  <c r="T209" i="5"/>
  <c r="T273" i="5"/>
  <c r="T34" i="5"/>
  <c r="T162" i="5"/>
  <c r="K169" i="3"/>
  <c r="K249" i="3"/>
  <c r="K317" i="3"/>
  <c r="K119" i="3"/>
  <c r="K230" i="3"/>
  <c r="K51" i="3"/>
  <c r="K74" i="3"/>
  <c r="K94" i="3"/>
  <c r="K123" i="3"/>
  <c r="K195" i="3"/>
  <c r="K239" i="3"/>
  <c r="K271" i="3"/>
  <c r="K295" i="3"/>
  <c r="K323" i="3"/>
  <c r="K46" i="3"/>
  <c r="K128" i="3"/>
  <c r="K158" i="3"/>
  <c r="K20" i="3"/>
  <c r="K52" i="3"/>
  <c r="K256" i="3"/>
  <c r="K268" i="3"/>
  <c r="K282" i="3"/>
  <c r="K152" i="3"/>
  <c r="K275" i="3"/>
  <c r="K45" i="3"/>
  <c r="T27" i="5"/>
  <c r="T91" i="5"/>
  <c r="T155" i="5"/>
  <c r="T219" i="5"/>
  <c r="T283" i="5"/>
  <c r="T263" i="5"/>
  <c r="T36" i="5"/>
  <c r="T228" i="5"/>
  <c r="T292" i="5"/>
  <c r="T63" i="5"/>
  <c r="T173" i="5"/>
  <c r="T70" i="5"/>
  <c r="T134" i="5"/>
  <c r="T262" i="5"/>
  <c r="T326" i="5"/>
  <c r="T279" i="5"/>
  <c r="T32" i="5"/>
  <c r="T224" i="5"/>
  <c r="T288" i="5"/>
  <c r="T26" i="5"/>
  <c r="T154" i="5"/>
  <c r="T89" i="5"/>
  <c r="T153" i="5"/>
  <c r="T217" i="5"/>
  <c r="T281" i="5"/>
  <c r="K209" i="3"/>
  <c r="K56" i="3"/>
  <c r="K72" i="3"/>
  <c r="K92" i="3"/>
  <c r="K110" i="3"/>
  <c r="K155" i="3"/>
  <c r="K178" i="3"/>
  <c r="K197" i="3"/>
  <c r="K281" i="3"/>
  <c r="K44" i="3"/>
  <c r="K70" i="3"/>
  <c r="K86" i="3"/>
  <c r="K160" i="3"/>
  <c r="K179" i="3"/>
  <c r="K210" i="3"/>
  <c r="K234" i="3"/>
  <c r="K266" i="3"/>
  <c r="K298" i="3"/>
  <c r="K318" i="3"/>
  <c r="K58" i="3"/>
  <c r="K108" i="3"/>
  <c r="K142" i="3"/>
  <c r="K199" i="3"/>
  <c r="K219" i="3"/>
  <c r="K177" i="3"/>
  <c r="K14" i="3"/>
  <c r="K78" i="3"/>
  <c r="K196" i="3"/>
  <c r="K236" i="3"/>
  <c r="K248" i="3"/>
  <c r="K300" i="3"/>
  <c r="K174" i="3"/>
  <c r="K290" i="3"/>
  <c r="K283" i="3"/>
  <c r="K77" i="3"/>
  <c r="T35" i="5"/>
  <c r="T227" i="5"/>
  <c r="T291" i="5"/>
  <c r="T295" i="5"/>
  <c r="T44" i="5"/>
  <c r="T172" i="5"/>
  <c r="T87" i="5"/>
  <c r="T194" i="5"/>
  <c r="T53" i="5"/>
  <c r="T117" i="5"/>
  <c r="T245" i="5"/>
  <c r="T309" i="5"/>
  <c r="T175" i="5"/>
  <c r="T78" i="5"/>
  <c r="T7" i="5"/>
  <c r="T311" i="5"/>
  <c r="T40" i="5"/>
  <c r="T104" i="5"/>
  <c r="T168" i="5"/>
  <c r="T232" i="5"/>
  <c r="T296" i="5"/>
  <c r="T42" i="5"/>
  <c r="T170" i="5"/>
  <c r="T33" i="5"/>
  <c r="T161" i="5"/>
  <c r="T225" i="5"/>
  <c r="T289" i="5"/>
  <c r="K13" i="3"/>
  <c r="K159" i="3"/>
  <c r="K225" i="3"/>
  <c r="K253" i="3"/>
  <c r="K321" i="3"/>
  <c r="K126" i="3"/>
  <c r="K80" i="3"/>
  <c r="K165" i="3"/>
  <c r="K180" i="3"/>
  <c r="K247" i="3"/>
  <c r="K279" i="3"/>
  <c r="K299" i="3"/>
  <c r="K331" i="3"/>
  <c r="K49" i="3"/>
  <c r="K132" i="3"/>
  <c r="K143" i="3"/>
  <c r="K113" i="3"/>
  <c r="K95" i="3"/>
  <c r="K200" i="3"/>
  <c r="K220" i="3"/>
  <c r="K228" i="3"/>
  <c r="K312" i="3"/>
  <c r="K332" i="3"/>
  <c r="K311" i="3"/>
  <c r="K205" i="3"/>
  <c r="K315" i="3"/>
  <c r="T107" i="5"/>
  <c r="T171" i="5"/>
  <c r="T235" i="5"/>
  <c r="T299" i="5"/>
  <c r="T71" i="5"/>
  <c r="T52" i="5"/>
  <c r="T180" i="5"/>
  <c r="T308" i="5"/>
  <c r="T258" i="5"/>
  <c r="T61" i="5"/>
  <c r="T125" i="5"/>
  <c r="T189" i="5"/>
  <c r="T317" i="5"/>
  <c r="T22" i="5"/>
  <c r="T150" i="5"/>
  <c r="T214" i="5"/>
  <c r="T278" i="5"/>
  <c r="T95" i="5"/>
  <c r="T112" i="5"/>
  <c r="T176" i="5"/>
  <c r="T240" i="5"/>
  <c r="T58" i="5"/>
  <c r="T186" i="5"/>
  <c r="T41" i="5"/>
  <c r="T105" i="5"/>
  <c r="T169" i="5"/>
  <c r="T233" i="5"/>
  <c r="T297" i="5"/>
  <c r="T82" i="5"/>
  <c r="K27" i="3"/>
  <c r="K18" i="3"/>
  <c r="K59" i="3"/>
  <c r="K75" i="3"/>
  <c r="K96" i="3"/>
  <c r="K118" i="3"/>
  <c r="K137" i="3"/>
  <c r="K182" i="3"/>
  <c r="K241" i="3"/>
  <c r="K269" i="3"/>
  <c r="K285" i="3"/>
  <c r="K309" i="3"/>
  <c r="K54" i="3"/>
  <c r="K28" i="3"/>
  <c r="K47" i="3"/>
  <c r="K107" i="3"/>
  <c r="K130" i="3"/>
  <c r="K183" i="3"/>
  <c r="K214" i="3"/>
  <c r="K238" i="3"/>
  <c r="K254" i="3"/>
  <c r="K270" i="3"/>
  <c r="K302" i="3"/>
  <c r="K322" i="3"/>
  <c r="K42" i="3"/>
  <c r="K98" i="3"/>
  <c r="K112" i="3"/>
  <c r="K127" i="3"/>
  <c r="K150" i="3"/>
  <c r="K303" i="3"/>
  <c r="K36" i="3"/>
  <c r="K68" i="3"/>
  <c r="K162" i="3"/>
  <c r="K55" i="3"/>
  <c r="K240" i="3"/>
  <c r="K260" i="3"/>
  <c r="K292" i="3"/>
  <c r="K194" i="3"/>
  <c r="K235" i="3"/>
  <c r="K217" i="3"/>
  <c r="K190" i="3"/>
  <c r="K85" i="3"/>
  <c r="T51" i="5"/>
  <c r="T115" i="5"/>
  <c r="T179" i="5"/>
  <c r="T307" i="5"/>
  <c r="T103" i="5"/>
  <c r="T234" i="5"/>
  <c r="T60" i="5"/>
  <c r="T124" i="5"/>
  <c r="T252" i="5"/>
  <c r="T316" i="5"/>
  <c r="T151" i="5"/>
  <c r="T306" i="5"/>
  <c r="T69" i="5"/>
  <c r="T133" i="5"/>
  <c r="T197" i="5"/>
  <c r="T261" i="5"/>
  <c r="T247" i="5"/>
  <c r="T30" i="5"/>
  <c r="T94" i="5"/>
  <c r="T158" i="5"/>
  <c r="T222" i="5"/>
  <c r="T286" i="5"/>
  <c r="T127" i="5"/>
  <c r="T250" i="5"/>
  <c r="T56" i="5"/>
  <c r="T120" i="5"/>
  <c r="T184" i="5"/>
  <c r="T248" i="5"/>
  <c r="T312" i="5"/>
  <c r="T74" i="5"/>
  <c r="T226" i="5"/>
  <c r="T49" i="5"/>
  <c r="T113" i="5"/>
  <c r="T177" i="5"/>
  <c r="T241" i="5"/>
  <c r="T98" i="5"/>
  <c r="T282" i="5"/>
  <c r="K15" i="3"/>
  <c r="K24" i="3"/>
  <c r="K66" i="3"/>
  <c r="K100" i="3"/>
  <c r="K122" i="3"/>
  <c r="K163" i="3"/>
  <c r="K201" i="3"/>
  <c r="K229" i="3"/>
  <c r="K115" i="3"/>
  <c r="K38" i="3"/>
  <c r="K242" i="3"/>
  <c r="K64" i="3"/>
  <c r="K83" i="3"/>
  <c r="K131" i="3"/>
  <c r="K187" i="3"/>
  <c r="K203" i="3"/>
  <c r="K255" i="3"/>
  <c r="K136" i="3"/>
  <c r="K65" i="3"/>
  <c r="K87" i="3"/>
  <c r="K99" i="3"/>
  <c r="K252" i="3"/>
  <c r="K284" i="3"/>
  <c r="K304" i="3"/>
  <c r="K324" i="3"/>
  <c r="K206" i="3"/>
  <c r="K326" i="3"/>
  <c r="K243" i="3"/>
  <c r="K319" i="3"/>
  <c r="K141" i="3"/>
  <c r="K289" i="3"/>
  <c r="K274" i="3"/>
  <c r="T59" i="5"/>
  <c r="T123" i="5"/>
  <c r="T187" i="5"/>
  <c r="T251" i="5"/>
  <c r="T315" i="5"/>
  <c r="T135" i="5"/>
  <c r="T290" i="5"/>
  <c r="T68" i="5"/>
  <c r="T132" i="5"/>
  <c r="T196" i="5"/>
  <c r="T260" i="5"/>
  <c r="T324" i="5"/>
  <c r="T183" i="5"/>
  <c r="T13" i="5"/>
  <c r="T77" i="5"/>
  <c r="T141" i="5"/>
  <c r="T205" i="5"/>
  <c r="T269" i="5"/>
  <c r="T333" i="5"/>
  <c r="T287" i="5"/>
  <c r="T38" i="5"/>
  <c r="T102" i="5"/>
  <c r="T166" i="5"/>
  <c r="T230" i="5"/>
  <c r="T294" i="5"/>
  <c r="T159" i="5"/>
  <c r="T298" i="5"/>
  <c r="T64" i="5"/>
  <c r="T128" i="5"/>
  <c r="T192" i="5"/>
  <c r="T256" i="5"/>
  <c r="T320" i="5"/>
  <c r="T90" i="5"/>
  <c r="T266" i="5"/>
  <c r="T57" i="5"/>
  <c r="T121" i="5"/>
  <c r="T185" i="5"/>
  <c r="T249" i="5"/>
  <c r="T321" i="5"/>
  <c r="T114" i="5"/>
  <c r="T330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J7" i="5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N269" i="5" s="1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N187" i="5" s="1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330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B19" i="10" s="1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26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B18" i="10" l="1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303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<sst xmlns="http://schemas.openxmlformats.org/spreadsheetml/2006/main" count="4485" uniqueCount="1164">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</sst>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2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239">
    <xf numFmtId="0" fontId="0" fillId="0" borderId="0" xfId="0"/>
    <xf numFmtId="0" fontId="21" fillId="0" borderId="0" xfId="0" applyFont="1"/>
    <xf numFmtId="49" fontId="21" fillId="0" borderId="0" xfId="0" applyNumberFormat="1" applyFont="1"/>
    <xf numFmtId="3" fontId="21" fillId="0" borderId="0" xfId="0" applyNumberFormat="1" applyFont="1"/>
    <xf numFmtId="3" fontId="27" fillId="0" borderId="0" xfId="0" applyNumberFormat="1" applyFont="1"/>
    <xf numFmtId="0" fontId="27" fillId="0" borderId="0" xfId="0" applyFont="1"/>
    <xf numFmtId="0" fontId="25" fillId="0" borderId="0" xfId="0" applyFont="1" applyFill="1" applyBorder="1"/>
    <xf numFmtId="49" fontId="25" fillId="0" borderId="0" xfId="0" applyNumberFormat="1" applyFont="1" applyFill="1" applyBorder="1"/>
    <xf numFmtId="0" fontId="21" fillId="33" borderId="0" xfId="0" applyFont="1" applyFill="1"/>
    <xf numFmtId="0" fontId="21" fillId="0" borderId="0" xfId="0" applyFont="1" applyAlignment="1">
      <alignment horizontal="center"/>
    </xf>
    <xf numFmtId="164" fontId="22" fillId="0" borderId="0" xfId="0" applyNumberFormat="1" applyFont="1" applyBorder="1" applyAlignment="1" applyProtection="1">
      <protection hidden="1"/>
    </xf>
    <xf numFmtId="0" fontId="23" fillId="0" borderId="0" xfId="0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164" fontId="25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3" fontId="25" fillId="0" borderId="3" xfId="0" applyNumberFormat="1" applyFont="1" applyBorder="1" applyAlignment="1" applyProtection="1">
      <alignment horizontal="center"/>
      <protection hidden="1"/>
    </xf>
    <xf numFmtId="3" fontId="25" fillId="0" borderId="3" xfId="0" applyNumberFormat="1" applyFont="1" applyFill="1" applyBorder="1" applyAlignment="1" applyProtection="1">
      <alignment horizontal="center"/>
      <protection hidden="1"/>
    </xf>
    <xf numFmtId="164" fontId="25" fillId="34" borderId="0" xfId="0" applyNumberFormat="1" applyFont="1" applyFill="1" applyProtection="1">
      <protection hidden="1"/>
    </xf>
    <xf numFmtId="3" fontId="25" fillId="34" borderId="4" xfId="0" applyNumberFormat="1" applyFont="1" applyFill="1" applyBorder="1" applyAlignment="1" applyProtection="1">
      <alignment horizontal="center" wrapText="1"/>
      <protection hidden="1"/>
    </xf>
    <xf numFmtId="0" fontId="25" fillId="0" borderId="6" xfId="0" applyFont="1" applyBorder="1" applyProtection="1">
      <protection hidden="1"/>
    </xf>
    <xf numFmtId="4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3" fontId="21" fillId="0" borderId="1" xfId="0" applyNumberFormat="1" applyFont="1" applyBorder="1" applyProtection="1">
      <protection hidden="1"/>
    </xf>
    <xf numFmtId="164" fontId="20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3" fontId="20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protection hidden="1"/>
    </xf>
    <xf numFmtId="3" fontId="24" fillId="0" borderId="2" xfId="0" applyNumberFormat="1" applyFont="1" applyFill="1" applyBorder="1" applyAlignment="1" applyProtection="1">
      <alignment horizontal="center" vertical="center"/>
      <protection hidden="1"/>
    </xf>
    <xf numFmtId="3" fontId="24" fillId="0" borderId="3" xfId="0" applyNumberFormat="1" applyFont="1" applyFill="1" applyBorder="1" applyAlignment="1" applyProtection="1">
      <alignment horizontal="center" vertical="center"/>
      <protection hidden="1"/>
    </xf>
    <xf numFmtId="3" fontId="24" fillId="0" borderId="4" xfId="0" applyNumberFormat="1" applyFont="1" applyBorder="1" applyAlignment="1" applyProtection="1">
      <alignment horizontal="center"/>
      <protection hidden="1"/>
    </xf>
    <xf numFmtId="3" fontId="24" fillId="0" borderId="4" xfId="0" applyNumberFormat="1" applyFont="1" applyFill="1" applyBorder="1" applyAlignment="1" applyProtection="1">
      <alignment horizontal="center"/>
      <protection hidden="1"/>
    </xf>
    <xf numFmtId="3" fontId="24" fillId="0" borderId="4" xfId="0" applyNumberFormat="1" applyFont="1" applyBorder="1" applyAlignment="1" applyProtection="1">
      <alignment horizontal="center" wrapText="1"/>
      <protection hidden="1"/>
    </xf>
    <xf numFmtId="3" fontId="24" fillId="0" borderId="4" xfId="0" applyNumberFormat="1" applyFont="1" applyFill="1" applyBorder="1" applyAlignment="1" applyProtection="1">
      <alignment horizontal="center" wrapText="1"/>
      <protection hidden="1"/>
    </xf>
    <xf numFmtId="164" fontId="22" fillId="34" borderId="0" xfId="0" applyNumberFormat="1" applyFont="1" applyFill="1" applyBorder="1" applyAlignment="1" applyProtection="1">
      <protection hidden="1"/>
    </xf>
    <xf numFmtId="0" fontId="23" fillId="34" borderId="0" xfId="0" applyFont="1" applyFill="1" applyProtection="1"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0" fontId="24" fillId="0" borderId="3" xfId="0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3" fontId="24" fillId="34" borderId="0" xfId="0" applyNumberFormat="1" applyFont="1" applyFill="1" applyBorder="1" applyAlignment="1" applyProtection="1">
      <alignment horizontal="center"/>
      <protection hidden="1"/>
    </xf>
    <xf numFmtId="0" fontId="24" fillId="34" borderId="0" xfId="0" applyFont="1" applyFill="1" applyBorder="1" applyAlignment="1" applyProtection="1">
      <alignment horizontal="center"/>
      <protection hidden="1"/>
    </xf>
    <xf numFmtId="0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5" fillId="0" borderId="0" xfId="0" applyNumberFormat="1" applyFont="1" applyBorder="1" applyAlignment="1" applyProtection="1">
      <protection hidden="1"/>
    </xf>
    <xf numFmtId="3" fontId="25" fillId="0" borderId="2" xfId="0" applyNumberFormat="1" applyFont="1" applyFill="1" applyBorder="1" applyAlignment="1" applyProtection="1">
      <alignment horizontal="center" vertical="center"/>
      <protection hidden="1"/>
    </xf>
    <xf numFmtId="3" fontId="25" fillId="0" borderId="3" xfId="0" applyNumberFormat="1" applyFont="1" applyFill="1" applyBorder="1" applyAlignment="1" applyProtection="1">
      <alignment horizontal="center" vertical="center"/>
      <protection hidden="1"/>
    </xf>
    <xf numFmtId="4" fontId="25" fillId="0" borderId="3" xfId="0" applyNumberFormat="1" applyFont="1" applyFill="1" applyBorder="1" applyAlignment="1" applyProtection="1">
      <alignment horizontal="center" vertical="center"/>
      <protection hidden="1"/>
    </xf>
    <xf numFmtId="3" fontId="25" fillId="0" borderId="4" xfId="0" applyNumberFormat="1" applyFont="1" applyBorder="1" applyAlignment="1" applyProtection="1">
      <alignment horizontal="center"/>
      <protection hidden="1"/>
    </xf>
    <xf numFmtId="3" fontId="25" fillId="0" borderId="4" xfId="0" applyNumberFormat="1" applyFont="1" applyFill="1" applyBorder="1" applyAlignment="1" applyProtection="1">
      <alignment horizontal="center"/>
      <protection hidden="1"/>
    </xf>
    <xf numFmtId="4" fontId="25" fillId="0" borderId="4" xfId="0" applyNumberFormat="1" applyFont="1" applyFill="1" applyBorder="1" applyAlignment="1" applyProtection="1">
      <alignment horizontal="center"/>
      <protection hidden="1"/>
    </xf>
    <xf numFmtId="3" fontId="25" fillId="34" borderId="0" xfId="0" applyNumberFormat="1" applyFont="1" applyFill="1" applyBorder="1" applyAlignment="1" applyProtection="1">
      <alignment horizontal="center"/>
      <protection hidden="1"/>
    </xf>
    <xf numFmtId="4" fontId="24" fillId="34" borderId="0" xfId="0" applyNumberFormat="1" applyFont="1" applyFill="1" applyBorder="1" applyAlignment="1" applyProtection="1">
      <alignment horizontal="center"/>
      <protection hidden="1"/>
    </xf>
    <xf numFmtId="0" fontId="21" fillId="34" borderId="0" xfId="0" applyFont="1" applyFill="1" applyProtection="1">
      <protection hidden="1"/>
    </xf>
    <xf numFmtId="4" fontId="21" fillId="0" borderId="0" xfId="0" applyNumberFormat="1" applyFont="1" applyProtection="1">
      <protection hidden="1"/>
    </xf>
    <xf numFmtId="3" fontId="24" fillId="0" borderId="3" xfId="0" applyNumberFormat="1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 wrapText="1"/>
      <protection hidden="1"/>
    </xf>
    <xf numFmtId="3" fontId="24" fillId="0" borderId="5" xfId="0" applyNumberFormat="1" applyFont="1" applyFill="1" applyBorder="1" applyAlignment="1" applyProtection="1">
      <alignment horizontal="center" wrapText="1"/>
      <protection hidden="1"/>
    </xf>
    <xf numFmtId="2" fontId="21" fillId="0" borderId="0" xfId="0" applyNumberFormat="1" applyFont="1"/>
    <xf numFmtId="0" fontId="25" fillId="34" borderId="0" xfId="0" applyNumberFormat="1" applyFont="1" applyFill="1" applyProtection="1">
      <protection hidden="1"/>
    </xf>
    <xf numFmtId="0" fontId="20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5" fillId="34" borderId="0" xfId="0" applyNumberFormat="1" applyFont="1" applyFill="1" applyProtection="1">
      <protection hidden="1"/>
    </xf>
    <xf numFmtId="2" fontId="25" fillId="34" borderId="0" xfId="0" applyNumberFormat="1" applyFont="1" applyFill="1" applyAlignment="1" applyProtection="1">
      <alignment wrapText="1"/>
      <protection hidden="1"/>
    </xf>
    <xf numFmtId="2" fontId="21" fillId="34" borderId="0" xfId="0" applyNumberFormat="1" applyFont="1" applyFill="1" applyProtection="1">
      <protection hidden="1"/>
    </xf>
    <xf numFmtId="3" fontId="30" fillId="0" borderId="0" xfId="42" applyNumberFormat="1" applyFont="1" applyAlignment="1">
      <alignment wrapText="1"/>
    </xf>
    <xf numFmtId="0" fontId="28" fillId="0" borderId="0" xfId="42"/>
    <xf numFmtId="0" fontId="31" fillId="0" borderId="19" xfId="42" applyFont="1" applyBorder="1"/>
    <xf numFmtId="0" fontId="31" fillId="0" borderId="0" xfId="42" applyFont="1" applyBorder="1" applyProtection="1">
      <protection locked="0"/>
    </xf>
    <xf numFmtId="165" fontId="32" fillId="0" borderId="0" xfId="42" applyNumberFormat="1" applyFont="1" applyAlignment="1">
      <alignment horizontal="center"/>
    </xf>
    <xf numFmtId="0" fontId="31" fillId="0" borderId="20" xfId="42" applyFont="1" applyBorder="1"/>
    <xf numFmtId="164" fontId="32" fillId="0" borderId="21" xfId="42" applyNumberFormat="1" applyFont="1" applyBorder="1" applyAlignment="1" applyProtection="1">
      <alignment horizontal="left"/>
      <protection hidden="1"/>
    </xf>
    <xf numFmtId="3" fontId="30" fillId="0" borderId="21" xfId="42" applyNumberFormat="1" applyFont="1" applyBorder="1" applyAlignment="1" applyProtection="1">
      <alignment horizontal="center"/>
      <protection hidden="1"/>
    </xf>
    <xf numFmtId="3" fontId="30" fillId="0" borderId="22" xfId="42" applyNumberFormat="1" applyFont="1" applyBorder="1" applyAlignment="1">
      <alignment horizontal="center"/>
    </xf>
    <xf numFmtId="3" fontId="32" fillId="0" borderId="0" xfId="42" applyNumberFormat="1" applyFont="1" applyAlignment="1">
      <alignment horizontal="center"/>
    </xf>
    <xf numFmtId="0" fontId="31" fillId="0" borderId="0" xfId="42" applyFont="1"/>
    <xf numFmtId="164" fontId="32" fillId="0" borderId="0" xfId="42" applyNumberFormat="1" applyFont="1" applyAlignment="1" applyProtection="1">
      <alignment horizontal="left"/>
      <protection hidden="1"/>
    </xf>
    <xf numFmtId="3" fontId="30" fillId="0" borderId="0" xfId="42" applyNumberFormat="1" applyFont="1" applyAlignment="1" applyProtection="1">
      <alignment horizontal="center"/>
      <protection hidden="1"/>
    </xf>
    <xf numFmtId="3" fontId="30" fillId="0" borderId="0" xfId="42" applyNumberFormat="1" applyFont="1" applyAlignment="1">
      <alignment horizontal="center"/>
    </xf>
    <xf numFmtId="0" fontId="31" fillId="0" borderId="2" xfId="42" applyFont="1" applyBorder="1"/>
    <xf numFmtId="0" fontId="31" fillId="0" borderId="23" xfId="42" applyFont="1" applyBorder="1" applyProtection="1">
      <protection hidden="1"/>
    </xf>
    <xf numFmtId="3" fontId="25" fillId="0" borderId="23" xfId="42" applyNumberFormat="1" applyFont="1" applyBorder="1" applyAlignment="1" applyProtection="1">
      <alignment horizontal="center"/>
      <protection hidden="1"/>
    </xf>
    <xf numFmtId="3" fontId="25" fillId="0" borderId="24" xfId="42" applyNumberFormat="1" applyFont="1" applyBorder="1" applyAlignment="1">
      <alignment horizontal="center"/>
    </xf>
    <xf numFmtId="3" fontId="25" fillId="0" borderId="0" xfId="42" applyNumberFormat="1" applyFont="1" applyAlignment="1">
      <alignment horizontal="center"/>
    </xf>
    <xf numFmtId="0" fontId="25" fillId="0" borderId="19" xfId="42" applyFont="1" applyBorder="1"/>
    <xf numFmtId="0" fontId="33" fillId="0" borderId="0" xfId="42" applyFont="1" applyBorder="1" applyProtection="1">
      <protection hidden="1"/>
    </xf>
    <xf numFmtId="5" fontId="33" fillId="0" borderId="0" xfId="42" applyNumberFormat="1" applyFont="1" applyBorder="1" applyProtection="1">
      <protection hidden="1"/>
    </xf>
    <xf numFmtId="3" fontId="32" fillId="0" borderId="6" xfId="42" applyNumberFormat="1" applyFont="1" applyBorder="1"/>
    <xf numFmtId="5" fontId="33" fillId="0" borderId="0" xfId="42" applyNumberFormat="1" applyFont="1" applyBorder="1"/>
    <xf numFmtId="3" fontId="32" fillId="0" borderId="0" xfId="42" applyNumberFormat="1" applyFont="1"/>
    <xf numFmtId="5" fontId="33" fillId="0" borderId="1" xfId="42" applyNumberFormat="1" applyFont="1" applyBorder="1" applyProtection="1">
      <protection hidden="1"/>
    </xf>
    <xf numFmtId="3" fontId="32" fillId="0" borderId="0" xfId="42" applyNumberFormat="1" applyFont="1" applyBorder="1"/>
    <xf numFmtId="0" fontId="33" fillId="0" borderId="0" xfId="42" applyFont="1" applyBorder="1" applyAlignment="1" applyProtection="1">
      <alignment horizontal="center"/>
      <protection hidden="1"/>
    </xf>
    <xf numFmtId="3" fontId="32" fillId="0" borderId="0" xfId="42" applyNumberFormat="1" applyFont="1" applyProtection="1">
      <protection hidden="1"/>
    </xf>
    <xf numFmtId="5" fontId="33" fillId="0" borderId="0" xfId="42" applyNumberFormat="1" applyFont="1" applyBorder="1" applyAlignment="1" applyProtection="1">
      <alignment horizontal="center"/>
      <protection hidden="1"/>
    </xf>
    <xf numFmtId="0" fontId="33" fillId="0" borderId="21" xfId="42" applyFont="1" applyBorder="1" applyAlignment="1" applyProtection="1">
      <alignment horizontal="center"/>
      <protection hidden="1"/>
    </xf>
    <xf numFmtId="166" fontId="33" fillId="0" borderId="0" xfId="42" applyNumberFormat="1" applyFont="1" applyBorder="1" applyAlignment="1" applyProtection="1">
      <alignment horizontal="left"/>
      <protection hidden="1"/>
    </xf>
    <xf numFmtId="3" fontId="25" fillId="0" borderId="6" xfId="42" applyNumberFormat="1" applyFont="1" applyBorder="1" applyAlignment="1">
      <alignment horizontal="center"/>
    </xf>
    <xf numFmtId="167" fontId="33" fillId="0" borderId="0" xfId="42" applyNumberFormat="1" applyFont="1" applyBorder="1" applyAlignment="1" applyProtection="1">
      <alignment horizontal="left"/>
      <protection hidden="1"/>
    </xf>
    <xf numFmtId="14" fontId="33" fillId="0" borderId="0" xfId="42" applyNumberFormat="1" applyFont="1" applyBorder="1" applyAlignment="1" applyProtection="1">
      <alignment horizontal="left"/>
      <protection hidden="1"/>
    </xf>
    <xf numFmtId="0" fontId="25" fillId="0" borderId="20" xfId="42" applyFont="1" applyBorder="1"/>
    <xf numFmtId="14" fontId="33" fillId="0" borderId="21" xfId="42" applyNumberFormat="1" applyFont="1" applyBorder="1" applyAlignment="1" applyProtection="1">
      <alignment horizontal="left"/>
      <protection hidden="1"/>
    </xf>
    <xf numFmtId="5" fontId="33" fillId="0" borderId="21" xfId="42" applyNumberFormat="1" applyFont="1" applyBorder="1" applyProtection="1">
      <protection hidden="1"/>
    </xf>
    <xf numFmtId="3" fontId="32" fillId="0" borderId="22" xfId="42" applyNumberFormat="1" applyFont="1" applyBorder="1"/>
    <xf numFmtId="0" fontId="25" fillId="0" borderId="0" xfId="42" applyFont="1" applyBorder="1"/>
    <xf numFmtId="0" fontId="25" fillId="0" borderId="2" xfId="42" applyFont="1" applyBorder="1"/>
    <xf numFmtId="14" fontId="33" fillId="0" borderId="23" xfId="42" applyNumberFormat="1" applyFont="1" applyBorder="1" applyAlignment="1" applyProtection="1">
      <alignment horizontal="left"/>
      <protection hidden="1"/>
    </xf>
    <xf numFmtId="5" fontId="33" fillId="0" borderId="23" xfId="42" applyNumberFormat="1" applyFont="1" applyBorder="1" applyProtection="1">
      <protection hidden="1"/>
    </xf>
    <xf numFmtId="3" fontId="32" fillId="0" borderId="24" xfId="42" applyNumberFormat="1" applyFont="1" applyBorder="1"/>
    <xf numFmtId="3" fontId="33" fillId="0" borderId="0" xfId="42" applyNumberFormat="1" applyFont="1" applyBorder="1" applyProtection="1">
      <protection hidden="1"/>
    </xf>
    <xf numFmtId="0" fontId="33" fillId="0" borderId="23" xfId="42" applyFont="1" applyBorder="1" applyProtection="1">
      <protection hidden="1"/>
    </xf>
    <xf numFmtId="3" fontId="33" fillId="0" borderId="23" xfId="42" applyNumberFormat="1" applyFont="1" applyBorder="1" applyProtection="1">
      <protection hidden="1"/>
    </xf>
    <xf numFmtId="7" fontId="33" fillId="0" borderId="0" xfId="42" applyNumberFormat="1" applyFont="1" applyBorder="1" applyProtection="1">
      <protection hidden="1"/>
    </xf>
    <xf numFmtId="7" fontId="33" fillId="0" borderId="1" xfId="42" applyNumberFormat="1" applyFont="1" applyBorder="1" applyProtection="1">
      <protection hidden="1"/>
    </xf>
    <xf numFmtId="0" fontId="31" fillId="0" borderId="21" xfId="42" applyFont="1" applyBorder="1" applyProtection="1">
      <protection hidden="1"/>
    </xf>
    <xf numFmtId="3" fontId="32" fillId="0" borderId="21" xfId="42" applyNumberFormat="1" applyFont="1" applyBorder="1" applyProtection="1">
      <protection hidden="1"/>
    </xf>
    <xf numFmtId="0" fontId="31" fillId="0" borderId="0" xfId="42" applyFont="1" applyBorder="1"/>
    <xf numFmtId="0" fontId="28" fillId="0" borderId="0" xfId="42" applyFont="1"/>
    <xf numFmtId="168" fontId="28" fillId="33" borderId="0" xfId="42" applyNumberFormat="1" applyFont="1" applyFill="1"/>
    <xf numFmtId="164" fontId="21" fillId="0" borderId="0" xfId="0" quotePrefix="1" applyNumberFormat="1" applyFont="1" applyProtection="1">
      <protection hidden="1"/>
    </xf>
    <xf numFmtId="0" fontId="2" fillId="0" borderId="0" xfId="43"/>
    <xf numFmtId="3" fontId="36" fillId="0" borderId="1" xfId="43" applyNumberFormat="1" applyFont="1" applyBorder="1"/>
    <xf numFmtId="49" fontId="21" fillId="0" borderId="0" xfId="0" quotePrefix="1" applyNumberFormat="1" applyFont="1"/>
    <xf numFmtId="5" fontId="33" fillId="0" borderId="0" xfId="42" applyNumberFormat="1" applyFont="1" applyFill="1" applyBorder="1" applyProtection="1">
      <protection hidden="1"/>
    </xf>
    <xf numFmtId="3" fontId="24" fillId="0" borderId="0" xfId="0" applyNumberFormat="1" applyFont="1" applyBorder="1" applyAlignment="1" applyProtection="1">
      <alignment wrapText="1"/>
      <protection hidden="1"/>
    </xf>
    <xf numFmtId="0" fontId="2" fillId="0" borderId="0" xfId="43" applyBorder="1" applyAlignment="1" applyProtection="1">
      <alignment horizontal="center" wrapText="1"/>
      <protection hidden="1"/>
    </xf>
    <xf numFmtId="0" fontId="36" fillId="0" borderId="0" xfId="43" applyFont="1" applyAlignment="1" applyProtection="1">
      <protection hidden="1"/>
    </xf>
    <xf numFmtId="0" fontId="33" fillId="0" borderId="0" xfId="42" applyFont="1" applyBorder="1" applyAlignment="1" applyProtection="1">
      <alignment horizontal="right"/>
      <protection hidden="1"/>
    </xf>
    <xf numFmtId="14" fontId="33" fillId="0" borderId="0" xfId="42" applyNumberFormat="1" applyFont="1" applyBorder="1" applyAlignment="1" applyProtection="1">
      <alignment horizontal="right"/>
      <protection hidden="1"/>
    </xf>
    <xf numFmtId="7" fontId="33" fillId="0" borderId="1" xfId="42" applyNumberFormat="1" applyFont="1" applyBorder="1" applyAlignment="1" applyProtection="1">
      <alignment horizontal="right"/>
      <protection hidden="1"/>
    </xf>
    <xf numFmtId="0" fontId="28" fillId="34" borderId="0" xfId="42" applyFill="1"/>
    <xf numFmtId="3" fontId="32" fillId="34" borderId="0" xfId="42" applyNumberFormat="1" applyFont="1" applyFill="1"/>
    <xf numFmtId="5" fontId="33" fillId="34" borderId="0" xfId="42" applyNumberFormat="1" applyFont="1" applyFill="1" applyBorder="1"/>
    <xf numFmtId="3" fontId="32" fillId="34" borderId="0" xfId="42" applyNumberFormat="1" applyFont="1" applyFill="1" applyBorder="1"/>
    <xf numFmtId="3" fontId="24" fillId="34" borderId="3" xfId="0" applyNumberFormat="1" applyFont="1" applyFill="1" applyBorder="1" applyAlignment="1" applyProtection="1">
      <alignment wrapText="1"/>
      <protection hidden="1"/>
    </xf>
    <xf numFmtId="0" fontId="28" fillId="0" borderId="2" xfId="42" applyBorder="1"/>
    <xf numFmtId="0" fontId="28" fillId="0" borderId="23" xfId="42" applyBorder="1"/>
    <xf numFmtId="0" fontId="28" fillId="0" borderId="24" xfId="42" applyBorder="1"/>
    <xf numFmtId="0" fontId="28" fillId="0" borderId="19" xfId="42" applyBorder="1"/>
    <xf numFmtId="0" fontId="36" fillId="0" borderId="6" xfId="43" applyFont="1" applyBorder="1" applyAlignment="1" applyProtection="1">
      <alignment horizontal="center"/>
      <protection hidden="1"/>
    </xf>
    <xf numFmtId="0" fontId="36" fillId="0" borderId="6" xfId="43" applyFont="1" applyBorder="1" applyAlignment="1" applyProtection="1">
      <alignment horizontal="center" wrapText="1"/>
      <protection hidden="1"/>
    </xf>
    <xf numFmtId="0" fontId="28" fillId="0" borderId="6" xfId="42" applyBorder="1"/>
    <xf numFmtId="0" fontId="28" fillId="0" borderId="20" xfId="42" applyBorder="1"/>
    <xf numFmtId="0" fontId="28" fillId="0" borderId="21" xfId="42" applyBorder="1"/>
    <xf numFmtId="0" fontId="28" fillId="0" borderId="22" xfId="42" applyBorder="1"/>
    <xf numFmtId="3" fontId="24" fillId="34" borderId="24" xfId="0" applyNumberFormat="1" applyFont="1" applyFill="1" applyBorder="1" applyAlignment="1" applyProtection="1">
      <alignment wrapText="1"/>
      <protection hidden="1"/>
    </xf>
    <xf numFmtId="0" fontId="28" fillId="0" borderId="0" xfId="42" applyBorder="1"/>
    <xf numFmtId="5" fontId="28" fillId="0" borderId="0" xfId="42" applyNumberFormat="1" applyBorder="1"/>
    <xf numFmtId="3" fontId="37" fillId="0" borderId="0" xfId="0" applyNumberFormat="1" applyFont="1"/>
    <xf numFmtId="0" fontId="37" fillId="0" borderId="0" xfId="0" applyFont="1"/>
    <xf numFmtId="3" fontId="21" fillId="37" borderId="0" xfId="0" applyNumberFormat="1" applyFont="1" applyFill="1" applyProtection="1">
      <protection hidden="1"/>
    </xf>
    <xf numFmtId="0" fontId="25" fillId="37" borderId="0" xfId="0" applyFont="1" applyFill="1" applyProtection="1">
      <protection hidden="1"/>
    </xf>
    <xf numFmtId="2" fontId="21" fillId="37" borderId="0" xfId="0" applyNumberFormat="1" applyFont="1" applyFill="1" applyAlignment="1" applyProtection="1">
      <alignment horizontal="right"/>
      <protection hidden="1"/>
    </xf>
    <xf numFmtId="3" fontId="21" fillId="37" borderId="0" xfId="0" applyNumberFormat="1" applyFont="1" applyFill="1" applyAlignment="1" applyProtection="1">
      <alignment horizontal="right"/>
      <protection hidden="1"/>
    </xf>
    <xf numFmtId="0" fontId="21" fillId="37" borderId="0" xfId="0" applyFont="1" applyFill="1" applyProtection="1">
      <protection hidden="1"/>
    </xf>
    <xf numFmtId="3" fontId="24" fillId="0" borderId="3" xfId="0" applyNumberFormat="1" applyFont="1" applyFill="1" applyBorder="1" applyAlignment="1" applyProtection="1">
      <alignment horizontal="center"/>
      <protection hidden="1"/>
    </xf>
    <xf numFmtId="3" fontId="24" fillId="0" borderId="5" xfId="0" applyNumberFormat="1" applyFont="1" applyFill="1" applyBorder="1" applyAlignment="1" applyProtection="1">
      <alignment horizontal="center"/>
      <protection hidden="1"/>
    </xf>
    <xf numFmtId="3" fontId="24" fillId="0" borderId="0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Fill="1" applyProtection="1">
      <protection hidden="1"/>
    </xf>
    <xf numFmtId="3" fontId="21" fillId="0" borderId="1" xfId="0" applyNumberFormat="1" applyFont="1" applyFill="1" applyBorder="1" applyProtection="1">
      <protection hidden="1"/>
    </xf>
    <xf numFmtId="3" fontId="20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49" fontId="1" fillId="0" borderId="0" xfId="44" applyNumberFormat="1"/>
    <xf numFmtId="3" fontId="1" fillId="0" borderId="0" xfId="44" applyNumberFormat="1"/>
    <xf numFmtId="0" fontId="2" fillId="0" borderId="0" xfId="43" applyAlignment="1">
      <alignment vertical="center" wrapText="1"/>
    </xf>
    <xf numFmtId="0" fontId="2" fillId="34" borderId="0" xfId="43" applyFill="1"/>
    <xf numFmtId="49" fontId="1" fillId="34" borderId="0" xfId="44" applyNumberFormat="1" applyFill="1"/>
    <xf numFmtId="0" fontId="1" fillId="34" borderId="0" xfId="44" applyNumberFormat="1" applyFill="1"/>
    <xf numFmtId="49" fontId="2" fillId="34" borderId="0" xfId="43" applyNumberFormat="1" applyFill="1"/>
    <xf numFmtId="0" fontId="36" fillId="0" borderId="0" xfId="43" applyFont="1" applyAlignment="1">
      <alignment vertical="center" wrapText="1"/>
    </xf>
    <xf numFmtId="0" fontId="36" fillId="34" borderId="0" xfId="44" applyFont="1" applyFill="1"/>
    <xf numFmtId="0" fontId="36" fillId="0" borderId="0" xfId="44" applyFont="1"/>
    <xf numFmtId="0" fontId="1" fillId="0" borderId="0" xfId="43" quotePrefix="1" applyFont="1"/>
    <xf numFmtId="0" fontId="36" fillId="0" borderId="0" xfId="43" applyFont="1"/>
    <xf numFmtId="4" fontId="21" fillId="0" borderId="0" xfId="0" applyNumberFormat="1" applyFont="1"/>
    <xf numFmtId="0" fontId="21" fillId="0" borderId="0" xfId="0" quotePrefix="1" applyFont="1"/>
    <xf numFmtId="0" fontId="39" fillId="0" borderId="0" xfId="43" applyFont="1" applyProtection="1">
      <protection hidden="1"/>
    </xf>
    <xf numFmtId="49" fontId="40" fillId="34" borderId="0" xfId="0" applyNumberFormat="1" applyFont="1" applyFill="1" applyBorder="1" applyAlignment="1" applyProtection="1">
      <protection hidden="1"/>
    </xf>
    <xf numFmtId="164" fontId="40" fillId="0" borderId="0" xfId="0" applyNumberFormat="1" applyFont="1" applyAlignment="1" applyProtection="1">
      <protection hidden="1"/>
    </xf>
    <xf numFmtId="49" fontId="40" fillId="34" borderId="0" xfId="0" applyNumberFormat="1" applyFont="1" applyFill="1" applyBorder="1" applyProtection="1">
      <protection hidden="1"/>
    </xf>
    <xf numFmtId="0" fontId="40" fillId="0" borderId="0" xfId="0" applyFont="1" applyProtection="1">
      <protection hidden="1"/>
    </xf>
    <xf numFmtId="0" fontId="41" fillId="36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0" fillId="34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center" wrapText="1"/>
      <protection hidden="1"/>
    </xf>
    <xf numFmtId="0" fontId="41" fillId="0" borderId="21" xfId="0" applyFont="1" applyBorder="1" applyAlignment="1" applyProtection="1">
      <alignment horizontal="center" wrapText="1"/>
      <protection hidden="1"/>
    </xf>
    <xf numFmtId="0" fontId="41" fillId="36" borderId="21" xfId="0" applyFont="1" applyFill="1" applyBorder="1" applyProtection="1">
      <protection hidden="1"/>
    </xf>
    <xf numFmtId="4" fontId="38" fillId="0" borderId="21" xfId="0" applyNumberFormat="1" applyFont="1" applyBorder="1" applyAlignment="1" applyProtection="1">
      <alignment horizontal="center" wrapText="1"/>
      <protection hidden="1"/>
    </xf>
    <xf numFmtId="4" fontId="38" fillId="0" borderId="0" xfId="0" applyNumberFormat="1" applyFont="1" applyBorder="1" applyAlignment="1" applyProtection="1">
      <alignment horizontal="center" wrapText="1"/>
      <protection hidden="1"/>
    </xf>
    <xf numFmtId="4" fontId="39" fillId="0" borderId="0" xfId="43" applyNumberFormat="1" applyFont="1" applyProtection="1">
      <protection hidden="1"/>
    </xf>
    <xf numFmtId="4" fontId="41" fillId="0" borderId="1" xfId="0" applyNumberFormat="1" applyFont="1" applyBorder="1" applyProtection="1">
      <protection hidden="1"/>
    </xf>
    <xf numFmtId="49" fontId="39" fillId="0" borderId="0" xfId="43" applyNumberFormat="1" applyFont="1" applyBorder="1" applyProtection="1">
      <protection hidden="1"/>
    </xf>
    <xf numFmtId="0" fontId="39" fillId="34" borderId="0" xfId="0" applyFont="1" applyFill="1" applyProtection="1">
      <protection hidden="1"/>
    </xf>
    <xf numFmtId="0" fontId="39" fillId="0" borderId="0" xfId="0" applyFont="1" applyProtection="1">
      <protection hidden="1"/>
    </xf>
    <xf numFmtId="49" fontId="39" fillId="34" borderId="0" xfId="0" applyNumberFormat="1" applyFont="1" applyFill="1" applyBorder="1" applyProtection="1">
      <protection hidden="1"/>
    </xf>
    <xf numFmtId="0" fontId="39" fillId="36" borderId="0" xfId="0" applyFont="1" applyFill="1" applyProtection="1">
      <protection hidden="1"/>
    </xf>
    <xf numFmtId="0" fontId="39" fillId="34" borderId="0" xfId="0" applyFont="1" applyFill="1"/>
    <xf numFmtId="0" fontId="39" fillId="0" borderId="25" xfId="0" applyFont="1" applyBorder="1"/>
    <xf numFmtId="0" fontId="39" fillId="34" borderId="25" xfId="0" applyFont="1" applyFill="1" applyBorder="1"/>
    <xf numFmtId="4" fontId="39" fillId="0" borderId="25" xfId="0" applyNumberFormat="1" applyFont="1" applyBorder="1" applyProtection="1">
      <protection hidden="1"/>
    </xf>
    <xf numFmtId="0" fontId="39" fillId="36" borderId="25" xfId="0" applyFont="1" applyFill="1" applyBorder="1" applyProtection="1">
      <protection hidden="1"/>
    </xf>
    <xf numFmtId="0" fontId="39" fillId="33" borderId="0" xfId="0" quotePrefix="1" applyFont="1" applyFill="1" applyProtection="1">
      <protection hidden="1"/>
    </xf>
    <xf numFmtId="164" fontId="22" fillId="0" borderId="0" xfId="0" applyNumberFormat="1" applyFont="1" applyBorder="1" applyAlignment="1" applyProtection="1">
      <alignment horizontal="center"/>
      <protection hidden="1"/>
    </xf>
    <xf numFmtId="164" fontId="26" fillId="0" borderId="0" xfId="0" applyNumberFormat="1" applyFont="1" applyBorder="1" applyAlignment="1" applyProtection="1">
      <alignment horizontal="center"/>
      <protection hidden="1"/>
    </xf>
    <xf numFmtId="0" fontId="25" fillId="33" borderId="0" xfId="0" applyFont="1" applyFill="1" applyAlignment="1" applyProtection="1">
      <alignment horizont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6" xfId="0" applyFont="1" applyBorder="1" applyAlignment="1" applyProtection="1">
      <alignment horizontal="center"/>
      <protection hidden="1"/>
    </xf>
    <xf numFmtId="3" fontId="24" fillId="0" borderId="7" xfId="0" applyNumberFormat="1" applyFont="1" applyBorder="1" applyAlignment="1" applyProtection="1">
      <alignment horizontal="center" vertical="center"/>
      <protection hidden="1"/>
    </xf>
    <xf numFmtId="3" fontId="24" fillId="0" borderId="8" xfId="0" applyNumberFormat="1" applyFont="1" applyBorder="1" applyAlignment="1" applyProtection="1">
      <alignment horizontal="center" vertical="center"/>
      <protection hidden="1"/>
    </xf>
    <xf numFmtId="3" fontId="24" fillId="0" borderId="9" xfId="0" applyNumberFormat="1" applyFont="1" applyBorder="1" applyAlignment="1" applyProtection="1">
      <alignment horizontal="center" vertical="center"/>
      <protection hidden="1"/>
    </xf>
    <xf numFmtId="164" fontId="26" fillId="0" borderId="0" xfId="0" applyNumberFormat="1" applyFont="1" applyBorder="1" applyAlignment="1" applyProtection="1">
      <alignment horizontal="center" wrapText="1"/>
      <protection hidden="1"/>
    </xf>
    <xf numFmtId="0" fontId="25" fillId="34" borderId="0" xfId="0" applyFont="1" applyFill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alignment horizontal="center" wrapText="1"/>
      <protection hidden="1"/>
    </xf>
    <xf numFmtId="164" fontId="24" fillId="33" borderId="0" xfId="0" applyNumberFormat="1" applyFont="1" applyFill="1" applyBorder="1" applyAlignment="1" applyProtection="1">
      <alignment horizontal="center"/>
      <protection hidden="1"/>
    </xf>
    <xf numFmtId="0" fontId="25" fillId="34" borderId="0" xfId="0" applyNumberFormat="1" applyFont="1" applyFill="1" applyAlignment="1" applyProtection="1">
      <alignment horizontal="center" wrapText="1"/>
      <protection hidden="1"/>
    </xf>
    <xf numFmtId="3" fontId="22" fillId="0" borderId="0" xfId="0" applyNumberFormat="1" applyFont="1" applyBorder="1" applyAlignment="1" applyProtection="1">
      <alignment horizontal="center"/>
      <protection hidden="1"/>
    </xf>
    <xf numFmtId="3" fontId="29" fillId="35" borderId="7" xfId="42" applyNumberFormat="1" applyFont="1" applyFill="1" applyBorder="1" applyAlignment="1">
      <alignment horizontal="center" wrapText="1"/>
    </xf>
    <xf numFmtId="3" fontId="29" fillId="35" borderId="8" xfId="42" applyNumberFormat="1" applyFont="1" applyFill="1" applyBorder="1" applyAlignment="1">
      <alignment horizontal="center" wrapText="1"/>
    </xf>
    <xf numFmtId="3" fontId="29" fillId="35" borderId="9" xfId="42" applyNumberFormat="1" applyFont="1" applyFill="1" applyBorder="1" applyAlignment="1">
      <alignment horizontal="center" wrapText="1"/>
    </xf>
    <xf numFmtId="3" fontId="29" fillId="0" borderId="0" xfId="42" applyNumberFormat="1" applyFont="1" applyBorder="1" applyAlignment="1">
      <alignment horizontal="center" wrapText="1"/>
    </xf>
    <xf numFmtId="3" fontId="29" fillId="0" borderId="6" xfId="42" applyNumberFormat="1" applyFont="1" applyBorder="1" applyAlignment="1">
      <alignment horizontal="center" wrapText="1"/>
    </xf>
    <xf numFmtId="3" fontId="26" fillId="0" borderId="0" xfId="0" applyNumberFormat="1" applyFont="1" applyBorder="1" applyAlignment="1" applyProtection="1">
      <alignment horizontal="center" wrapText="1"/>
      <protection hidden="1"/>
    </xf>
    <xf numFmtId="3" fontId="26" fillId="0" borderId="21" xfId="0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Fill="1" applyBorder="1" applyAlignment="1" applyProtection="1">
      <alignment horizontal="center" wrapText="1"/>
      <protection hidden="1"/>
    </xf>
    <xf numFmtId="3" fontId="26" fillId="0" borderId="21" xfId="0" applyNumberFormat="1" applyFont="1" applyFill="1" applyBorder="1" applyAlignment="1" applyProtection="1">
      <alignment horizontal="center" wrapText="1"/>
      <protection hidden="1"/>
    </xf>
    <xf numFmtId="3" fontId="22" fillId="0" borderId="23" xfId="0" applyNumberFormat="1" applyFont="1" applyBorder="1" applyAlignment="1" applyProtection="1">
      <alignment horizontal="center"/>
      <protection hidden="1"/>
    </xf>
    <xf numFmtId="3" fontId="22" fillId="0" borderId="24" xfId="0" applyNumberFormat="1" applyFont="1" applyBorder="1" applyAlignment="1" applyProtection="1">
      <alignment horizontal="center"/>
      <protection hidden="1"/>
    </xf>
    <xf numFmtId="3" fontId="22" fillId="0" borderId="6" xfId="0" applyNumberFormat="1" applyFont="1" applyBorder="1" applyAlignment="1" applyProtection="1">
      <alignment horizontal="center"/>
      <protection hidden="1"/>
    </xf>
    <xf numFmtId="14" fontId="26" fillId="0" borderId="23" xfId="42" applyNumberFormat="1" applyFont="1" applyBorder="1" applyAlignment="1" applyProtection="1">
      <alignment horizontal="center" wrapText="1"/>
      <protection hidden="1"/>
    </xf>
    <xf numFmtId="14" fontId="26" fillId="0" borderId="0" xfId="42" applyNumberFormat="1" applyFont="1" applyBorder="1" applyAlignment="1" applyProtection="1">
      <alignment horizontal="center" wrapText="1"/>
      <protection hidden="1"/>
    </xf>
    <xf numFmtId="14" fontId="26" fillId="0" borderId="21" xfId="42" applyNumberFormat="1" applyFont="1" applyBorder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/>
      <protection hidden="1"/>
    </xf>
    <xf numFmtId="164" fontId="38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8" t="str">
        <f>CONCATENATE("FY ",Notes!$B$1," Budget for State Payments to School Districts (Budget Total)")</f>
        <v>FY 2022 Budget for State Payments to School Districts (Budget Total)</v>
      </c>
      <c r="B1" s="208"/>
      <c r="C1" s="208"/>
      <c r="D1" s="208"/>
      <c r="E1" s="208"/>
      <c r="F1" s="208"/>
      <c r="G1" s="208"/>
      <c r="H1" s="10"/>
    </row>
    <row r="2" spans="1:8" s="11" customFormat="1" ht="14.45" customHeight="1" x14ac:dyDescent="0.2">
      <c r="A2" s="209" t="s">
        <v>18</v>
      </c>
      <c r="B2" s="209"/>
      <c r="C2" s="209"/>
      <c r="D2" s="209"/>
      <c r="E2" s="209"/>
      <c r="F2" s="209"/>
      <c r="G2" s="209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3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3485100</v>
      </c>
      <c r="D6" s="22">
        <f>INDEX(Data[],MATCH($A6,Data[Dist],0),MATCH(D$4,Data[#Headers],0))</f>
        <v>746</v>
      </c>
      <c r="E6" s="22">
        <f>IF(Notes!$B$3="Pay 1 Regular State Payment Budget",0,INDEX(Data[],MATCH($A6,Data[Dist],0),MATCH(E$4,Data[#Headers],0)))</f>
        <v>16062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3468292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1512092</v>
      </c>
      <c r="D7" s="22">
        <f>INDEX(Data[],MATCH($A7,Data[Dist],0),MATCH(D$4,Data[#Headers],0))</f>
        <v>299</v>
      </c>
      <c r="E7" s="22">
        <f>IF(Notes!$B$3="Pay 1 Regular State Payment Budget",0,INDEX(Data[],MATCH($A7,Data[Dist],0),MATCH(E$4,Data[#Headers],0)))</f>
        <v>7012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1504781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13528656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47609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13481047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3690942</v>
      </c>
      <c r="D9" s="22">
        <f>INDEX(Data[],MATCH($A9,Data[Dist],0),MATCH(D$4,Data[#Headers],0))</f>
        <v>464</v>
      </c>
      <c r="E9" s="22">
        <f>IF(Notes!$B$3="Pay 1 Regular State Payment Budget",0,INDEX(Data[],MATCH($A9,Data[Dist],0),MATCH(E$4,Data[#Headers],0)))</f>
        <v>12815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3677663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1133202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5124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1127896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8117974</v>
      </c>
      <c r="D11" s="22">
        <f>INDEX(Data[],MATCH($A11,Data[Dist],0),MATCH(D$4,Data[#Headers],0))</f>
        <v>995</v>
      </c>
      <c r="E11" s="22">
        <f>IF(Notes!$B$3="Pay 1 Regular State Payment Budget",0,INDEX(Data[],MATCH($A11,Data[Dist],0),MATCH(E$4,Data[#Headers],0)))</f>
        <v>27314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8089665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3112186</v>
      </c>
      <c r="D12" s="22">
        <f>INDEX(Data[],MATCH($A12,Data[Dist],0),MATCH(D$4,Data[#Headers],0))</f>
        <v>597</v>
      </c>
      <c r="E12" s="22">
        <f>IF(Notes!$B$3="Pay 1 Regular State Payment Budget",0,INDEX(Data[],MATCH($A12,Data[Dist],0),MATCH(E$4,Data[#Headers],0)))</f>
        <v>12259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3099330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1494352</v>
      </c>
      <c r="D13" s="22">
        <f>INDEX(Data[],MATCH($A13,Data[Dist],0),MATCH(D$4,Data[#Headers],0))</f>
        <v>216</v>
      </c>
      <c r="E13" s="22">
        <f>IF(Notes!$B$3="Pay 1 Regular State Payment Budget",0,INDEX(Data[],MATCH($A13,Data[Dist],0),MATCH(E$4,Data[#Headers],0)))</f>
        <v>6017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1488119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7441342</v>
      </c>
      <c r="D14" s="22">
        <f>INDEX(Data[],MATCH($A14,Data[Dist],0),MATCH(D$4,Data[#Headers],0))</f>
        <v>1791</v>
      </c>
      <c r="E14" s="22">
        <f>IF(Notes!$B$3="Pay 1 Regular State Payment Budget",0,INDEX(Data[],MATCH($A14,Data[Dist],0),MATCH(E$4,Data[#Headers],0)))</f>
        <v>30462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7409089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6273009</v>
      </c>
      <c r="D15" s="22">
        <f>INDEX(Data[],MATCH($A15,Data[Dist],0),MATCH(D$4,Data[#Headers],0))</f>
        <v>1111</v>
      </c>
      <c r="E15" s="22">
        <f>IF(Notes!$B$3="Pay 1 Regular State Payment Budget",0,INDEX(Data[],MATCH($A15,Data[Dist],0),MATCH(E$4,Data[#Headers],0)))</f>
        <v>25438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6246460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3398920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13335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3385204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4838074</v>
      </c>
      <c r="D17" s="22">
        <f>INDEX(Data[],MATCH($A17,Data[Dist],0),MATCH(D$4,Data[#Headers],0))</f>
        <v>995</v>
      </c>
      <c r="E17" s="22">
        <f>IF(Notes!$B$3="Pay 1 Regular State Payment Budget",0,INDEX(Data[],MATCH($A17,Data[Dist],0),MATCH(E$4,Data[#Headers],0)))</f>
        <v>19620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4817459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20470197</v>
      </c>
      <c r="D18" s="22">
        <f>INDEX(Data[],MATCH($A18,Data[Dist],0),MATCH(D$4,Data[#Headers],0))</f>
        <v>4196</v>
      </c>
      <c r="E18" s="22">
        <f>IF(Notes!$B$3="Pay 1 Regular State Payment Budget",0,INDEX(Data[],MATCH($A18,Data[Dist],0),MATCH(E$4,Data[#Headers],0)))</f>
        <v>103354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20362647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8561055</v>
      </c>
      <c r="D19" s="22">
        <f>INDEX(Data[],MATCH($A19,Data[Dist],0),MATCH(D$4,Data[#Headers],0))</f>
        <v>929</v>
      </c>
      <c r="E19" s="22">
        <f>IF(Notes!$B$3="Pay 1 Regular State Payment Budget",0,INDEX(Data[],MATCH($A19,Data[Dist],0),MATCH(E$4,Data[#Headers],0)))</f>
        <v>30533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8529593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1305045</v>
      </c>
      <c r="D20" s="22">
        <f>INDEX(Data[],MATCH($A20,Data[Dist],0),MATCH(D$4,Data[#Headers],0))</f>
        <v>149</v>
      </c>
      <c r="E20" s="22">
        <f>IF(Notes!$B$3="Pay 1 Regular State Payment Budget",0,INDEX(Data[],MATCH($A20,Data[Dist],0),MATCH(E$4,Data[#Headers],0)))</f>
        <v>5152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1299744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75383866</v>
      </c>
      <c r="D21" s="22">
        <f>INDEX(Data[],MATCH($A21,Data[Dist],0),MATCH(D$4,Data[#Headers],0))</f>
        <v>4312</v>
      </c>
      <c r="E21" s="22">
        <f>IF(Notes!$B$3="Pay 1 Regular State Payment Budget",0,INDEX(Data[],MATCH($A21,Data[Dist],0),MATCH(E$4,Data[#Headers],0)))</f>
        <v>288543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75091011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5309783</v>
      </c>
      <c r="D22" s="22">
        <f>INDEX(Data[],MATCH($A22,Data[Dist],0),MATCH(D$4,Data[#Headers],0))</f>
        <v>829</v>
      </c>
      <c r="E22" s="22">
        <f>IF(Notes!$B$3="Pay 1 Regular State Payment Budget",0,INDEX(Data[],MATCH($A22,Data[Dist],0),MATCH(E$4,Data[#Headers],0)))</f>
        <v>18889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5290065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1618210</v>
      </c>
      <c r="D23" s="22">
        <f>INDEX(Data[],MATCH($A23,Data[Dist],0),MATCH(D$4,Data[#Headers],0))</f>
        <v>216</v>
      </c>
      <c r="E23" s="22">
        <f>IF(Notes!$B$3="Pay 1 Regular State Payment Budget",0,INDEX(Data[],MATCH($A23,Data[Dist],0),MATCH(E$4,Data[#Headers],0)))</f>
        <v>9525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1608469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1079883</v>
      </c>
      <c r="D24" s="22">
        <f>INDEX(Data[],MATCH($A24,Data[Dist],0),MATCH(D$4,Data[#Headers],0))</f>
        <v>299</v>
      </c>
      <c r="E24" s="22">
        <f>IF(Notes!$B$3="Pay 1 Regular State Payment Budget",0,INDEX(Data[],MATCH($A24,Data[Dist],0),MATCH(E$4,Data[#Headers],0)))</f>
        <v>6603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1072981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9141088</v>
      </c>
      <c r="D25" s="22">
        <f>INDEX(Data[],MATCH($A25,Data[Dist],0),MATCH(D$4,Data[#Headers],0))</f>
        <v>1393</v>
      </c>
      <c r="E25" s="22">
        <f>IF(Notes!$B$3="Pay 1 Regular State Payment Budget",0,INDEX(Data[],MATCH($A25,Data[Dist],0),MATCH(E$4,Data[#Headers],0)))</f>
        <v>31671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9108024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2994966</v>
      </c>
      <c r="D26" s="22">
        <f>INDEX(Data[],MATCH($A26,Data[Dist],0),MATCH(D$4,Data[#Headers],0))</f>
        <v>514</v>
      </c>
      <c r="E26" s="22">
        <f>IF(Notes!$B$3="Pay 1 Regular State Payment Budget",0,INDEX(Data[],MATCH($A26,Data[Dist],0),MATCH(E$4,Data[#Headers],0)))</f>
        <v>11927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2982525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3792953</v>
      </c>
      <c r="D27" s="22">
        <f>INDEX(Data[],MATCH($A27,Data[Dist],0),MATCH(D$4,Data[#Headers],0))</f>
        <v>796</v>
      </c>
      <c r="E27" s="22">
        <f>IF(Notes!$B$3="Pay 1 Regular State Payment Budget",0,INDEX(Data[],MATCH($A27,Data[Dist],0),MATCH(E$4,Data[#Headers],0)))</f>
        <v>17934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3774223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11499398</v>
      </c>
      <c r="D28" s="22">
        <f>INDEX(Data[],MATCH($A28,Data[Dist],0),MATCH(D$4,Data[#Headers],0))</f>
        <v>2090</v>
      </c>
      <c r="E28" s="22">
        <f>IF(Notes!$B$3="Pay 1 Regular State Payment Budget",0,INDEX(Data[],MATCH($A28,Data[Dist],0),MATCH(E$4,Data[#Headers],0)))</f>
        <v>39072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11458236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2373274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8107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2364752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2612327</v>
      </c>
      <c r="D30" s="22">
        <f>INDEX(Data[],MATCH($A30,Data[Dist],0),MATCH(D$4,Data[#Headers],0))</f>
        <v>348</v>
      </c>
      <c r="E30" s="22">
        <f>IF(Notes!$B$3="Pay 1 Regular State Payment Budget",0,INDEX(Data[],MATCH($A30,Data[Dist],0),MATCH(E$4,Data[#Headers],0)))</f>
        <v>11689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2600290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3040663</v>
      </c>
      <c r="D31" s="22">
        <f>INDEX(Data[],MATCH($A31,Data[Dist],0),MATCH(D$4,Data[#Headers],0))</f>
        <v>614</v>
      </c>
      <c r="E31" s="22">
        <f>IF(Notes!$B$3="Pay 1 Regular State Payment Budget",0,INDEX(Data[],MATCH($A31,Data[Dist],0),MATCH(E$4,Data[#Headers],0)))</f>
        <v>11627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3028422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2938700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11119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2927216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3466122</v>
      </c>
      <c r="D33" s="22">
        <f>INDEX(Data[],MATCH($A33,Data[Dist],0),MATCH(D$4,Data[#Headers],0))</f>
        <v>1194</v>
      </c>
      <c r="E33" s="22">
        <f>IF(Notes!$B$3="Pay 1 Regular State Payment Budget",0,INDEX(Data[],MATCH($A33,Data[Dist],0),MATCH(E$4,Data[#Headers],0)))</f>
        <v>14031</v>
      </c>
      <c r="F33" s="22">
        <f>IF(OR(Notes!$B$3="Pay 1 Regular State Payment Budget",Notes!$B$3="Pay 2 Regular State Payment Budget"),0,INDEX(Data[],MATCH($A33,Data[Dist],0),MATCH(F$4,Data[#Headers],0)))</f>
        <v>49456</v>
      </c>
      <c r="G33" s="22">
        <f>INDEX(Data[],MATCH($A33,Data[Dist],0),MATCH(G$4,Data[#Headers],0))</f>
        <v>3401441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4759804</v>
      </c>
      <c r="D34" s="22">
        <f>INDEX(Data[],MATCH($A34,Data[Dist],0),MATCH(D$4,Data[#Headers],0))</f>
        <v>431</v>
      </c>
      <c r="E34" s="22">
        <f>IF(Notes!$B$3="Pay 1 Regular State Payment Budget",0,INDEX(Data[],MATCH($A34,Data[Dist],0),MATCH(E$4,Data[#Headers],0)))</f>
        <v>18195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4741178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1178361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4801</v>
      </c>
      <c r="F35" s="22">
        <f>IF(OR(Notes!$B$3="Pay 1 Regular State Payment Budget",Notes!$B$3="Pay 2 Regular State Payment Budget"),0,INDEX(Data[],MATCH($A35,Data[Dist],0),MATCH(F$4,Data[#Headers],0)))</f>
        <v>15099</v>
      </c>
      <c r="G35" s="22">
        <f>INDEX(Data[],MATCH($A35,Data[Dist],0),MATCH(G$4,Data[#Headers],0))</f>
        <v>1158345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8737989</v>
      </c>
      <c r="D36" s="22">
        <f>INDEX(Data[],MATCH($A36,Data[Dist],0),MATCH(D$4,Data[#Headers],0))</f>
        <v>1675</v>
      </c>
      <c r="E36" s="22">
        <f>IF(Notes!$B$3="Pay 1 Regular State Payment Budget",0,INDEX(Data[],MATCH($A36,Data[Dist],0),MATCH(E$4,Data[#Headers],0)))</f>
        <v>35652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8700662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25363002</v>
      </c>
      <c r="D37" s="22">
        <f>INDEX(Data[],MATCH($A37,Data[Dist],0),MATCH(D$4,Data[#Headers],0))</f>
        <v>3781</v>
      </c>
      <c r="E37" s="22">
        <f>IF(Notes!$B$3="Pay 1 Regular State Payment Budget",0,INDEX(Data[],MATCH($A37,Data[Dist],0),MATCH(E$4,Data[#Headers],0)))</f>
        <v>96703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25262518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4416499</v>
      </c>
      <c r="D38" s="22">
        <f>INDEX(Data[],MATCH($A38,Data[Dist],0),MATCH(D$4,Data[#Headers],0))</f>
        <v>713</v>
      </c>
      <c r="E38" s="22">
        <f>IF(Notes!$B$3="Pay 1 Regular State Payment Budget",0,INDEX(Data[],MATCH($A38,Data[Dist],0),MATCH(E$4,Data[#Headers],0)))</f>
        <v>20687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4395099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16351727</v>
      </c>
      <c r="D39" s="22">
        <f>INDEX(Data[],MATCH($A39,Data[Dist],0),MATCH(D$4,Data[#Headers],0))</f>
        <v>1692</v>
      </c>
      <c r="E39" s="22">
        <f>IF(Notes!$B$3="Pay 1 Regular State Payment Budget",0,INDEX(Data[],MATCH($A39,Data[Dist],0),MATCH(E$4,Data[#Headers],0)))</f>
        <v>54902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16295133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14960102</v>
      </c>
      <c r="D40" s="22">
        <f>INDEX(Data[],MATCH($A40,Data[Dist],0),MATCH(D$4,Data[#Headers],0))</f>
        <v>1493</v>
      </c>
      <c r="E40" s="22">
        <f>IF(Notes!$B$3="Pay 1 Regular State Payment Budget",0,INDEX(Data[],MATCH($A40,Data[Dist],0),MATCH(E$4,Data[#Headers],0)))</f>
        <v>48006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14910603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3898913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14117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3883751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3055691</v>
      </c>
      <c r="D42" s="22">
        <f>INDEX(Data[],MATCH($A42,Data[Dist],0),MATCH(D$4,Data[#Headers],0))</f>
        <v>680</v>
      </c>
      <c r="E42" s="22">
        <f>IF(Notes!$B$3="Pay 1 Regular State Payment Budget",0,INDEX(Data[],MATCH($A42,Data[Dist],0),MATCH(E$4,Data[#Headers],0)))</f>
        <v>13454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3041557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3336269</v>
      </c>
      <c r="D43" s="22">
        <f>INDEX(Data[],MATCH($A43,Data[Dist],0),MATCH(D$4,Data[#Headers],0))</f>
        <v>614</v>
      </c>
      <c r="E43" s="22">
        <f>IF(Notes!$B$3="Pay 1 Regular State Payment Budget",0,INDEX(Data[],MATCH($A43,Data[Dist],0),MATCH(E$4,Data[#Headers],0)))</f>
        <v>12749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3322906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1766397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9848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1756051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29760633</v>
      </c>
      <c r="D45" s="22">
        <f>INDEX(Data[],MATCH($A45,Data[Dist],0),MATCH(D$4,Data[#Headers],0))</f>
        <v>1891</v>
      </c>
      <c r="E45" s="22">
        <f>IF(Notes!$B$3="Pay 1 Regular State Payment Budget",0,INDEX(Data[],MATCH($A45,Data[Dist],0),MATCH(E$4,Data[#Headers],0)))</f>
        <v>92950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29665792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1850338</v>
      </c>
      <c r="D46" s="22">
        <f>INDEX(Data[],MATCH($A46,Data[Dist],0),MATCH(D$4,Data[#Headers],0))</f>
        <v>464</v>
      </c>
      <c r="E46" s="22">
        <f>IF(Notes!$B$3="Pay 1 Regular State Payment Budget",0,INDEX(Data[],MATCH($A46,Data[Dist],0),MATCH(E$4,Data[#Headers],0)))</f>
        <v>11739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1838135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1516285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5910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1510076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2403454</v>
      </c>
      <c r="D48" s="22">
        <f>INDEX(Data[],MATCH($A48,Data[Dist],0),MATCH(D$4,Data[#Headers],0))</f>
        <v>464</v>
      </c>
      <c r="E48" s="22">
        <f>IF(Notes!$B$3="Pay 1 Regular State Payment Budget",0,INDEX(Data[],MATCH($A48,Data[Dist],0),MATCH(E$4,Data[#Headers],0)))</f>
        <v>9316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2393674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4919657</v>
      </c>
      <c r="D49" s="22">
        <f>INDEX(Data[],MATCH($A49,Data[Dist],0),MATCH(D$4,Data[#Headers],0))</f>
        <v>763</v>
      </c>
      <c r="E49" s="22">
        <f>IF(Notes!$B$3="Pay 1 Regular State Payment Budget",0,INDEX(Data[],MATCH($A49,Data[Dist],0),MATCH(E$4,Data[#Headers],0)))</f>
        <v>19290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4899604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4546370</v>
      </c>
      <c r="D50" s="22">
        <f>INDEX(Data[],MATCH($A50,Data[Dist],0),MATCH(D$4,Data[#Headers],0))</f>
        <v>1012</v>
      </c>
      <c r="E50" s="22">
        <f>IF(Notes!$B$3="Pay 1 Regular State Payment Budget",0,INDEX(Data[],MATCH($A50,Data[Dist],0),MATCH(E$4,Data[#Headers],0)))</f>
        <v>14038</v>
      </c>
      <c r="F50" s="22">
        <f>IF(OR(Notes!$B$3="Pay 1 Regular State Payment Budget",Notes!$B$3="Pay 2 Regular State Payment Budget"),0,INDEX(Data[],MATCH($A50,Data[Dist],0),MATCH(F$4,Data[#Headers],0)))</f>
        <v>5112</v>
      </c>
      <c r="G50" s="22">
        <f>INDEX(Data[],MATCH($A50,Data[Dist],0),MATCH(G$4,Data[#Headers],0))</f>
        <v>4526208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14726915</v>
      </c>
      <c r="D51" s="22">
        <f>INDEX(Data[],MATCH($A51,Data[Dist],0),MATCH(D$4,Data[#Headers],0))</f>
        <v>1725</v>
      </c>
      <c r="E51" s="22">
        <f>IF(Notes!$B$3="Pay 1 Regular State Payment Budget",0,INDEX(Data[],MATCH($A51,Data[Dist],0),MATCH(E$4,Data[#Headers],0)))</f>
        <v>46376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14678814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9225435</v>
      </c>
      <c r="D52" s="22">
        <f>INDEX(Data[],MATCH($A52,Data[Dist],0),MATCH(D$4,Data[#Headers],0))</f>
        <v>2786</v>
      </c>
      <c r="E52" s="22">
        <f>IF(Notes!$B$3="Pay 1 Regular State Payment Budget",0,INDEX(Data[],MATCH($A52,Data[Dist],0),MATCH(E$4,Data[#Headers],0)))</f>
        <v>40550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9182099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34764450</v>
      </c>
      <c r="D53" s="22">
        <f>INDEX(Data[],MATCH($A53,Data[Dist],0),MATCH(D$4,Data[#Headers],0))</f>
        <v>2836</v>
      </c>
      <c r="E53" s="22">
        <f>IF(Notes!$B$3="Pay 1 Regular State Payment Budget",0,INDEX(Data[],MATCH($A53,Data[Dist],0),MATCH(E$4,Data[#Headers],0)))</f>
        <v>129609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34632005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108311622</v>
      </c>
      <c r="D54" s="22">
        <f>INDEX(Data[],MATCH($A54,Data[Dist],0),MATCH(D$4,Data[#Headers],0))</f>
        <v>11211</v>
      </c>
      <c r="E54" s="22">
        <f>IF(Notes!$B$3="Pay 1 Regular State Payment Budget",0,INDEX(Data[],MATCH($A54,Data[Dist],0),MATCH(E$4,Data[#Headers],0)))</f>
        <v>385681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107914730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9401787</v>
      </c>
      <c r="D55" s="22">
        <f>INDEX(Data[],MATCH($A55,Data[Dist],0),MATCH(D$4,Data[#Headers],0))</f>
        <v>1426</v>
      </c>
      <c r="E55" s="22">
        <f>IF(Notes!$B$3="Pay 1 Regular State Payment Budget",0,INDEX(Data[],MATCH($A55,Data[Dist],0),MATCH(E$4,Data[#Headers],0)))</f>
        <v>30426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9369935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10331317</v>
      </c>
      <c r="D56" s="22">
        <f>INDEX(Data[],MATCH($A56,Data[Dist],0),MATCH(D$4,Data[#Headers],0))</f>
        <v>1012</v>
      </c>
      <c r="E56" s="22">
        <f>IF(Notes!$B$3="Pay 1 Regular State Payment Budget",0,INDEX(Data[],MATCH($A56,Data[Dist],0),MATCH(E$4,Data[#Headers],0)))</f>
        <v>32124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10298181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4575903</v>
      </c>
      <c r="D57" s="22">
        <f>INDEX(Data[],MATCH($A57,Data[Dist],0),MATCH(D$4,Data[#Headers],0))</f>
        <v>1061</v>
      </c>
      <c r="E57" s="22">
        <f>IF(Notes!$B$3="Pay 1 Regular State Payment Budget",0,INDEX(Data[],MATCH($A57,Data[Dist],0),MATCH(E$4,Data[#Headers],0)))</f>
        <v>18314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4556528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2639659</v>
      </c>
      <c r="D58" s="22">
        <f>INDEX(Data[],MATCH($A58,Data[Dist],0),MATCH(D$4,Data[#Headers],0))</f>
        <v>448</v>
      </c>
      <c r="E58" s="22">
        <f>IF(Notes!$B$3="Pay 1 Regular State Payment Budget",0,INDEX(Data[],MATCH($A58,Data[Dist],0),MATCH(E$4,Data[#Headers],0)))</f>
        <v>10095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2629116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9316819</v>
      </c>
      <c r="D59" s="22">
        <f>INDEX(Data[],MATCH($A59,Data[Dist],0),MATCH(D$4,Data[#Headers],0))</f>
        <v>1410</v>
      </c>
      <c r="E59" s="22">
        <f>IF(Notes!$B$3="Pay 1 Regular State Payment Budget",0,INDEX(Data[],MATCH($A59,Data[Dist],0),MATCH(E$4,Data[#Headers],0)))</f>
        <v>34735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9280674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3289576</v>
      </c>
      <c r="D60" s="22">
        <f>INDEX(Data[],MATCH($A60,Data[Dist],0),MATCH(D$4,Data[#Headers],0))</f>
        <v>398</v>
      </c>
      <c r="E60" s="22">
        <f>IF(Notes!$B$3="Pay 1 Regular State Payment Budget",0,INDEX(Data[],MATCH($A60,Data[Dist],0),MATCH(E$4,Data[#Headers],0)))</f>
        <v>11425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3277753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5009590</v>
      </c>
      <c r="D61" s="22">
        <f>INDEX(Data[],MATCH($A61,Data[Dist],0),MATCH(D$4,Data[#Headers],0))</f>
        <v>514</v>
      </c>
      <c r="E61" s="22">
        <f>IF(Notes!$B$3="Pay 1 Regular State Payment Budget",0,INDEX(Data[],MATCH($A61,Data[Dist],0),MATCH(E$4,Data[#Headers],0)))</f>
        <v>15397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4993679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4685762</v>
      </c>
      <c r="D62" s="22">
        <f>INDEX(Data[],MATCH($A62,Data[Dist],0),MATCH(D$4,Data[#Headers],0))</f>
        <v>763</v>
      </c>
      <c r="E62" s="22">
        <f>IF(Notes!$B$3="Pay 1 Regular State Payment Budget",0,INDEX(Data[],MATCH($A62,Data[Dist],0),MATCH(E$4,Data[#Headers],0)))</f>
        <v>17782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4667217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8811565</v>
      </c>
      <c r="D63" s="22">
        <f>INDEX(Data[],MATCH($A63,Data[Dist],0),MATCH(D$4,Data[#Headers],0))</f>
        <v>879</v>
      </c>
      <c r="E63" s="22">
        <f>IF(Notes!$B$3="Pay 1 Regular State Payment Budget",0,INDEX(Data[],MATCH($A63,Data[Dist],0),MATCH(E$4,Data[#Headers],0)))</f>
        <v>29811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8780875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10521871</v>
      </c>
      <c r="D64" s="22">
        <f>INDEX(Data[],MATCH($A64,Data[Dist],0),MATCH(D$4,Data[#Headers],0))</f>
        <v>1360</v>
      </c>
      <c r="E64" s="22">
        <f>IF(Notes!$B$3="Pay 1 Regular State Payment Budget",0,INDEX(Data[],MATCH($A64,Data[Dist],0),MATCH(E$4,Data[#Headers],0)))</f>
        <v>37129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10483382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1474768</v>
      </c>
      <c r="D65" s="22">
        <f>INDEX(Data[],MATCH($A65,Data[Dist],0),MATCH(D$4,Data[#Headers],0))</f>
        <v>249</v>
      </c>
      <c r="E65" s="22">
        <f>IF(Notes!$B$3="Pay 1 Regular State Payment Budget",0,INDEX(Data[],MATCH($A65,Data[Dist],0),MATCH(E$4,Data[#Headers],0)))</f>
        <v>6295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1468224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6884503</v>
      </c>
      <c r="D66" s="22">
        <f>INDEX(Data[],MATCH($A66,Data[Dist],0),MATCH(D$4,Data[#Headers],0))</f>
        <v>597</v>
      </c>
      <c r="E66" s="22">
        <f>IF(Notes!$B$3="Pay 1 Regular State Payment Budget",0,INDEX(Data[],MATCH($A66,Data[Dist],0),MATCH(E$4,Data[#Headers],0)))</f>
        <v>24435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6859471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6167660</v>
      </c>
      <c r="D67" s="22">
        <f>INDEX(Data[],MATCH($A67,Data[Dist],0),MATCH(D$4,Data[#Headers],0))</f>
        <v>580</v>
      </c>
      <c r="E67" s="22">
        <f>IF(Notes!$B$3="Pay 1 Regular State Payment Budget",0,INDEX(Data[],MATCH($A67,Data[Dist],0),MATCH(E$4,Data[#Headers],0)))</f>
        <v>22430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6144650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5547460</v>
      </c>
      <c r="D68" s="22">
        <f>INDEX(Data[],MATCH($A68,Data[Dist],0),MATCH(D$4,Data[#Headers],0))</f>
        <v>945</v>
      </c>
      <c r="E68" s="22">
        <f>IF(Notes!$B$3="Pay 1 Regular State Payment Budget",0,INDEX(Data[],MATCH($A68,Data[Dist],0),MATCH(E$4,Data[#Headers],0)))</f>
        <v>22476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5524039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10265281</v>
      </c>
      <c r="D69" s="22">
        <f>INDEX(Data[],MATCH($A69,Data[Dist],0),MATCH(D$4,Data[#Headers],0))</f>
        <v>647</v>
      </c>
      <c r="E69" s="22">
        <f>IF(Notes!$B$3="Pay 1 Regular State Payment Budget",0,INDEX(Data[],MATCH($A69,Data[Dist],0),MATCH(E$4,Data[#Headers],0)))</f>
        <v>33578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10231056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2037250</v>
      </c>
      <c r="D70" s="22">
        <f>INDEX(Data[],MATCH($A70,Data[Dist],0),MATCH(D$4,Data[#Headers],0))</f>
        <v>182</v>
      </c>
      <c r="E70" s="22">
        <f>IF(Notes!$B$3="Pay 1 Regular State Payment Budget",0,INDEX(Data[],MATCH($A70,Data[Dist],0),MATCH(E$4,Data[#Headers],0)))</f>
        <v>7117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2029951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1277317</v>
      </c>
      <c r="D71" s="22">
        <f>INDEX(Data[],MATCH($A71,Data[Dist],0),MATCH(D$4,Data[#Headers],0))</f>
        <v>83</v>
      </c>
      <c r="E71" s="22">
        <f>IF(Notes!$B$3="Pay 1 Regular State Payment Budget",0,INDEX(Data[],MATCH($A71,Data[Dist],0),MATCH(E$4,Data[#Headers],0)))</f>
        <v>7459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1269775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15593988</v>
      </c>
      <c r="D72" s="22">
        <f>INDEX(Data[],MATCH($A72,Data[Dist],0),MATCH(D$4,Data[#Headers],0))</f>
        <v>2654</v>
      </c>
      <c r="E72" s="22">
        <f>IF(Notes!$B$3="Pay 1 Regular State Payment Budget",0,INDEX(Data[],MATCH($A72,Data[Dist],0),MATCH(E$4,Data[#Headers],0)))</f>
        <v>62339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15528995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5613866</v>
      </c>
      <c r="D73" s="22">
        <f>INDEX(Data[],MATCH($A73,Data[Dist],0),MATCH(D$4,Data[#Headers],0))</f>
        <v>1061</v>
      </c>
      <c r="E73" s="22">
        <f>IF(Notes!$B$3="Pay 1 Regular State Payment Budget",0,INDEX(Data[],MATCH($A73,Data[Dist],0),MATCH(E$4,Data[#Headers],0)))</f>
        <v>28896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5583909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29042881</v>
      </c>
      <c r="D74" s="22">
        <f>INDEX(Data[],MATCH($A74,Data[Dist],0),MATCH(D$4,Data[#Headers],0))</f>
        <v>2819</v>
      </c>
      <c r="E74" s="22">
        <f>IF(Notes!$B$3="Pay 1 Regular State Payment Budget",0,INDEX(Data[],MATCH($A74,Data[Dist],0),MATCH(E$4,Data[#Headers],0)))</f>
        <v>86764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28953298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4910973</v>
      </c>
      <c r="D75" s="22">
        <f>INDEX(Data[],MATCH($A75,Data[Dist],0),MATCH(D$4,Data[#Headers],0))</f>
        <v>663</v>
      </c>
      <c r="E75" s="22">
        <f>IF(Notes!$B$3="Pay 1 Regular State Payment Budget",0,INDEX(Data[],MATCH($A75,Data[Dist],0),MATCH(E$4,Data[#Headers],0)))</f>
        <v>17335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4892975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29786610</v>
      </c>
      <c r="D76" s="22">
        <f>INDEX(Data[],MATCH($A76,Data[Dist],0),MATCH(D$4,Data[#Headers],0))</f>
        <v>3964</v>
      </c>
      <c r="E76" s="22">
        <f>IF(Notes!$B$3="Pay 1 Regular State Payment Budget",0,INDEX(Data[],MATCH($A76,Data[Dist],0),MATCH(E$4,Data[#Headers],0)))</f>
        <v>120889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29661757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2815540</v>
      </c>
      <c r="D77" s="22">
        <f>INDEX(Data[],MATCH($A77,Data[Dist],0),MATCH(D$4,Data[#Headers],0))</f>
        <v>265</v>
      </c>
      <c r="E77" s="22">
        <f>IF(Notes!$B$3="Pay 1 Regular State Payment Budget",0,INDEX(Data[],MATCH($A77,Data[Dist],0),MATCH(E$4,Data[#Headers],0)))</f>
        <v>10433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2804842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2434921</v>
      </c>
      <c r="D78" s="22">
        <f>INDEX(Data[],MATCH($A78,Data[Dist],0),MATCH(D$4,Data[#Headers],0))</f>
        <v>464</v>
      </c>
      <c r="E78" s="22">
        <f>IF(Notes!$B$3="Pay 1 Regular State Payment Budget",0,INDEX(Data[],MATCH($A78,Data[Dist],0),MATCH(E$4,Data[#Headers],0)))</f>
        <v>11573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2422884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5131635</v>
      </c>
      <c r="D79" s="22">
        <f>INDEX(Data[],MATCH($A79,Data[Dist],0),MATCH(D$4,Data[#Headers],0))</f>
        <v>547</v>
      </c>
      <c r="E79" s="22">
        <f>IF(Notes!$B$3="Pay 1 Regular State Payment Budget",0,INDEX(Data[],MATCH($A79,Data[Dist],0),MATCH(E$4,Data[#Headers],0)))</f>
        <v>17696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5113392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2632404</v>
      </c>
      <c r="D80" s="22">
        <f>INDEX(Data[],MATCH($A80,Data[Dist],0),MATCH(D$4,Data[#Headers],0))</f>
        <v>348</v>
      </c>
      <c r="E80" s="22">
        <f>IF(Notes!$B$3="Pay 1 Regular State Payment Budget",0,INDEX(Data[],MATCH($A80,Data[Dist],0),MATCH(E$4,Data[#Headers],0)))</f>
        <v>10093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2621963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2267788</v>
      </c>
      <c r="D81" s="22">
        <f>INDEX(Data[],MATCH($A81,Data[Dist],0),MATCH(D$4,Data[#Headers],0))</f>
        <v>431</v>
      </c>
      <c r="E81" s="22">
        <f>IF(Notes!$B$3="Pay 1 Regular State Payment Budget",0,INDEX(Data[],MATCH($A81,Data[Dist],0),MATCH(E$4,Data[#Headers],0)))</f>
        <v>9701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2257656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70516880</v>
      </c>
      <c r="D82" s="22">
        <f>INDEX(Data[],MATCH($A82,Data[Dist],0),MATCH(D$4,Data[#Headers],0))</f>
        <v>5423</v>
      </c>
      <c r="E82" s="22">
        <f>IF(Notes!$B$3="Pay 1 Regular State Payment Budget",0,INDEX(Data[],MATCH($A82,Data[Dist],0),MATCH(E$4,Data[#Headers],0)))</f>
        <v>211045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70300412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10097254</v>
      </c>
      <c r="D83" s="22">
        <f>INDEX(Data[],MATCH($A83,Data[Dist],0),MATCH(D$4,Data[#Headers],0))</f>
        <v>1393</v>
      </c>
      <c r="E83" s="22">
        <f>IF(Notes!$B$3="Pay 1 Regular State Payment Budget",0,INDEX(Data[],MATCH($A83,Data[Dist],0),MATCH(E$4,Data[#Headers],0)))</f>
        <v>34728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10061133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20434499</v>
      </c>
      <c r="D84" s="22">
        <f>INDEX(Data[],MATCH($A84,Data[Dist],0),MATCH(D$4,Data[#Headers],0))</f>
        <v>2637</v>
      </c>
      <c r="E84" s="22">
        <f>IF(Notes!$B$3="Pay 1 Regular State Payment Budget",0,INDEX(Data[],MATCH($A84,Data[Dist],0),MATCH(E$4,Data[#Headers],0)))</f>
        <v>76572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20355290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3241612</v>
      </c>
      <c r="D85" s="22">
        <f>INDEX(Data[],MATCH($A85,Data[Dist],0),MATCH(D$4,Data[#Headers],0))</f>
        <v>564</v>
      </c>
      <c r="E85" s="22">
        <f>IF(Notes!$B$3="Pay 1 Regular State Payment Budget",0,INDEX(Data[],MATCH($A85,Data[Dist],0),MATCH(E$4,Data[#Headers],0)))</f>
        <v>11494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3229554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102117836</v>
      </c>
      <c r="D86" s="22">
        <f>INDEX(Data[],MATCH($A86,Data[Dist],0),MATCH(D$4,Data[#Headers],0))</f>
        <v>10714</v>
      </c>
      <c r="E86" s="22">
        <f>IF(Notes!$B$3="Pay 1 Regular State Payment Budget",0,INDEX(Data[],MATCH($A86,Data[Dist],0),MATCH(E$4,Data[#Headers],0)))</f>
        <v>343728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101763394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7468219</v>
      </c>
      <c r="D87" s="22">
        <f>INDEX(Data[],MATCH($A87,Data[Dist],0),MATCH(D$4,Data[#Headers],0))</f>
        <v>730</v>
      </c>
      <c r="E87" s="22">
        <f>IF(Notes!$B$3="Pay 1 Regular State Payment Budget",0,INDEX(Data[],MATCH($A87,Data[Dist],0),MATCH(E$4,Data[#Headers],0)))</f>
        <v>27758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7439731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8808344</v>
      </c>
      <c r="D88" s="22">
        <f>INDEX(Data[],MATCH($A88,Data[Dist],0),MATCH(D$4,Data[#Headers],0))</f>
        <v>1260</v>
      </c>
      <c r="E88" s="22">
        <f>IF(Notes!$B$3="Pay 1 Regular State Payment Budget",0,INDEX(Data[],MATCH($A88,Data[Dist],0),MATCH(E$4,Data[#Headers],0)))</f>
        <v>36759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8770325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1352123</v>
      </c>
      <c r="D89" s="22">
        <f>INDEX(Data[],MATCH($A89,Data[Dist],0),MATCH(D$4,Data[#Headers],0))</f>
        <v>166</v>
      </c>
      <c r="E89" s="22">
        <f>IF(Notes!$B$3="Pay 1 Regular State Payment Budget",0,INDEX(Data[],MATCH($A89,Data[Dist],0),MATCH(E$4,Data[#Headers],0)))</f>
        <v>5029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1346928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16656900</v>
      </c>
      <c r="D90" s="22">
        <f>INDEX(Data[],MATCH($A90,Data[Dist],0),MATCH(D$4,Data[#Headers],0))</f>
        <v>1741</v>
      </c>
      <c r="E90" s="22">
        <f>IF(Notes!$B$3="Pay 1 Regular State Payment Budget",0,INDEX(Data[],MATCH($A90,Data[Dist],0),MATCH(E$4,Data[#Headers],0)))</f>
        <v>49137</v>
      </c>
      <c r="F90" s="22">
        <f>IF(OR(Notes!$B$3="Pay 1 Regular State Payment Budget",Notes!$B$3="Pay 2 Regular State Payment Budget"),0,INDEX(Data[],MATCH($A90,Data[Dist],0),MATCH(F$4,Data[#Headers],0)))</f>
        <v>138240</v>
      </c>
      <c r="G90" s="22">
        <f>INDEX(Data[],MATCH($A90,Data[Dist],0),MATCH(G$4,Data[#Headers],0))</f>
        <v>16467782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5805689</v>
      </c>
      <c r="D91" s="22">
        <f>INDEX(Data[],MATCH($A91,Data[Dist],0),MATCH(D$4,Data[#Headers],0))</f>
        <v>879</v>
      </c>
      <c r="E91" s="22">
        <f>IF(Notes!$B$3="Pay 1 Regular State Payment Budget",0,INDEX(Data[],MATCH($A91,Data[Dist],0),MATCH(E$4,Data[#Headers],0)))</f>
        <v>20098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5784712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248342081</v>
      </c>
      <c r="D92" s="22">
        <f>INDEX(Data[],MATCH($A92,Data[Dist],0),MATCH(D$4,Data[#Headers],0))</f>
        <v>20234</v>
      </c>
      <c r="E92" s="22">
        <f>IF(Notes!$B$3="Pay 1 Regular State Payment Budget",0,INDEX(Data[],MATCH($A92,Data[Dist],0),MATCH(E$4,Data[#Headers],0)))</f>
        <v>751122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247570725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768120</v>
      </c>
      <c r="D93" s="22">
        <f>INDEX(Data[],MATCH($A93,Data[Dist],0),MATCH(D$4,Data[#Headers],0))</f>
        <v>182</v>
      </c>
      <c r="E93" s="22">
        <f>IF(Notes!$B$3="Pay 1 Regular State Payment Budget",0,INDEX(Data[],MATCH($A93,Data[Dist],0),MATCH(E$4,Data[#Headers],0)))</f>
        <v>2423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765515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5813557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20635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5792109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70161676</v>
      </c>
      <c r="D95" s="22">
        <f>INDEX(Data[],MATCH($A95,Data[Dist],0),MATCH(D$4,Data[#Headers],0))</f>
        <v>10432</v>
      </c>
      <c r="E95" s="22">
        <f>IF(Notes!$B$3="Pay 1 Regular State Payment Budget",0,INDEX(Data[],MATCH($A95,Data[Dist],0),MATCH(E$4,Data[#Headers],0)))</f>
        <v>244894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69906350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2400205</v>
      </c>
      <c r="D96" s="22">
        <f>INDEX(Data[],MATCH($A96,Data[Dist],0),MATCH(D$4,Data[#Headers],0))</f>
        <v>464</v>
      </c>
      <c r="E96" s="22">
        <f>IF(Notes!$B$3="Pay 1 Regular State Payment Budget",0,INDEX(Data[],MATCH($A96,Data[Dist],0),MATCH(E$4,Data[#Headers],0)))</f>
        <v>8991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2390750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2212045</v>
      </c>
      <c r="D97" s="22">
        <f>INDEX(Data[],MATCH($A97,Data[Dist],0),MATCH(D$4,Data[#Headers],0))</f>
        <v>332</v>
      </c>
      <c r="E97" s="22">
        <f>IF(Notes!$B$3="Pay 1 Regular State Payment Budget",0,INDEX(Data[],MATCH($A97,Data[Dist],0),MATCH(E$4,Data[#Headers],0)))</f>
        <v>9183</v>
      </c>
      <c r="F97" s="22">
        <f>IF(OR(Notes!$B$3="Pay 1 Regular State Payment Budget",Notes!$B$3="Pay 2 Regular State Payment Budget"),0,INDEX(Data[],MATCH($A97,Data[Dist],0),MATCH(F$4,Data[#Headers],0)))</f>
        <v>7116</v>
      </c>
      <c r="G97" s="22">
        <f>INDEX(Data[],MATCH($A97,Data[Dist],0),MATCH(G$4,Data[#Headers],0))</f>
        <v>2195414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3197972</v>
      </c>
      <c r="D98" s="22">
        <f>INDEX(Data[],MATCH($A98,Data[Dist],0),MATCH(D$4,Data[#Headers],0))</f>
        <v>630</v>
      </c>
      <c r="E98" s="22">
        <f>IF(Notes!$B$3="Pay 1 Regular State Payment Budget",0,INDEX(Data[],MATCH($A98,Data[Dist],0),MATCH(E$4,Data[#Headers],0)))</f>
        <v>12608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3184734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6240215</v>
      </c>
      <c r="D99" s="22">
        <f>INDEX(Data[],MATCH($A99,Data[Dist],0),MATCH(D$4,Data[#Headers],0))</f>
        <v>912</v>
      </c>
      <c r="E99" s="22">
        <f>IF(Notes!$B$3="Pay 1 Regular State Payment Budget",0,INDEX(Data[],MATCH($A99,Data[Dist],0),MATCH(E$4,Data[#Headers],0)))</f>
        <v>23582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6215721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6929520</v>
      </c>
      <c r="D100" s="22">
        <f>INDEX(Data[],MATCH($A100,Data[Dist],0),MATCH(D$4,Data[#Headers],0))</f>
        <v>1061</v>
      </c>
      <c r="E100" s="22">
        <f>IF(Notes!$B$3="Pay 1 Regular State Payment Budget",0,INDEX(Data[],MATCH($A100,Data[Dist],0),MATCH(E$4,Data[#Headers],0)))</f>
        <v>22485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6905974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3775904</v>
      </c>
      <c r="D101" s="22">
        <f>INDEX(Data[],MATCH($A101,Data[Dist],0),MATCH(D$4,Data[#Headers],0))</f>
        <v>697</v>
      </c>
      <c r="E101" s="22">
        <f>IF(Notes!$B$3="Pay 1 Regular State Payment Budget",0,INDEX(Data[],MATCH($A101,Data[Dist],0),MATCH(E$4,Data[#Headers],0)))</f>
        <v>13708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3761499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3764501</v>
      </c>
      <c r="D102" s="22">
        <f>INDEX(Data[],MATCH($A102,Data[Dist],0),MATCH(D$4,Data[#Headers],0))</f>
        <v>415</v>
      </c>
      <c r="E102" s="22">
        <f>IF(Notes!$B$3="Pay 1 Regular State Payment Budget",0,INDEX(Data[],MATCH($A102,Data[Dist],0),MATCH(E$4,Data[#Headers],0)))</f>
        <v>13145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3750941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3709698</v>
      </c>
      <c r="D103" s="22">
        <f>INDEX(Data[],MATCH($A103,Data[Dist],0),MATCH(D$4,Data[#Headers],0))</f>
        <v>597</v>
      </c>
      <c r="E103" s="22">
        <f>IF(Notes!$B$3="Pay 1 Regular State Payment Budget",0,INDEX(Data[],MATCH($A103,Data[Dist],0),MATCH(E$4,Data[#Headers],0)))</f>
        <v>13373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3695728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3535815</v>
      </c>
      <c r="D104" s="22">
        <f>INDEX(Data[],MATCH($A104,Data[Dist],0),MATCH(D$4,Data[#Headers],0))</f>
        <v>448</v>
      </c>
      <c r="E104" s="22">
        <f>IF(Notes!$B$3="Pay 1 Regular State Payment Budget",0,INDEX(Data[],MATCH($A104,Data[Dist],0),MATCH(E$4,Data[#Headers],0)))</f>
        <v>11996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3523371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1612381</v>
      </c>
      <c r="D105" s="22">
        <f>INDEX(Data[],MATCH($A105,Data[Dist],0),MATCH(D$4,Data[#Headers],0))</f>
        <v>381</v>
      </c>
      <c r="E105" s="22">
        <f>IF(Notes!$B$3="Pay 1 Regular State Payment Budget",0,INDEX(Data[],MATCH($A105,Data[Dist],0),MATCH(E$4,Data[#Headers],0)))</f>
        <v>7649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1604351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2284397</v>
      </c>
      <c r="D106" s="22">
        <f>INDEX(Data[],MATCH($A106,Data[Dist],0),MATCH(D$4,Data[#Headers],0))</f>
        <v>431</v>
      </c>
      <c r="E106" s="22">
        <f>IF(Notes!$B$3="Pay 1 Regular State Payment Budget",0,INDEX(Data[],MATCH($A106,Data[Dist],0),MATCH(E$4,Data[#Headers],0)))</f>
        <v>9670</v>
      </c>
      <c r="F106" s="22">
        <f>IF(OR(Notes!$B$3="Pay 1 Regular State Payment Budget",Notes!$B$3="Pay 2 Regular State Payment Budget"),0,INDEX(Data[],MATCH($A106,Data[Dist],0),MATCH(F$4,Data[#Headers],0)))</f>
        <v>5344</v>
      </c>
      <c r="G106" s="22">
        <f>INDEX(Data[],MATCH($A106,Data[Dist],0),MATCH(G$4,Data[#Headers],0))</f>
        <v>2268952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2513992</v>
      </c>
      <c r="D107" s="22">
        <f>INDEX(Data[],MATCH($A107,Data[Dist],0),MATCH(D$4,Data[#Headers],0))</f>
        <v>531</v>
      </c>
      <c r="E107" s="22">
        <f>IF(Notes!$B$3="Pay 1 Regular State Payment Budget",0,INDEX(Data[],MATCH($A107,Data[Dist],0),MATCH(E$4,Data[#Headers],0)))</f>
        <v>9525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2503936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4016349</v>
      </c>
      <c r="D108" s="22">
        <f>INDEX(Data[],MATCH($A108,Data[Dist],0),MATCH(D$4,Data[#Headers],0))</f>
        <v>564</v>
      </c>
      <c r="E108" s="22">
        <f>IF(Notes!$B$3="Pay 1 Regular State Payment Budget",0,INDEX(Data[],MATCH($A108,Data[Dist],0),MATCH(E$4,Data[#Headers],0)))</f>
        <v>13604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4002181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3671629</v>
      </c>
      <c r="D109" s="22">
        <f>INDEX(Data[],MATCH($A109,Data[Dist],0),MATCH(D$4,Data[#Headers],0))</f>
        <v>680</v>
      </c>
      <c r="E109" s="22">
        <f>IF(Notes!$B$3="Pay 1 Regular State Payment Budget",0,INDEX(Data[],MATCH($A109,Data[Dist],0),MATCH(E$4,Data[#Headers],0)))</f>
        <v>15506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3655443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2964157</v>
      </c>
      <c r="D110" s="22">
        <f>INDEX(Data[],MATCH($A110,Data[Dist],0),MATCH(D$4,Data[#Headers],0))</f>
        <v>249</v>
      </c>
      <c r="E110" s="22">
        <f>IF(Notes!$B$3="Pay 1 Regular State Payment Budget",0,INDEX(Data[],MATCH($A110,Data[Dist],0),MATCH(E$4,Data[#Headers],0)))</f>
        <v>11235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2952673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1250226</v>
      </c>
      <c r="D111" s="22">
        <f>INDEX(Data[],MATCH($A111,Data[Dist],0),MATCH(D$4,Data[#Headers],0))</f>
        <v>166</v>
      </c>
      <c r="E111" s="22">
        <f>IF(Notes!$B$3="Pay 1 Regular State Payment Budget",0,INDEX(Data[],MATCH($A111,Data[Dist],0),MATCH(E$4,Data[#Headers],0)))</f>
        <v>4568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1245492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8252843</v>
      </c>
      <c r="D112" s="22">
        <f>INDEX(Data[],MATCH($A112,Data[Dist],0),MATCH(D$4,Data[#Headers],0))</f>
        <v>979</v>
      </c>
      <c r="E112" s="22">
        <f>IF(Notes!$B$3="Pay 1 Regular State Payment Budget",0,INDEX(Data[],MATCH($A112,Data[Dist],0),MATCH(E$4,Data[#Headers],0)))</f>
        <v>29179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8222685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2289016</v>
      </c>
      <c r="D113" s="22">
        <f>INDEX(Data[],MATCH($A113,Data[Dist],0),MATCH(D$4,Data[#Headers],0))</f>
        <v>232</v>
      </c>
      <c r="E113" s="22">
        <f>IF(Notes!$B$3="Pay 1 Regular State Payment Budget",0,INDEX(Data[],MATCH($A113,Data[Dist],0),MATCH(E$4,Data[#Headers],0)))</f>
        <v>9530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2279254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9372241</v>
      </c>
      <c r="D114" s="22">
        <f>INDEX(Data[],MATCH($A114,Data[Dist],0),MATCH(D$4,Data[#Headers],0))</f>
        <v>1111</v>
      </c>
      <c r="E114" s="22">
        <f>IF(Notes!$B$3="Pay 1 Regular State Payment Budget",0,INDEX(Data[],MATCH($A114,Data[Dist],0),MATCH(E$4,Data[#Headers],0)))</f>
        <v>38070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9333060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6507954</v>
      </c>
      <c r="D115" s="22">
        <f>INDEX(Data[],MATCH($A115,Data[Dist],0),MATCH(D$4,Data[#Headers],0))</f>
        <v>1012</v>
      </c>
      <c r="E115" s="22">
        <f>IF(Notes!$B$3="Pay 1 Regular State Payment Budget",0,INDEX(Data[],MATCH($A115,Data[Dist],0),MATCH(E$4,Data[#Headers],0)))</f>
        <v>24844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6482098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27085021</v>
      </c>
      <c r="D116" s="22">
        <f>INDEX(Data[],MATCH($A116,Data[Dist],0),MATCH(D$4,Data[#Headers],0))</f>
        <v>3350</v>
      </c>
      <c r="E116" s="22">
        <f>IF(Notes!$B$3="Pay 1 Regular State Payment Budget",0,INDEX(Data[],MATCH($A116,Data[Dist],0),MATCH(E$4,Data[#Headers],0)))</f>
        <v>87285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26994386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13728036</v>
      </c>
      <c r="D117" s="22">
        <f>INDEX(Data[],MATCH($A117,Data[Dist],0),MATCH(D$4,Data[#Headers],0))</f>
        <v>979</v>
      </c>
      <c r="E117" s="22">
        <f>IF(Notes!$B$3="Pay 1 Regular State Payment Budget",0,INDEX(Data[],MATCH($A117,Data[Dist],0),MATCH(E$4,Data[#Headers],0)))</f>
        <v>49395</v>
      </c>
      <c r="F117" s="22">
        <f>IF(OR(Notes!$B$3="Pay 1 Regular State Payment Budget",Notes!$B$3="Pay 2 Regular State Payment Budget"),0,INDEX(Data[],MATCH($A117,Data[Dist],0),MATCH(F$4,Data[#Headers],0)))</f>
        <v>350436</v>
      </c>
      <c r="G117" s="22">
        <f>INDEX(Data[],MATCH($A117,Data[Dist],0),MATCH(G$4,Data[#Headers],0))</f>
        <v>13327226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2949340</v>
      </c>
      <c r="D118" s="22">
        <f>INDEX(Data[],MATCH($A118,Data[Dist],0),MATCH(D$4,Data[#Headers],0))</f>
        <v>498</v>
      </c>
      <c r="E118" s="22">
        <f>IF(Notes!$B$3="Pay 1 Regular State Payment Budget",0,INDEX(Data[],MATCH($A118,Data[Dist],0),MATCH(E$4,Data[#Headers],0)))</f>
        <v>10596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2938246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2616508</v>
      </c>
      <c r="D119" s="22">
        <f>INDEX(Data[],MATCH($A119,Data[Dist],0),MATCH(D$4,Data[#Headers],0))</f>
        <v>564</v>
      </c>
      <c r="E119" s="22">
        <f>IF(Notes!$B$3="Pay 1 Regular State Payment Budget",0,INDEX(Data[],MATCH($A119,Data[Dist],0),MATCH(E$4,Data[#Headers],0)))</f>
        <v>11117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2604827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3770824</v>
      </c>
      <c r="D120" s="22">
        <f>INDEX(Data[],MATCH($A120,Data[Dist],0),MATCH(D$4,Data[#Headers],0))</f>
        <v>1144</v>
      </c>
      <c r="E120" s="22">
        <f>IF(Notes!$B$3="Pay 1 Regular State Payment Budget",0,INDEX(Data[],MATCH($A120,Data[Dist],0),MATCH(E$4,Data[#Headers],0)))</f>
        <v>19929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3749751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2281539</v>
      </c>
      <c r="D121" s="22">
        <f>INDEX(Data[],MATCH($A121,Data[Dist],0),MATCH(D$4,Data[#Headers],0))</f>
        <v>282</v>
      </c>
      <c r="E121" s="22">
        <f>IF(Notes!$B$3="Pay 1 Regular State Payment Budget",0,INDEX(Data[],MATCH($A121,Data[Dist],0),MATCH(E$4,Data[#Headers],0)))</f>
        <v>10095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2271162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8931435</v>
      </c>
      <c r="D122" s="22">
        <f>INDEX(Data[],MATCH($A122,Data[Dist],0),MATCH(D$4,Data[#Headers],0))</f>
        <v>995</v>
      </c>
      <c r="E122" s="22">
        <f>IF(Notes!$B$3="Pay 1 Regular State Payment Budget",0,INDEX(Data[],MATCH($A122,Data[Dist],0),MATCH(E$4,Data[#Headers],0)))</f>
        <v>36438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8894002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1060137</v>
      </c>
      <c r="D123" s="22">
        <f>INDEX(Data[],MATCH($A123,Data[Dist],0),MATCH(D$4,Data[#Headers],0))</f>
        <v>299</v>
      </c>
      <c r="E123" s="22">
        <f>IF(Notes!$B$3="Pay 1 Regular State Payment Budget",0,INDEX(Data[],MATCH($A123,Data[Dist],0),MATCH(E$4,Data[#Headers],0)))</f>
        <v>3943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1055895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3468300</v>
      </c>
      <c r="D124" s="22">
        <f>INDEX(Data[],MATCH($A124,Data[Dist],0),MATCH(D$4,Data[#Headers],0))</f>
        <v>564</v>
      </c>
      <c r="E124" s="22">
        <f>IF(Notes!$B$3="Pay 1 Regular State Payment Budget",0,INDEX(Data[],MATCH($A124,Data[Dist],0),MATCH(E$4,Data[#Headers],0)))</f>
        <v>13988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3453748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12483535</v>
      </c>
      <c r="D125" s="22">
        <f>INDEX(Data[],MATCH($A125,Data[Dist],0),MATCH(D$4,Data[#Headers],0))</f>
        <v>912</v>
      </c>
      <c r="E125" s="22">
        <f>IF(Notes!$B$3="Pay 1 Regular State Payment Budget",0,INDEX(Data[],MATCH($A125,Data[Dist],0),MATCH(E$4,Data[#Headers],0)))</f>
        <v>45771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12436852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1617757</v>
      </c>
      <c r="D126" s="22">
        <f>INDEX(Data[],MATCH($A126,Data[Dist],0),MATCH(D$4,Data[#Headers],0))</f>
        <v>547</v>
      </c>
      <c r="E126" s="22">
        <f>IF(Notes!$B$3="Pay 1 Regular State Payment Budget",0,INDEX(Data[],MATCH($A126,Data[Dist],0),MATCH(E$4,Data[#Headers],0)))</f>
        <v>6632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1610578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1908029</v>
      </c>
      <c r="D127" s="22">
        <f>INDEX(Data[],MATCH($A127,Data[Dist],0),MATCH(D$4,Data[#Headers],0))</f>
        <v>464</v>
      </c>
      <c r="E127" s="22">
        <f>IF(Notes!$B$3="Pay 1 Regular State Payment Budget",0,INDEX(Data[],MATCH($A127,Data[Dist],0),MATCH(E$4,Data[#Headers],0)))</f>
        <v>9193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1898372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3900938</v>
      </c>
      <c r="D128" s="22">
        <f>INDEX(Data[],MATCH($A128,Data[Dist],0),MATCH(D$4,Data[#Headers],0))</f>
        <v>332</v>
      </c>
      <c r="E128" s="22">
        <f>IF(Notes!$B$3="Pay 1 Regular State Payment Budget",0,INDEX(Data[],MATCH($A128,Data[Dist],0),MATCH(E$4,Data[#Headers],0)))</f>
        <v>14879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3885727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1119210</v>
      </c>
      <c r="D129" s="22">
        <f>INDEX(Data[],MATCH($A129,Data[Dist],0),MATCH(D$4,Data[#Headers],0))</f>
        <v>315</v>
      </c>
      <c r="E129" s="22">
        <f>IF(Notes!$B$3="Pay 1 Regular State Payment Budget",0,INDEX(Data[],MATCH($A129,Data[Dist],0),MATCH(E$4,Data[#Headers],0)))</f>
        <v>5948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1112947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10026738</v>
      </c>
      <c r="D130" s="22">
        <f>INDEX(Data[],MATCH($A130,Data[Dist],0),MATCH(D$4,Data[#Headers],0))</f>
        <v>962</v>
      </c>
      <c r="E130" s="22">
        <f>IF(Notes!$B$3="Pay 1 Regular State Payment Budget",0,INDEX(Data[],MATCH($A130,Data[Dist],0),MATCH(E$4,Data[#Headers],0)))</f>
        <v>37331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9988445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2747174</v>
      </c>
      <c r="D131" s="22">
        <f>INDEX(Data[],MATCH($A131,Data[Dist],0),MATCH(D$4,Data[#Headers],0))</f>
        <v>481</v>
      </c>
      <c r="E131" s="22">
        <f>IF(Notes!$B$3="Pay 1 Regular State Payment Budget",0,INDEX(Data[],MATCH($A131,Data[Dist],0),MATCH(E$4,Data[#Headers],0)))</f>
        <v>10741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2735952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4315680</v>
      </c>
      <c r="D132" s="22">
        <f>INDEX(Data[],MATCH($A132,Data[Dist],0),MATCH(D$4,Data[#Headers],0))</f>
        <v>663</v>
      </c>
      <c r="E132" s="22">
        <f>IF(Notes!$B$3="Pay 1 Regular State Payment Budget",0,INDEX(Data[],MATCH($A132,Data[Dist],0),MATCH(E$4,Data[#Headers],0)))</f>
        <v>15656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4299361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2536719</v>
      </c>
      <c r="D133" s="22">
        <f>INDEX(Data[],MATCH($A133,Data[Dist],0),MATCH(D$4,Data[#Headers],0))</f>
        <v>398</v>
      </c>
      <c r="E133" s="22">
        <f>IF(Notes!$B$3="Pay 1 Regular State Payment Budget",0,INDEX(Data[],MATCH($A133,Data[Dist],0),MATCH(E$4,Data[#Headers],0)))</f>
        <v>9646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2526675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2974505</v>
      </c>
      <c r="D134" s="22">
        <f>INDEX(Data[],MATCH($A134,Data[Dist],0),MATCH(D$4,Data[#Headers],0))</f>
        <v>481</v>
      </c>
      <c r="E134" s="22">
        <f>IF(Notes!$B$3="Pay 1 Regular State Payment Budget",0,INDEX(Data[],MATCH($A134,Data[Dist],0),MATCH(E$4,Data[#Headers],0)))</f>
        <v>14124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2959900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2032427</v>
      </c>
      <c r="D135" s="22">
        <f>INDEX(Data[],MATCH($A135,Data[Dist],0),MATCH(D$4,Data[#Headers],0))</f>
        <v>315</v>
      </c>
      <c r="E135" s="22">
        <f>IF(Notes!$B$3="Pay 1 Regular State Payment Budget",0,INDEX(Data[],MATCH($A135,Data[Dist],0),MATCH(E$4,Data[#Headers],0)))</f>
        <v>7974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2024138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1082598</v>
      </c>
      <c r="D136" s="22">
        <f>INDEX(Data[],MATCH($A136,Data[Dist],0),MATCH(D$4,Data[#Headers],0))</f>
        <v>232</v>
      </c>
      <c r="E136" s="22">
        <f>IF(Notes!$B$3="Pay 1 Regular State Payment Budget",0,INDEX(Data[],MATCH($A136,Data[Dist],0),MATCH(E$4,Data[#Headers],0)))</f>
        <v>4656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1077710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7813202</v>
      </c>
      <c r="D137" s="22">
        <f>INDEX(Data[],MATCH($A137,Data[Dist],0),MATCH(D$4,Data[#Headers],0))</f>
        <v>862</v>
      </c>
      <c r="E137" s="22">
        <f>IF(Notes!$B$3="Pay 1 Regular State Payment Budget",0,INDEX(Data[],MATCH($A137,Data[Dist],0),MATCH(E$4,Data[#Headers],0)))</f>
        <v>26621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7785719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8474882</v>
      </c>
      <c r="D138" s="22">
        <f>INDEX(Data[],MATCH($A138,Data[Dist],0),MATCH(D$4,Data[#Headers],0))</f>
        <v>1012</v>
      </c>
      <c r="E138" s="22">
        <f>IF(Notes!$B$3="Pay 1 Regular State Payment Budget",0,INDEX(Data[],MATCH($A138,Data[Dist],0),MATCH(E$4,Data[#Headers],0)))</f>
        <v>32179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8441691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1005518</v>
      </c>
      <c r="D139" s="22">
        <f>INDEX(Data[],MATCH($A139,Data[Dist],0),MATCH(D$4,Data[#Headers],0))</f>
        <v>332</v>
      </c>
      <c r="E139" s="22">
        <f>IF(Notes!$B$3="Pay 1 Regular State Payment Budget",0,INDEX(Data[],MATCH($A139,Data[Dist],0),MATCH(E$4,Data[#Headers],0)))</f>
        <v>7007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998179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3061217</v>
      </c>
      <c r="D140" s="22">
        <f>INDEX(Data[],MATCH($A140,Data[Dist],0),MATCH(D$4,Data[#Headers],0))</f>
        <v>547</v>
      </c>
      <c r="E140" s="22">
        <f>IF(Notes!$B$3="Pay 1 Regular State Payment Budget",0,INDEX(Data[],MATCH($A140,Data[Dist],0),MATCH(E$4,Data[#Headers],0)))</f>
        <v>14542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3046128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3414252</v>
      </c>
      <c r="D141" s="22">
        <f>INDEX(Data[],MATCH($A141,Data[Dist],0),MATCH(D$4,Data[#Headers],0))</f>
        <v>481</v>
      </c>
      <c r="E141" s="22">
        <f>IF(Notes!$B$3="Pay 1 Regular State Payment Budget",0,INDEX(Data[],MATCH($A141,Data[Dist],0),MATCH(E$4,Data[#Headers],0)))</f>
        <v>14468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3399303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3018627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12376</v>
      </c>
      <c r="F142" s="22">
        <f>IF(OR(Notes!$B$3="Pay 1 Regular State Payment Budget",Notes!$B$3="Pay 2 Regular State Payment Budget"),0,INDEX(Data[],MATCH($A142,Data[Dist],0),MATCH(F$4,Data[#Headers],0)))</f>
        <v>41512</v>
      </c>
      <c r="G142" s="22">
        <f>INDEX(Data[],MATCH($A142,Data[Dist],0),MATCH(G$4,Data[#Headers],0))</f>
        <v>2964142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6872649</v>
      </c>
      <c r="D143" s="22">
        <f>INDEX(Data[],MATCH($A143,Data[Dist],0),MATCH(D$4,Data[#Headers],0))</f>
        <v>1012</v>
      </c>
      <c r="E143" s="22">
        <f>IF(Notes!$B$3="Pay 1 Regular State Payment Budget",0,INDEX(Data[],MATCH($A143,Data[Dist],0),MATCH(E$4,Data[#Headers],0)))</f>
        <v>26711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6844926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1917942</v>
      </c>
      <c r="D144" s="22">
        <f>INDEX(Data[],MATCH($A144,Data[Dist],0),MATCH(D$4,Data[#Headers],0))</f>
        <v>398</v>
      </c>
      <c r="E144" s="22">
        <f>IF(Notes!$B$3="Pay 1 Regular State Payment Budget",0,INDEX(Data[],MATCH($A144,Data[Dist],0),MATCH(E$4,Data[#Headers],0)))</f>
        <v>9967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1907577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4711192</v>
      </c>
      <c r="D145" s="22">
        <f>INDEX(Data[],MATCH($A145,Data[Dist],0),MATCH(D$4,Data[#Headers],0))</f>
        <v>448</v>
      </c>
      <c r="E145" s="22">
        <f>IF(Notes!$B$3="Pay 1 Regular State Payment Budget",0,INDEX(Data[],MATCH($A145,Data[Dist],0),MATCH(E$4,Data[#Headers],0)))</f>
        <v>16198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4694546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7779751</v>
      </c>
      <c r="D146" s="22">
        <f>INDEX(Data[],MATCH($A146,Data[Dist],0),MATCH(D$4,Data[#Headers],0))</f>
        <v>1194</v>
      </c>
      <c r="E146" s="22">
        <f>IF(Notes!$B$3="Pay 1 Regular State Payment Budget",0,INDEX(Data[],MATCH($A146,Data[Dist],0),MATCH(E$4,Data[#Headers],0)))</f>
        <v>29504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7749053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9446326</v>
      </c>
      <c r="D147" s="22">
        <f>INDEX(Data[],MATCH($A147,Data[Dist],0),MATCH(D$4,Data[#Headers],0))</f>
        <v>1493</v>
      </c>
      <c r="E147" s="22">
        <f>IF(Notes!$B$3="Pay 1 Regular State Payment Budget",0,INDEX(Data[],MATCH($A147,Data[Dist],0),MATCH(E$4,Data[#Headers],0)))</f>
        <v>33034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9411799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24103769</v>
      </c>
      <c r="D148" s="22">
        <f>INDEX(Data[],MATCH($A148,Data[Dist],0),MATCH(D$4,Data[#Headers],0))</f>
        <v>1692</v>
      </c>
      <c r="E148" s="22">
        <f>IF(Notes!$B$3="Pay 1 Regular State Payment Budget",0,INDEX(Data[],MATCH($A148,Data[Dist],0),MATCH(E$4,Data[#Headers],0)))</f>
        <v>82565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24019512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5305482</v>
      </c>
      <c r="D149" s="22">
        <f>INDEX(Data[],MATCH($A149,Data[Dist],0),MATCH(D$4,Data[#Headers],0))</f>
        <v>564</v>
      </c>
      <c r="E149" s="22">
        <f>IF(Notes!$B$3="Pay 1 Regular State Payment Budget",0,INDEX(Data[],MATCH($A149,Data[Dist],0),MATCH(E$4,Data[#Headers],0)))</f>
        <v>19290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5285628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80438496</v>
      </c>
      <c r="D150" s="22">
        <f>INDEX(Data[],MATCH($A150,Data[Dist],0),MATCH(D$4,Data[#Headers],0))</f>
        <v>6850</v>
      </c>
      <c r="E150" s="22">
        <f>IF(Notes!$B$3="Pay 1 Regular State Payment Budget",0,INDEX(Data[],MATCH($A150,Data[Dist],0),MATCH(E$4,Data[#Headers],0)))</f>
        <v>339290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80092356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6829704</v>
      </c>
      <c r="D151" s="22">
        <f>INDEX(Data[],MATCH($A151,Data[Dist],0),MATCH(D$4,Data[#Headers],0))</f>
        <v>813</v>
      </c>
      <c r="E151" s="22">
        <f>IF(Notes!$B$3="Pay 1 Regular State Payment Budget",0,INDEX(Data[],MATCH($A151,Data[Dist],0),MATCH(E$4,Data[#Headers],0)))</f>
        <v>24587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6804304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3509433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12338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3496631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3714391</v>
      </c>
      <c r="D153" s="22">
        <f>INDEX(Data[],MATCH($A153,Data[Dist],0),MATCH(D$4,Data[#Headers],0))</f>
        <v>580</v>
      </c>
      <c r="E153" s="22">
        <f>IF(Notes!$B$3="Pay 1 Regular State Payment Budget",0,INDEX(Data[],MATCH($A153,Data[Dist],0),MATCH(E$4,Data[#Headers],0)))</f>
        <v>16103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3697708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2904165</v>
      </c>
      <c r="D154" s="22">
        <f>INDEX(Data[],MATCH($A154,Data[Dist],0),MATCH(D$4,Data[#Headers],0))</f>
        <v>498</v>
      </c>
      <c r="E154" s="22">
        <f>IF(Notes!$B$3="Pay 1 Regular State Payment Budget",0,INDEX(Data[],MATCH($A154,Data[Dist],0),MATCH(E$4,Data[#Headers],0)))</f>
        <v>10499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2893168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7092119</v>
      </c>
      <c r="D155" s="22">
        <f>INDEX(Data[],MATCH($A155,Data[Dist],0),MATCH(D$4,Data[#Headers],0))</f>
        <v>1310</v>
      </c>
      <c r="E155" s="22">
        <f>IF(Notes!$B$3="Pay 1 Regular State Payment Budget",0,INDEX(Data[],MATCH($A155,Data[Dist],0),MATCH(E$4,Data[#Headers],0)))</f>
        <v>27545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7063264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5664149</v>
      </c>
      <c r="D156" s="22">
        <f>INDEX(Data[],MATCH($A156,Data[Dist],0),MATCH(D$4,Data[#Headers],0))</f>
        <v>0</v>
      </c>
      <c r="E156" s="22">
        <f>IF(Notes!$B$3="Pay 1 Regular State Payment Budget",0,INDEX(Data[],MATCH($A156,Data[Dist],0),MATCH(E$4,Data[#Headers],0)))</f>
        <v>21326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5642823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44226739</v>
      </c>
      <c r="D157" s="22">
        <f>INDEX(Data[],MATCH($A157,Data[Dist],0),MATCH(D$4,Data[#Headers],0))</f>
        <v>4478</v>
      </c>
      <c r="E157" s="22">
        <f>IF(Notes!$B$3="Pay 1 Regular State Payment Budget",0,INDEX(Data[],MATCH($A157,Data[Dist],0),MATCH(E$4,Data[#Headers],0)))</f>
        <v>166374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44055887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15233183</v>
      </c>
      <c r="D158" s="22">
        <f>INDEX(Data[],MATCH($A158,Data[Dist],0),MATCH(D$4,Data[#Headers],0))</f>
        <v>1410</v>
      </c>
      <c r="E158" s="22">
        <f>IF(Notes!$B$3="Pay 1 Regular State Payment Budget",0,INDEX(Data[],MATCH($A158,Data[Dist],0),MATCH(E$4,Data[#Headers],0)))</f>
        <v>45198</v>
      </c>
      <c r="F158" s="22">
        <f>IF(OR(Notes!$B$3="Pay 1 Regular State Payment Budget",Notes!$B$3="Pay 2 Regular State Payment Budget"),0,INDEX(Data[],MATCH($A158,Data[Dist],0),MATCH(F$4,Data[#Headers],0)))</f>
        <v>19134</v>
      </c>
      <c r="G158" s="22">
        <f>INDEX(Data[],MATCH($A158,Data[Dist],0),MATCH(G$4,Data[#Headers],0))</f>
        <v>15167441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1987258</v>
      </c>
      <c r="D159" s="22">
        <f>INDEX(Data[],MATCH($A159,Data[Dist],0),MATCH(D$4,Data[#Headers],0))</f>
        <v>199</v>
      </c>
      <c r="E159" s="22">
        <f>IF(Notes!$B$3="Pay 1 Regular State Payment Budget",0,INDEX(Data[],MATCH($A159,Data[Dist],0),MATCH(E$4,Data[#Headers],0)))</f>
        <v>8323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1978736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2804388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11086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2793302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12850171</v>
      </c>
      <c r="D161" s="22">
        <f>INDEX(Data[],MATCH($A161,Data[Dist],0),MATCH(D$4,Data[#Headers],0))</f>
        <v>1426</v>
      </c>
      <c r="E161" s="22">
        <f>IF(Notes!$B$3="Pay 1 Regular State Payment Budget",0,INDEX(Data[],MATCH($A161,Data[Dist],0),MATCH(E$4,Data[#Headers],0)))</f>
        <v>41630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12807115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3332548</v>
      </c>
      <c r="D162" s="22">
        <f>INDEX(Data[],MATCH($A162,Data[Dist],0),MATCH(D$4,Data[#Headers],0))</f>
        <v>647</v>
      </c>
      <c r="E162" s="22">
        <f>IF(Notes!$B$3="Pay 1 Regular State Payment Budget",0,INDEX(Data[],MATCH($A162,Data[Dist],0),MATCH(E$4,Data[#Headers],0)))</f>
        <v>13722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3318179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2398947</v>
      </c>
      <c r="D163" s="22">
        <f>INDEX(Data[],MATCH($A163,Data[Dist],0),MATCH(D$4,Data[#Headers],0))</f>
        <v>232</v>
      </c>
      <c r="E163" s="22">
        <f>IF(Notes!$B$3="Pay 1 Regular State Payment Budget",0,INDEX(Data[],MATCH($A163,Data[Dist],0),MATCH(E$4,Data[#Headers],0)))</f>
        <v>7145</v>
      </c>
      <c r="F163" s="22">
        <f>IF(OR(Notes!$B$3="Pay 1 Regular State Payment Budget",Notes!$B$3="Pay 2 Regular State Payment Budget"),0,INDEX(Data[],MATCH($A163,Data[Dist],0),MATCH(F$4,Data[#Headers],0)))</f>
        <v>7160</v>
      </c>
      <c r="G163" s="22">
        <f>INDEX(Data[],MATCH($A163,Data[Dist],0),MATCH(G$4,Data[#Headers],0))</f>
        <v>2384410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1569186</v>
      </c>
      <c r="D164" s="22">
        <f>INDEX(Data[],MATCH($A164,Data[Dist],0),MATCH(D$4,Data[#Headers],0))</f>
        <v>315</v>
      </c>
      <c r="E164" s="22">
        <f>IF(Notes!$B$3="Pay 1 Regular State Payment Budget",0,INDEX(Data[],MATCH($A164,Data[Dist],0),MATCH(E$4,Data[#Headers],0)))</f>
        <v>6366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1562505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3745573</v>
      </c>
      <c r="D165" s="22">
        <f>INDEX(Data[],MATCH($A165,Data[Dist],0),MATCH(D$4,Data[#Headers],0))</f>
        <v>547</v>
      </c>
      <c r="E165" s="22">
        <f>IF(Notes!$B$3="Pay 1 Regular State Payment Budget",0,INDEX(Data[],MATCH($A165,Data[Dist],0),MATCH(E$4,Data[#Headers],0)))</f>
        <v>14440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3730586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3213259</v>
      </c>
      <c r="D166" s="22">
        <f>INDEX(Data[],MATCH($A166,Data[Dist],0),MATCH(D$4,Data[#Headers],0))</f>
        <v>348</v>
      </c>
      <c r="E166" s="22">
        <f>IF(Notes!$B$3="Pay 1 Regular State Payment Budget",0,INDEX(Data[],MATCH($A166,Data[Dist],0),MATCH(E$4,Data[#Headers],0)))</f>
        <v>13689</v>
      </c>
      <c r="F166" s="22">
        <f>IF(OR(Notes!$B$3="Pay 1 Regular State Payment Budget",Notes!$B$3="Pay 2 Regular State Payment Budget"),0,INDEX(Data[],MATCH($A166,Data[Dist],0),MATCH(F$4,Data[#Headers],0)))</f>
        <v>148197</v>
      </c>
      <c r="G166" s="22">
        <f>INDEX(Data[],MATCH($A166,Data[Dist],0),MATCH(G$4,Data[#Headers],0))</f>
        <v>3051025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14108422</v>
      </c>
      <c r="D167" s="22">
        <f>INDEX(Data[],MATCH($A167,Data[Dist],0),MATCH(D$4,Data[#Headers],0))</f>
        <v>1758</v>
      </c>
      <c r="E167" s="22">
        <f>IF(Notes!$B$3="Pay 1 Regular State Payment Budget",0,INDEX(Data[],MATCH($A167,Data[Dist],0),MATCH(E$4,Data[#Headers],0)))</f>
        <v>53025</v>
      </c>
      <c r="F167" s="22">
        <f>IF(OR(Notes!$B$3="Pay 1 Regular State Payment Budget",Notes!$B$3="Pay 2 Regular State Payment Budget"),0,INDEX(Data[],MATCH($A167,Data[Dist],0),MATCH(F$4,Data[#Headers],0)))</f>
        <v>176639</v>
      </c>
      <c r="G167" s="22">
        <f>INDEX(Data[],MATCH($A167,Data[Dist],0),MATCH(G$4,Data[#Headers],0))</f>
        <v>13877000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2978276</v>
      </c>
      <c r="D168" s="22">
        <f>INDEX(Data[],MATCH($A168,Data[Dist],0),MATCH(D$4,Data[#Headers],0))</f>
        <v>498</v>
      </c>
      <c r="E168" s="22">
        <f>IF(Notes!$B$3="Pay 1 Regular State Payment Budget",0,INDEX(Data[],MATCH($A168,Data[Dist],0),MATCH(E$4,Data[#Headers],0)))</f>
        <v>10777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2967001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13731327</v>
      </c>
      <c r="D169" s="22">
        <f>INDEX(Data[],MATCH($A169,Data[Dist],0),MATCH(D$4,Data[#Headers],0))</f>
        <v>746</v>
      </c>
      <c r="E169" s="22">
        <f>IF(Notes!$B$3="Pay 1 Regular State Payment Budget",0,INDEX(Data[],MATCH($A169,Data[Dist],0),MATCH(E$4,Data[#Headers],0)))</f>
        <v>61961</v>
      </c>
      <c r="F169" s="22">
        <f>IF(OR(Notes!$B$3="Pay 1 Regular State Payment Budget",Notes!$B$3="Pay 2 Regular State Payment Budget"),0,INDEX(Data[],MATCH($A169,Data[Dist],0),MATCH(F$4,Data[#Headers],0)))</f>
        <v>1077</v>
      </c>
      <c r="G169" s="22">
        <f>INDEX(Data[],MATCH($A169,Data[Dist],0),MATCH(G$4,Data[#Headers],0))</f>
        <v>13667543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4475432</v>
      </c>
      <c r="D170" s="22">
        <f>INDEX(Data[],MATCH($A170,Data[Dist],0),MATCH(D$4,Data[#Headers],0))</f>
        <v>481</v>
      </c>
      <c r="E170" s="22">
        <f>IF(Notes!$B$3="Pay 1 Regular State Payment Budget",0,INDEX(Data[],MATCH($A170,Data[Dist],0),MATCH(E$4,Data[#Headers],0)))</f>
        <v>17466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4457485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49447765</v>
      </c>
      <c r="D171" s="22">
        <f>INDEX(Data[],MATCH($A171,Data[Dist],0),MATCH(D$4,Data[#Headers],0))</f>
        <v>3980</v>
      </c>
      <c r="E171" s="22">
        <f>IF(Notes!$B$3="Pay 1 Regular State Payment Budget",0,INDEX(Data[],MATCH($A171,Data[Dist],0),MATCH(E$4,Data[#Headers],0)))</f>
        <v>180477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49263308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4464427</v>
      </c>
      <c r="D172" s="22">
        <f>INDEX(Data[],MATCH($A172,Data[Dist],0),MATCH(D$4,Data[#Headers],0))</f>
        <v>763</v>
      </c>
      <c r="E172" s="22">
        <f>IF(Notes!$B$3="Pay 1 Regular State Payment Budget",0,INDEX(Data[],MATCH($A172,Data[Dist],0),MATCH(E$4,Data[#Headers],0)))</f>
        <v>15528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4448136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3547657</v>
      </c>
      <c r="D173" s="22">
        <f>INDEX(Data[],MATCH($A173,Data[Dist],0),MATCH(D$4,Data[#Headers],0))</f>
        <v>597</v>
      </c>
      <c r="E173" s="22">
        <f>IF(Notes!$B$3="Pay 1 Regular State Payment Budget",0,INDEX(Data[],MATCH($A173,Data[Dist],0),MATCH(E$4,Data[#Headers],0)))</f>
        <v>12924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3534136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2199083</v>
      </c>
      <c r="D174" s="22">
        <f>INDEX(Data[],MATCH($A174,Data[Dist],0),MATCH(D$4,Data[#Headers],0))</f>
        <v>315</v>
      </c>
      <c r="E174" s="22">
        <f>IF(Notes!$B$3="Pay 1 Regular State Payment Budget",0,INDEX(Data[],MATCH($A174,Data[Dist],0),MATCH(E$4,Data[#Headers],0)))</f>
        <v>8782</v>
      </c>
      <c r="F174" s="22">
        <f>IF(OR(Notes!$B$3="Pay 1 Regular State Payment Budget",Notes!$B$3="Pay 2 Regular State Payment Budget"),0,INDEX(Data[],MATCH($A174,Data[Dist],0),MATCH(F$4,Data[#Headers],0)))</f>
        <v>2784</v>
      </c>
      <c r="G174" s="22">
        <f>INDEX(Data[],MATCH($A174,Data[Dist],0),MATCH(G$4,Data[#Headers],0))</f>
        <v>2187202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4533937</v>
      </c>
      <c r="D175" s="22">
        <f>INDEX(Data[],MATCH($A175,Data[Dist],0),MATCH(D$4,Data[#Headers],0))</f>
        <v>746</v>
      </c>
      <c r="E175" s="22">
        <f>IF(Notes!$B$3="Pay 1 Regular State Payment Budget",0,INDEX(Data[],MATCH($A175,Data[Dist],0),MATCH(E$4,Data[#Headers],0)))</f>
        <v>16794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4516397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370313</v>
      </c>
      <c r="D176" s="22">
        <f>INDEX(Data[],MATCH($A176,Data[Dist],0),MATCH(D$4,Data[#Headers],0))</f>
        <v>100</v>
      </c>
      <c r="E176" s="22">
        <f>IF(Notes!$B$3="Pay 1 Regular State Payment Budget",0,INDEX(Data[],MATCH($A176,Data[Dist],0),MATCH(E$4,Data[#Headers],0)))</f>
        <v>3760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366453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2599180</v>
      </c>
      <c r="D177" s="22">
        <f>INDEX(Data[],MATCH($A177,Data[Dist],0),MATCH(D$4,Data[#Headers],0))</f>
        <v>663</v>
      </c>
      <c r="E177" s="22">
        <f>IF(Notes!$B$3="Pay 1 Regular State Payment Budget",0,INDEX(Data[],MATCH($A177,Data[Dist],0),MATCH(E$4,Data[#Headers],0)))</f>
        <v>10323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2588194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5038348</v>
      </c>
      <c r="D178" s="22">
        <f>INDEX(Data[],MATCH($A178,Data[Dist],0),MATCH(D$4,Data[#Headers],0))</f>
        <v>464</v>
      </c>
      <c r="E178" s="22">
        <f>IF(Notes!$B$3="Pay 1 Regular State Payment Budget",0,INDEX(Data[],MATCH($A178,Data[Dist],0),MATCH(E$4,Data[#Headers],0)))</f>
        <v>16050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5021834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3093889</v>
      </c>
      <c r="D179" s="22">
        <f>INDEX(Data[],MATCH($A179,Data[Dist],0),MATCH(D$4,Data[#Headers],0))</f>
        <v>398</v>
      </c>
      <c r="E179" s="22">
        <f>IF(Notes!$B$3="Pay 1 Regular State Payment Budget",0,INDEX(Data[],MATCH($A179,Data[Dist],0),MATCH(E$4,Data[#Headers],0)))</f>
        <v>12972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3080519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3191644</v>
      </c>
      <c r="D180" s="22">
        <f>INDEX(Data[],MATCH($A180,Data[Dist],0),MATCH(D$4,Data[#Headers],0))</f>
        <v>597</v>
      </c>
      <c r="E180" s="22">
        <f>IF(Notes!$B$3="Pay 1 Regular State Payment Budget",0,INDEX(Data[],MATCH($A180,Data[Dist],0),MATCH(E$4,Data[#Headers],0)))</f>
        <v>15487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3175560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2991485</v>
      </c>
      <c r="D181" s="22">
        <f>INDEX(Data[],MATCH($A181,Data[Dist],0),MATCH(D$4,Data[#Headers],0))</f>
        <v>381</v>
      </c>
      <c r="E181" s="22">
        <f>IF(Notes!$B$3="Pay 1 Regular State Payment Budget",0,INDEX(Data[],MATCH($A181,Data[Dist],0),MATCH(E$4,Data[#Headers],0)))</f>
        <v>14233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2976871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9550179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29937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9518998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3576183</v>
      </c>
      <c r="D183" s="22">
        <f>INDEX(Data[],MATCH($A183,Data[Dist],0),MATCH(D$4,Data[#Headers],0))</f>
        <v>663</v>
      </c>
      <c r="E183" s="22">
        <f>IF(Notes!$B$3="Pay 1 Regular State Payment Budget",0,INDEX(Data[],MATCH($A183,Data[Dist],0),MATCH(E$4,Data[#Headers],0)))</f>
        <v>16072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3559448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1818965</v>
      </c>
      <c r="D184" s="22">
        <f>INDEX(Data[],MATCH($A184,Data[Dist],0),MATCH(D$4,Data[#Headers],0))</f>
        <v>299</v>
      </c>
      <c r="E184" s="22">
        <f>IF(Notes!$B$3="Pay 1 Regular State Payment Budget",0,INDEX(Data[],MATCH($A184,Data[Dist],0),MATCH(E$4,Data[#Headers],0)))</f>
        <v>10359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1808307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14164962</v>
      </c>
      <c r="D185" s="22">
        <f>INDEX(Data[],MATCH($A185,Data[Dist],0),MATCH(D$4,Data[#Headers],0))</f>
        <v>1576</v>
      </c>
      <c r="E185" s="22">
        <f>IF(Notes!$B$3="Pay 1 Regular State Payment Budget",0,INDEX(Data[],MATCH($A185,Data[Dist],0),MATCH(E$4,Data[#Headers],0)))</f>
        <v>45419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14117967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42277034</v>
      </c>
      <c r="D186" s="22">
        <f>INDEX(Data[],MATCH($A186,Data[Dist],0),MATCH(D$4,Data[#Headers],0))</f>
        <v>3732</v>
      </c>
      <c r="E186" s="22">
        <f>IF(Notes!$B$3="Pay 1 Regular State Payment Budget",0,INDEX(Data[],MATCH($A186,Data[Dist],0),MATCH(E$4,Data[#Headers],0)))</f>
        <v>126661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42146641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3176184</v>
      </c>
      <c r="D187" s="22">
        <f>INDEX(Data[],MATCH($A187,Data[Dist],0),MATCH(D$4,Data[#Headers],0))</f>
        <v>381</v>
      </c>
      <c r="E187" s="22">
        <f>IF(Notes!$B$3="Pay 1 Regular State Payment Budget",0,INDEX(Data[],MATCH($A187,Data[Dist],0),MATCH(E$4,Data[#Headers],0)))</f>
        <v>12240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3163563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23080152</v>
      </c>
      <c r="D188" s="22">
        <f>INDEX(Data[],MATCH($A188,Data[Dist],0),MATCH(D$4,Data[#Headers],0))</f>
        <v>2222</v>
      </c>
      <c r="E188" s="22">
        <f>IF(Notes!$B$3="Pay 1 Regular State Payment Budget",0,INDEX(Data[],MATCH($A188,Data[Dist],0),MATCH(E$4,Data[#Headers],0)))</f>
        <v>82992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22994938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8800092</v>
      </c>
      <c r="D189" s="22">
        <f>INDEX(Data[],MATCH($A189,Data[Dist],0),MATCH(D$4,Data[#Headers],0))</f>
        <v>912</v>
      </c>
      <c r="E189" s="22">
        <f>IF(Notes!$B$3="Pay 1 Regular State Payment Budget",0,INDEX(Data[],MATCH($A189,Data[Dist],0),MATCH(E$4,Data[#Headers],0)))</f>
        <v>35583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8763597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4720796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19561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4701235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2588956</v>
      </c>
      <c r="D191" s="22">
        <f>INDEX(Data[],MATCH($A191,Data[Dist],0),MATCH(D$4,Data[#Headers],0))</f>
        <v>381</v>
      </c>
      <c r="E191" s="22">
        <f>IF(Notes!$B$3="Pay 1 Regular State Payment Budget",0,INDEX(Data[],MATCH($A191,Data[Dist],0),MATCH(E$4,Data[#Headers],0)))</f>
        <v>7791</v>
      </c>
      <c r="F191" s="22">
        <f>IF(OR(Notes!$B$3="Pay 1 Regular State Payment Budget",Notes!$B$3="Pay 2 Regular State Payment Budget"),0,INDEX(Data[],MATCH($A191,Data[Dist],0),MATCH(F$4,Data[#Headers],0)))</f>
        <v>156466</v>
      </c>
      <c r="G191" s="22">
        <f>INDEX(Data[],MATCH($A191,Data[Dist],0),MATCH(G$4,Data[#Headers],0))</f>
        <v>2424318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2994171</v>
      </c>
      <c r="D192" s="22">
        <f>INDEX(Data[],MATCH($A192,Data[Dist],0),MATCH(D$4,Data[#Headers],0))</f>
        <v>365</v>
      </c>
      <c r="E192" s="22">
        <f>IF(Notes!$B$3="Pay 1 Regular State Payment Budget",0,INDEX(Data[],MATCH($A192,Data[Dist],0),MATCH(E$4,Data[#Headers],0)))</f>
        <v>12159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2981647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8147189</v>
      </c>
      <c r="D193" s="22">
        <f>INDEX(Data[],MATCH($A193,Data[Dist],0),MATCH(D$4,Data[#Headers],0))</f>
        <v>1045</v>
      </c>
      <c r="E193" s="22">
        <f>IF(Notes!$B$3="Pay 1 Regular State Payment Budget",0,INDEX(Data[],MATCH($A193,Data[Dist],0),MATCH(E$4,Data[#Headers],0)))</f>
        <v>30290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8115854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4940242</v>
      </c>
      <c r="D194" s="22">
        <f>INDEX(Data[],MATCH($A194,Data[Dist],0),MATCH(D$4,Data[#Headers],0))</f>
        <v>697</v>
      </c>
      <c r="E194" s="22">
        <f>IF(Notes!$B$3="Pay 1 Regular State Payment Budget",0,INDEX(Data[],MATCH($A194,Data[Dist],0),MATCH(E$4,Data[#Headers],0)))</f>
        <v>18331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4921214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5320516</v>
      </c>
      <c r="D195" s="22">
        <f>INDEX(Data[],MATCH($A195,Data[Dist],0),MATCH(D$4,Data[#Headers],0))</f>
        <v>713</v>
      </c>
      <c r="E195" s="22">
        <f>IF(Notes!$B$3="Pay 1 Regular State Payment Budget",0,INDEX(Data[],MATCH($A195,Data[Dist],0),MATCH(E$4,Data[#Headers],0)))</f>
        <v>18853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5300950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2369231</v>
      </c>
      <c r="D196" s="22">
        <f>INDEX(Data[],MATCH($A196,Data[Dist],0),MATCH(D$4,Data[#Headers],0))</f>
        <v>630</v>
      </c>
      <c r="E196" s="22">
        <f>IF(Notes!$B$3="Pay 1 Regular State Payment Budget",0,INDEX(Data[],MATCH($A196,Data[Dist],0),MATCH(E$4,Data[#Headers],0)))</f>
        <v>11231</v>
      </c>
      <c r="F196" s="22">
        <f>IF(OR(Notes!$B$3="Pay 1 Regular State Payment Budget",Notes!$B$3="Pay 2 Regular State Payment Budget"),0,INDEX(Data[],MATCH($A196,Data[Dist],0),MATCH(F$4,Data[#Headers],0)))</f>
        <v>1296</v>
      </c>
      <c r="G196" s="22">
        <f>INDEX(Data[],MATCH($A196,Data[Dist],0),MATCH(G$4,Data[#Headers],0))</f>
        <v>2356074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6041456</v>
      </c>
      <c r="D197" s="22">
        <f>INDEX(Data[],MATCH($A197,Data[Dist],0),MATCH(D$4,Data[#Headers],0))</f>
        <v>879</v>
      </c>
      <c r="E197" s="22">
        <f>IF(Notes!$B$3="Pay 1 Regular State Payment Budget",0,INDEX(Data[],MATCH($A197,Data[Dist],0),MATCH(E$4,Data[#Headers],0)))</f>
        <v>22654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6017923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2321474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8285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2312924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1586670</v>
      </c>
      <c r="D199" s="22">
        <f>INDEX(Data[],MATCH($A199,Data[Dist],0),MATCH(D$4,Data[#Headers],0))</f>
        <v>116</v>
      </c>
      <c r="E199" s="22">
        <f>IF(Notes!$B$3="Pay 1 Regular State Payment Budget",0,INDEX(Data[],MATCH($A199,Data[Dist],0),MATCH(E$4,Data[#Headers],0)))</f>
        <v>5297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1581257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1283505</v>
      </c>
      <c r="D200" s="22">
        <f>INDEX(Data[],MATCH($A200,Data[Dist],0),MATCH(D$4,Data[#Headers],0))</f>
        <v>133</v>
      </c>
      <c r="E200" s="22">
        <f>IF(Notes!$B$3="Pay 1 Regular State Payment Budget",0,INDEX(Data[],MATCH($A200,Data[Dist],0),MATCH(E$4,Data[#Headers],0)))</f>
        <v>4513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1278859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1349542</v>
      </c>
      <c r="D201" s="22">
        <f>INDEX(Data[],MATCH($A201,Data[Dist],0),MATCH(D$4,Data[#Headers],0))</f>
        <v>282</v>
      </c>
      <c r="E201" s="22">
        <f>IF(Notes!$B$3="Pay 1 Regular State Payment Budget",0,INDEX(Data[],MATCH($A201,Data[Dist],0),MATCH(E$4,Data[#Headers],0)))</f>
        <v>4900</v>
      </c>
      <c r="F201" s="22">
        <f>IF(OR(Notes!$B$3="Pay 1 Regular State Payment Budget",Notes!$B$3="Pay 2 Regular State Payment Budget"),0,INDEX(Data[],MATCH($A201,Data[Dist],0),MATCH(F$4,Data[#Headers],0)))</f>
        <v>67233</v>
      </c>
      <c r="G201" s="22">
        <f>INDEX(Data[],MATCH($A201,Data[Dist],0),MATCH(G$4,Data[#Headers],0))</f>
        <v>1277127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3329946</v>
      </c>
      <c r="D202" s="22">
        <f>INDEX(Data[],MATCH($A202,Data[Dist],0),MATCH(D$4,Data[#Headers],0))</f>
        <v>730</v>
      </c>
      <c r="E202" s="22">
        <f>IF(Notes!$B$3="Pay 1 Regular State Payment Budget",0,INDEX(Data[],MATCH($A202,Data[Dist],0),MATCH(E$4,Data[#Headers],0)))</f>
        <v>13692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3315524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12579737</v>
      </c>
      <c r="D203" s="22">
        <f>INDEX(Data[],MATCH($A203,Data[Dist],0),MATCH(D$4,Data[#Headers],0))</f>
        <v>1244</v>
      </c>
      <c r="E203" s="22">
        <f>IF(Notes!$B$3="Pay 1 Regular State Payment Budget",0,INDEX(Data[],MATCH($A203,Data[Dist],0),MATCH(E$4,Data[#Headers],0)))</f>
        <v>44144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12534349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7348272</v>
      </c>
      <c r="D204" s="22">
        <f>INDEX(Data[],MATCH($A204,Data[Dist],0),MATCH(D$4,Data[#Headers],0))</f>
        <v>779</v>
      </c>
      <c r="E204" s="22">
        <f>IF(Notes!$B$3="Pay 1 Regular State Payment Budget",0,INDEX(Data[],MATCH($A204,Data[Dist],0),MATCH(E$4,Data[#Headers],0)))</f>
        <v>26661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7320832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1631814</v>
      </c>
      <c r="D205" s="22">
        <f>INDEX(Data[],MATCH($A205,Data[Dist],0),MATCH(D$4,Data[#Headers],0))</f>
        <v>199</v>
      </c>
      <c r="E205" s="22">
        <f>IF(Notes!$B$3="Pay 1 Regular State Payment Budget",0,INDEX(Data[],MATCH($A205,Data[Dist],0),MATCH(E$4,Data[#Headers],0)))</f>
        <v>5254</v>
      </c>
      <c r="F205" s="22">
        <f>IF(OR(Notes!$B$3="Pay 1 Regular State Payment Budget",Notes!$B$3="Pay 2 Regular State Payment Budget"),0,INDEX(Data[],MATCH($A205,Data[Dist],0),MATCH(F$4,Data[#Headers],0)))</f>
        <v>56459</v>
      </c>
      <c r="G205" s="22">
        <f>INDEX(Data[],MATCH($A205,Data[Dist],0),MATCH(G$4,Data[#Headers],0))</f>
        <v>1569902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33243568</v>
      </c>
      <c r="D206" s="22">
        <f>INDEX(Data[],MATCH($A206,Data[Dist],0),MATCH(D$4,Data[#Headers],0))</f>
        <v>4262</v>
      </c>
      <c r="E206" s="22">
        <f>IF(Notes!$B$3="Pay 1 Regular State Payment Budget",0,INDEX(Data[],MATCH($A206,Data[Dist],0),MATCH(E$4,Data[#Headers],0)))</f>
        <v>111404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33127902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3778493</v>
      </c>
      <c r="D207" s="22">
        <f>INDEX(Data[],MATCH($A207,Data[Dist],0),MATCH(D$4,Data[#Headers],0))</f>
        <v>630</v>
      </c>
      <c r="E207" s="22">
        <f>IF(Notes!$B$3="Pay 1 Regular State Payment Budget",0,INDEX(Data[],MATCH($A207,Data[Dist],0),MATCH(E$4,Data[#Headers],0)))</f>
        <v>14148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3763715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9760595</v>
      </c>
      <c r="D208" s="22">
        <f>INDEX(Data[],MATCH($A208,Data[Dist],0),MATCH(D$4,Data[#Headers],0))</f>
        <v>1144</v>
      </c>
      <c r="E208" s="22">
        <f>IF(Notes!$B$3="Pay 1 Regular State Payment Budget",0,INDEX(Data[],MATCH($A208,Data[Dist],0),MATCH(E$4,Data[#Headers],0)))</f>
        <v>34939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9724512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2388758</v>
      </c>
      <c r="D209" s="22">
        <f>INDEX(Data[],MATCH($A209,Data[Dist],0),MATCH(D$4,Data[#Headers],0))</f>
        <v>630</v>
      </c>
      <c r="E209" s="22">
        <f>IF(Notes!$B$3="Pay 1 Regular State Payment Budget",0,INDEX(Data[],MATCH($A209,Data[Dist],0),MATCH(E$4,Data[#Headers],0)))</f>
        <v>11145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2376983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5029228</v>
      </c>
      <c r="D210" s="22">
        <f>INDEX(Data[],MATCH($A210,Data[Dist],0),MATCH(D$4,Data[#Headers],0))</f>
        <v>779</v>
      </c>
      <c r="E210" s="22">
        <f>IF(Notes!$B$3="Pay 1 Regular State Payment Budget",0,INDEX(Data[],MATCH($A210,Data[Dist],0),MATCH(E$4,Data[#Headers],0)))</f>
        <v>22046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5006403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3609769</v>
      </c>
      <c r="D211" s="22">
        <f>INDEX(Data[],MATCH($A211,Data[Dist],0),MATCH(D$4,Data[#Headers],0))</f>
        <v>332</v>
      </c>
      <c r="E211" s="22">
        <f>IF(Notes!$B$3="Pay 1 Regular State Payment Budget",0,INDEX(Data[],MATCH($A211,Data[Dist],0),MATCH(E$4,Data[#Headers],0)))</f>
        <v>11927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3597510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21298780</v>
      </c>
      <c r="D212" s="22">
        <f>INDEX(Data[],MATCH($A212,Data[Dist],0),MATCH(D$4,Data[#Headers],0))</f>
        <v>1194</v>
      </c>
      <c r="E212" s="22">
        <f>IF(Notes!$B$3="Pay 1 Regular State Payment Budget",0,INDEX(Data[],MATCH($A212,Data[Dist],0),MATCH(E$4,Data[#Headers],0)))</f>
        <v>70023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21227563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4630792</v>
      </c>
      <c r="D213" s="22">
        <f>INDEX(Data[],MATCH($A213,Data[Dist],0),MATCH(D$4,Data[#Headers],0))</f>
        <v>896</v>
      </c>
      <c r="E213" s="22">
        <f>IF(Notes!$B$3="Pay 1 Regular State Payment Budget",0,INDEX(Data[],MATCH($A213,Data[Dist],0),MATCH(E$4,Data[#Headers],0)))</f>
        <v>18316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4611580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3272307</v>
      </c>
      <c r="D214" s="22">
        <f>INDEX(Data[],MATCH($A214,Data[Dist],0),MATCH(D$4,Data[#Headers],0))</f>
        <v>763</v>
      </c>
      <c r="E214" s="22">
        <f>IF(Notes!$B$3="Pay 1 Regular State Payment Budget",0,INDEX(Data[],MATCH($A214,Data[Dist],0),MATCH(E$4,Data[#Headers],0)))</f>
        <v>12435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3259109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7530592</v>
      </c>
      <c r="D215" s="22">
        <f>INDEX(Data[],MATCH($A215,Data[Dist],0),MATCH(D$4,Data[#Headers],0))</f>
        <v>763</v>
      </c>
      <c r="E215" s="22">
        <f>IF(Notes!$B$3="Pay 1 Regular State Payment Budget",0,INDEX(Data[],MATCH($A215,Data[Dist],0),MATCH(E$4,Data[#Headers],0)))</f>
        <v>26091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7503738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2775739</v>
      </c>
      <c r="D216" s="22">
        <f>INDEX(Data[],MATCH($A216,Data[Dist],0),MATCH(D$4,Data[#Headers],0))</f>
        <v>514</v>
      </c>
      <c r="E216" s="22">
        <f>IF(Notes!$B$3="Pay 1 Regular State Payment Budget",0,INDEX(Data[],MATCH($A216,Data[Dist],0),MATCH(E$4,Data[#Headers],0)))</f>
        <v>11563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2763662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3549017</v>
      </c>
      <c r="D217" s="22">
        <f>INDEX(Data[],MATCH($A217,Data[Dist],0),MATCH(D$4,Data[#Headers],0))</f>
        <v>531</v>
      </c>
      <c r="E217" s="22">
        <f>IF(Notes!$B$3="Pay 1 Regular State Payment Budget",0,INDEX(Data[],MATCH($A217,Data[Dist],0),MATCH(E$4,Data[#Headers],0)))</f>
        <v>13903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3534583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973467</v>
      </c>
      <c r="D218" s="22">
        <f>INDEX(Data[],MATCH($A218,Data[Dist],0),MATCH(D$4,Data[#Headers],0))</f>
        <v>365</v>
      </c>
      <c r="E218" s="22">
        <f>IF(Notes!$B$3="Pay 1 Regular State Payment Budget",0,INDEX(Data[],MATCH($A218,Data[Dist],0),MATCH(E$4,Data[#Headers],0)))</f>
        <v>6314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966788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12649162</v>
      </c>
      <c r="D219" s="22">
        <f>INDEX(Data[],MATCH($A219,Data[Dist],0),MATCH(D$4,Data[#Headers],0))</f>
        <v>1509</v>
      </c>
      <c r="E219" s="22">
        <f>IF(Notes!$B$3="Pay 1 Regular State Payment Budget",0,INDEX(Data[],MATCH($A219,Data[Dist],0),MATCH(E$4,Data[#Headers],0)))</f>
        <v>45058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12602595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18706731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72947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18631280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2563040</v>
      </c>
      <c r="D221" s="22">
        <f>INDEX(Data[],MATCH($A221,Data[Dist],0),MATCH(D$4,Data[#Headers],0))</f>
        <v>564</v>
      </c>
      <c r="E221" s="22">
        <f>IF(Notes!$B$3="Pay 1 Regular State Payment Budget",0,INDEX(Data[],MATCH($A221,Data[Dist],0),MATCH(E$4,Data[#Headers],0)))</f>
        <v>10335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2552141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3016544</v>
      </c>
      <c r="D222" s="22">
        <f>INDEX(Data[],MATCH($A222,Data[Dist],0),MATCH(D$4,Data[#Headers],0))</f>
        <v>680</v>
      </c>
      <c r="E222" s="22">
        <f>IF(Notes!$B$3="Pay 1 Regular State Payment Budget",0,INDEX(Data[],MATCH($A222,Data[Dist],0),MATCH(E$4,Data[#Headers],0)))</f>
        <v>11967</v>
      </c>
      <c r="F222" s="22">
        <f>IF(OR(Notes!$B$3="Pay 1 Regular State Payment Budget",Notes!$B$3="Pay 2 Regular State Payment Budget"),0,INDEX(Data[],MATCH($A222,Data[Dist],0),MATCH(F$4,Data[#Headers],0)))</f>
        <v>57016</v>
      </c>
      <c r="G222" s="22">
        <f>INDEX(Data[],MATCH($A222,Data[Dist],0),MATCH(G$4,Data[#Headers],0))</f>
        <v>2946881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23710816</v>
      </c>
      <c r="D223" s="22">
        <f>INDEX(Data[],MATCH($A223,Data[Dist],0),MATCH(D$4,Data[#Headers],0))</f>
        <v>2057</v>
      </c>
      <c r="E223" s="22">
        <f>IF(Notes!$B$3="Pay 1 Regular State Payment Budget",0,INDEX(Data[],MATCH($A223,Data[Dist],0),MATCH(E$4,Data[#Headers],0)))</f>
        <v>75774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23632985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3914337</v>
      </c>
      <c r="D224" s="22">
        <f>INDEX(Data[],MATCH($A224,Data[Dist],0),MATCH(D$4,Data[#Headers],0))</f>
        <v>614</v>
      </c>
      <c r="E224" s="22">
        <f>IF(Notes!$B$3="Pay 1 Regular State Payment Budget",0,INDEX(Data[],MATCH($A224,Data[Dist],0),MATCH(E$4,Data[#Headers],0)))</f>
        <v>16276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3897447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5565775</v>
      </c>
      <c r="D225" s="22">
        <f>INDEX(Data[],MATCH($A225,Data[Dist],0),MATCH(D$4,Data[#Headers],0))</f>
        <v>663</v>
      </c>
      <c r="E225" s="22">
        <f>IF(Notes!$B$3="Pay 1 Regular State Payment Budget",0,INDEX(Data[],MATCH($A225,Data[Dist],0),MATCH(E$4,Data[#Headers],0)))</f>
        <v>22960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5542152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10017979</v>
      </c>
      <c r="D226" s="22">
        <f>INDEX(Data[],MATCH($A226,Data[Dist],0),MATCH(D$4,Data[#Headers],0))</f>
        <v>481</v>
      </c>
      <c r="E226" s="22">
        <f>IF(Notes!$B$3="Pay 1 Regular State Payment Budget",0,INDEX(Data[],MATCH($A226,Data[Dist],0),MATCH(E$4,Data[#Headers],0)))</f>
        <v>31509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9985989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3369393</v>
      </c>
      <c r="D227" s="22">
        <f>INDEX(Data[],MATCH($A227,Data[Dist],0),MATCH(D$4,Data[#Headers],0))</f>
        <v>597</v>
      </c>
      <c r="E227" s="22">
        <f>IF(Notes!$B$3="Pay 1 Regular State Payment Budget",0,INDEX(Data[],MATCH($A227,Data[Dist],0),MATCH(E$4,Data[#Headers],0)))</f>
        <v>14437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3354359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370104</v>
      </c>
      <c r="D228" s="22">
        <f>INDEX(Data[],MATCH($A228,Data[Dist],0),MATCH(D$4,Data[#Headers],0))</f>
        <v>1078</v>
      </c>
      <c r="E228" s="22">
        <f>IF(Notes!$B$3="Pay 1 Regular State Payment Budget",0,INDEX(Data[],MATCH($A228,Data[Dist],0),MATCH(E$4,Data[#Headers],0)))</f>
        <v>24537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344489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1425794</v>
      </c>
      <c r="D229" s="22">
        <f>INDEX(Data[],MATCH($A229,Data[Dist],0),MATCH(D$4,Data[#Headers],0))</f>
        <v>216</v>
      </c>
      <c r="E229" s="22">
        <f>IF(Notes!$B$3="Pay 1 Regular State Payment Budget",0,INDEX(Data[],MATCH($A229,Data[Dist],0),MATCH(E$4,Data[#Headers],0)))</f>
        <v>5178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1420400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816732</v>
      </c>
      <c r="D230" s="22">
        <f>INDEX(Data[],MATCH($A230,Data[Dist],0),MATCH(D$4,Data[#Headers],0))</f>
        <v>232</v>
      </c>
      <c r="E230" s="22">
        <f>IF(Notes!$B$3="Pay 1 Regular State Payment Budget",0,INDEX(Data[],MATCH($A230,Data[Dist],0),MATCH(E$4,Data[#Headers],0)))</f>
        <v>4040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812460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5504180</v>
      </c>
      <c r="D231" s="22">
        <f>INDEX(Data[],MATCH($A231,Data[Dist],0),MATCH(D$4,Data[#Headers],0))</f>
        <v>1061</v>
      </c>
      <c r="E231" s="22">
        <f>IF(Notes!$B$3="Pay 1 Regular State Payment Budget",0,INDEX(Data[],MATCH($A231,Data[Dist],0),MATCH(E$4,Data[#Headers],0)))</f>
        <v>21072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5482047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15616153</v>
      </c>
      <c r="D232" s="22">
        <f>INDEX(Data[],MATCH($A232,Data[Dist],0),MATCH(D$4,Data[#Headers],0))</f>
        <v>2123</v>
      </c>
      <c r="E232" s="22">
        <f>IF(Notes!$B$3="Pay 1 Regular State Payment Budget",0,INDEX(Data[],MATCH($A232,Data[Dist],0),MATCH(E$4,Data[#Headers],0)))</f>
        <v>53327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15560703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38721175</v>
      </c>
      <c r="D233" s="22">
        <f>INDEX(Data[],MATCH($A233,Data[Dist],0),MATCH(D$4,Data[#Headers],0))</f>
        <v>3815</v>
      </c>
      <c r="E233" s="22">
        <f>IF(Notes!$B$3="Pay 1 Regular State Payment Budget",0,INDEX(Data[],MATCH($A233,Data[Dist],0),MATCH(E$4,Data[#Headers],0)))</f>
        <v>113637</v>
      </c>
      <c r="F233" s="22">
        <f>IF(OR(Notes!$B$3="Pay 1 Regular State Payment Budget",Notes!$B$3="Pay 2 Regular State Payment Budget"),0,INDEX(Data[],MATCH($A233,Data[Dist],0),MATCH(F$4,Data[#Headers],0)))</f>
        <v>413338</v>
      </c>
      <c r="G233" s="22">
        <f>INDEX(Data[],MATCH($A233,Data[Dist],0),MATCH(G$4,Data[#Headers],0))</f>
        <v>38190385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3603910</v>
      </c>
      <c r="D234" s="22">
        <f>INDEX(Data[],MATCH($A234,Data[Dist],0),MATCH(D$4,Data[#Headers],0))</f>
        <v>697</v>
      </c>
      <c r="E234" s="22">
        <f>IF(Notes!$B$3="Pay 1 Regular State Payment Budget",0,INDEX(Data[],MATCH($A234,Data[Dist],0),MATCH(E$4,Data[#Headers],0)))</f>
        <v>16445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3586768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1149159</v>
      </c>
      <c r="D235" s="22">
        <f>INDEX(Data[],MATCH($A235,Data[Dist],0),MATCH(D$4,Data[#Headers],0))</f>
        <v>166</v>
      </c>
      <c r="E235" s="22">
        <f>IF(Notes!$B$3="Pay 1 Regular State Payment Budget",0,INDEX(Data[],MATCH($A235,Data[Dist],0),MATCH(E$4,Data[#Headers],0)))</f>
        <v>4846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1144147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1871202</v>
      </c>
      <c r="D236" s="22">
        <f>INDEX(Data[],MATCH($A236,Data[Dist],0),MATCH(D$4,Data[#Headers],0))</f>
        <v>464</v>
      </c>
      <c r="E236" s="22">
        <f>IF(Notes!$B$3="Pay 1 Regular State Payment Budget",0,INDEX(Data[],MATCH($A236,Data[Dist],0),MATCH(E$4,Data[#Headers],0)))</f>
        <v>13874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1856864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3445252</v>
      </c>
      <c r="D237" s="22">
        <f>INDEX(Data[],MATCH($A237,Data[Dist],0),MATCH(D$4,Data[#Headers],0))</f>
        <v>630</v>
      </c>
      <c r="E237" s="22">
        <f>IF(Notes!$B$3="Pay 1 Regular State Payment Budget",0,INDEX(Data[],MATCH($A237,Data[Dist],0),MATCH(E$4,Data[#Headers],0)))</f>
        <v>14022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3430600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12401725</v>
      </c>
      <c r="D238" s="22">
        <f>INDEX(Data[],MATCH($A238,Data[Dist],0),MATCH(D$4,Data[#Headers],0))</f>
        <v>1974</v>
      </c>
      <c r="E238" s="22">
        <f>IF(Notes!$B$3="Pay 1 Regular State Payment Budget",0,INDEX(Data[],MATCH($A238,Data[Dist],0),MATCH(E$4,Data[#Headers],0)))</f>
        <v>50814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12348937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14362941</v>
      </c>
      <c r="D239" s="22">
        <f>INDEX(Data[],MATCH($A239,Data[Dist],0),MATCH(D$4,Data[#Headers],0))</f>
        <v>1377</v>
      </c>
      <c r="E239" s="22">
        <f>IF(Notes!$B$3="Pay 1 Regular State Payment Budget",0,INDEX(Data[],MATCH($A239,Data[Dist],0),MATCH(E$4,Data[#Headers],0)))</f>
        <v>43193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14318371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31742637</v>
      </c>
      <c r="D240" s="22">
        <f>INDEX(Data[],MATCH($A240,Data[Dist],0),MATCH(D$4,Data[#Headers],0))</f>
        <v>2952</v>
      </c>
      <c r="E240" s="22">
        <f>IF(Notes!$B$3="Pay 1 Regular State Payment Budget",0,INDEX(Data[],MATCH($A240,Data[Dist],0),MATCH(E$4,Data[#Headers],0)))</f>
        <v>124568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31615117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4467919</v>
      </c>
      <c r="D241" s="22">
        <f>INDEX(Data[],MATCH($A241,Data[Dist],0),MATCH(D$4,Data[#Headers],0))</f>
        <v>498</v>
      </c>
      <c r="E241" s="22">
        <f>IF(Notes!$B$3="Pay 1 Regular State Payment Budget",0,INDEX(Data[],MATCH($A241,Data[Dist],0),MATCH(E$4,Data[#Headers],0)))</f>
        <v>15440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4451981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2267128</v>
      </c>
      <c r="D242" s="22">
        <f>INDEX(Data[],MATCH($A242,Data[Dist],0),MATCH(D$4,Data[#Headers],0))</f>
        <v>697</v>
      </c>
      <c r="E242" s="22">
        <f>IF(Notes!$B$3="Pay 1 Regular State Payment Budget",0,INDEX(Data[],MATCH($A242,Data[Dist],0),MATCH(E$4,Data[#Headers],0)))</f>
        <v>15680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2250751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5521367</v>
      </c>
      <c r="D243" s="22">
        <f>INDEX(Data[],MATCH($A243,Data[Dist],0),MATCH(D$4,Data[#Headers],0))</f>
        <v>282</v>
      </c>
      <c r="E243" s="22">
        <f>IF(Notes!$B$3="Pay 1 Regular State Payment Budget",0,INDEX(Data[],MATCH($A243,Data[Dist],0),MATCH(E$4,Data[#Headers],0)))</f>
        <v>17288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5503797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6686894</v>
      </c>
      <c r="D244" s="22">
        <f>INDEX(Data[],MATCH($A244,Data[Dist],0),MATCH(D$4,Data[#Headers],0))</f>
        <v>879</v>
      </c>
      <c r="E244" s="22">
        <f>IF(Notes!$B$3="Pay 1 Regular State Payment Budget",0,INDEX(Data[],MATCH($A244,Data[Dist],0),MATCH(E$4,Data[#Headers],0)))</f>
        <v>24314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6661701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2430957</v>
      </c>
      <c r="D245" s="22">
        <f>INDEX(Data[],MATCH($A245,Data[Dist],0),MATCH(D$4,Data[#Headers],0))</f>
        <v>464</v>
      </c>
      <c r="E245" s="22">
        <f>IF(Notes!$B$3="Pay 1 Regular State Payment Budget",0,INDEX(Data[],MATCH($A245,Data[Dist],0),MATCH(E$4,Data[#Headers],0)))</f>
        <v>13675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2416818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6878092</v>
      </c>
      <c r="D246" s="22">
        <f>INDEX(Data[],MATCH($A246,Data[Dist],0),MATCH(D$4,Data[#Headers],0))</f>
        <v>929</v>
      </c>
      <c r="E246" s="22">
        <f>IF(Notes!$B$3="Pay 1 Regular State Payment Budget",0,INDEX(Data[],MATCH($A246,Data[Dist],0),MATCH(E$4,Data[#Headers],0)))</f>
        <v>24623</v>
      </c>
      <c r="F246" s="22">
        <f>IF(OR(Notes!$B$3="Pay 1 Regular State Payment Budget",Notes!$B$3="Pay 2 Regular State Payment Budget"),0,INDEX(Data[],MATCH($A246,Data[Dist],0),MATCH(F$4,Data[#Headers],0)))</f>
        <v>48265</v>
      </c>
      <c r="G246" s="22">
        <f>INDEX(Data[],MATCH($A246,Data[Dist],0),MATCH(G$4,Data[#Headers],0))</f>
        <v>6804275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1221970</v>
      </c>
      <c r="D247" s="22">
        <f>INDEX(Data[],MATCH($A247,Data[Dist],0),MATCH(D$4,Data[#Headers],0))</f>
        <v>448</v>
      </c>
      <c r="E247" s="22">
        <f>IF(Notes!$B$3="Pay 1 Regular State Payment Budget",0,INDEX(Data[],MATCH($A247,Data[Dist],0),MATCH(E$4,Data[#Headers],0)))</f>
        <v>7304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1214218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1273644</v>
      </c>
      <c r="D248" s="22">
        <f>INDEX(Data[],MATCH($A248,Data[Dist],0),MATCH(D$4,Data[#Headers],0))</f>
        <v>348</v>
      </c>
      <c r="E248" s="22">
        <f>IF(Notes!$B$3="Pay 1 Regular State Payment Budget",0,INDEX(Data[],MATCH($A248,Data[Dist],0),MATCH(E$4,Data[#Headers],0)))</f>
        <v>7924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1265372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5528208</v>
      </c>
      <c r="D249" s="22">
        <f>INDEX(Data[],MATCH($A249,Data[Dist],0),MATCH(D$4,Data[#Headers],0))</f>
        <v>1310</v>
      </c>
      <c r="E249" s="22">
        <f>IF(Notes!$B$3="Pay 1 Regular State Payment Budget",0,INDEX(Data[],MATCH($A249,Data[Dist],0),MATCH(E$4,Data[#Headers],0)))</f>
        <v>19568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5507330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5996495</v>
      </c>
      <c r="D250" s="22">
        <f>INDEX(Data[],MATCH($A250,Data[Dist],0),MATCH(D$4,Data[#Headers],0))</f>
        <v>979</v>
      </c>
      <c r="E250" s="22">
        <f>IF(Notes!$B$3="Pay 1 Regular State Payment Budget",0,INDEX(Data[],MATCH($A250,Data[Dist],0),MATCH(E$4,Data[#Headers],0)))</f>
        <v>23017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5972499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2256100</v>
      </c>
      <c r="D251" s="22">
        <f>INDEX(Data[],MATCH($A251,Data[Dist],0),MATCH(D$4,Data[#Headers],0))</f>
        <v>398</v>
      </c>
      <c r="E251" s="22">
        <f>IF(Notes!$B$3="Pay 1 Regular State Payment Budget",0,INDEX(Data[],MATCH($A251,Data[Dist],0),MATCH(E$4,Data[#Headers],0)))</f>
        <v>9549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2246153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1388763</v>
      </c>
      <c r="D252" s="22">
        <f>INDEX(Data[],MATCH($A252,Data[Dist],0),MATCH(D$4,Data[#Headers],0))</f>
        <v>66</v>
      </c>
      <c r="E252" s="22">
        <f>IF(Notes!$B$3="Pay 1 Regular State Payment Budget",0,INDEX(Data[],MATCH($A252,Data[Dist],0),MATCH(E$4,Data[#Headers],0)))</f>
        <v>5321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1383376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3055085</v>
      </c>
      <c r="D253" s="22">
        <f>INDEX(Data[],MATCH($A253,Data[Dist],0),MATCH(D$4,Data[#Headers],0))</f>
        <v>597</v>
      </c>
      <c r="E253" s="22">
        <f>IF(Notes!$B$3="Pay 1 Regular State Payment Budget",0,INDEX(Data[],MATCH($A253,Data[Dist],0),MATCH(E$4,Data[#Headers],0)))</f>
        <v>13910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3040578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3674196</v>
      </c>
      <c r="D254" s="22">
        <f>INDEX(Data[],MATCH($A254,Data[Dist],0),MATCH(D$4,Data[#Headers],0))</f>
        <v>862</v>
      </c>
      <c r="E254" s="22">
        <f>IF(Notes!$B$3="Pay 1 Regular State Payment Budget",0,INDEX(Data[],MATCH($A254,Data[Dist],0),MATCH(E$4,Data[#Headers],0)))</f>
        <v>25545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3647789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2026315</v>
      </c>
      <c r="D255" s="22">
        <f>INDEX(Data[],MATCH($A255,Data[Dist],0),MATCH(D$4,Data[#Headers],0))</f>
        <v>348</v>
      </c>
      <c r="E255" s="22">
        <f>IF(Notes!$B$3="Pay 1 Regular State Payment Budget",0,INDEX(Data[],MATCH($A255,Data[Dist],0),MATCH(E$4,Data[#Headers],0)))</f>
        <v>8789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2017178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1202398</v>
      </c>
      <c r="D256" s="22">
        <f>INDEX(Data[],MATCH($A256,Data[Dist],0),MATCH(D$4,Data[#Headers],0))</f>
        <v>199</v>
      </c>
      <c r="E256" s="22">
        <f>IF(Notes!$B$3="Pay 1 Regular State Payment Budget",0,INDEX(Data[],MATCH($A256,Data[Dist],0),MATCH(E$4,Data[#Headers],0)))</f>
        <v>5915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1196284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7443994</v>
      </c>
      <c r="D257" s="22">
        <f>INDEX(Data[],MATCH($A257,Data[Dist],0),MATCH(D$4,Data[#Headers],0))</f>
        <v>1144</v>
      </c>
      <c r="E257" s="22">
        <f>IF(Notes!$B$3="Pay 1 Regular State Payment Budget",0,INDEX(Data[],MATCH($A257,Data[Dist],0),MATCH(E$4,Data[#Headers],0)))</f>
        <v>32908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7409942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1515779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6071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1509509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4075594</v>
      </c>
      <c r="D259" s="22">
        <f>INDEX(Data[],MATCH($A259,Data[Dist],0),MATCH(D$4,Data[#Headers],0))</f>
        <v>862</v>
      </c>
      <c r="E259" s="22">
        <f>IF(Notes!$B$3="Pay 1 Regular State Payment Budget",0,INDEX(Data[],MATCH($A259,Data[Dist],0),MATCH(E$4,Data[#Headers],0)))</f>
        <v>17262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4057470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7273196</v>
      </c>
      <c r="D260" s="22">
        <f>INDEX(Data[],MATCH($A260,Data[Dist],0),MATCH(D$4,Data[#Headers],0))</f>
        <v>1310</v>
      </c>
      <c r="E260" s="22">
        <f>IF(Notes!$B$3="Pay 1 Regular State Payment Budget",0,INDEX(Data[],MATCH($A260,Data[Dist],0),MATCH(E$4,Data[#Headers],0)))</f>
        <v>26034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7245852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6716435</v>
      </c>
      <c r="D261" s="22">
        <f>INDEX(Data[],MATCH($A261,Data[Dist],0),MATCH(D$4,Data[#Headers],0))</f>
        <v>995</v>
      </c>
      <c r="E261" s="22">
        <f>IF(Notes!$B$3="Pay 1 Regular State Payment Budget",0,INDEX(Data[],MATCH($A261,Data[Dist],0),MATCH(E$4,Data[#Headers],0)))</f>
        <v>24141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6691299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4217069</v>
      </c>
      <c r="D262" s="22">
        <f>INDEX(Data[],MATCH($A262,Data[Dist],0),MATCH(D$4,Data[#Headers],0))</f>
        <v>779</v>
      </c>
      <c r="E262" s="22">
        <f>IF(Notes!$B$3="Pay 1 Regular State Payment Budget",0,INDEX(Data[],MATCH($A262,Data[Dist],0),MATCH(E$4,Data[#Headers],0)))</f>
        <v>16834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4199456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2312168</v>
      </c>
      <c r="D263" s="22">
        <f>INDEX(Data[],MATCH($A263,Data[Dist],0),MATCH(D$4,Data[#Headers],0))</f>
        <v>381</v>
      </c>
      <c r="E263" s="22">
        <f>IF(Notes!$B$3="Pay 1 Regular State Payment Budget",0,INDEX(Data[],MATCH($A263,Data[Dist],0),MATCH(E$4,Data[#Headers],0)))</f>
        <v>8784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2303003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3618138</v>
      </c>
      <c r="D264" s="22">
        <f>INDEX(Data[],MATCH($A264,Data[Dist],0),MATCH(D$4,Data[#Headers],0))</f>
        <v>365</v>
      </c>
      <c r="E264" s="22">
        <f>IF(Notes!$B$3="Pay 1 Regular State Payment Budget",0,INDEX(Data[],MATCH($A264,Data[Dist],0),MATCH(E$4,Data[#Headers],0)))</f>
        <v>13074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3604699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9335610</v>
      </c>
      <c r="D265" s="22">
        <f>INDEX(Data[],MATCH($A265,Data[Dist],0),MATCH(D$4,Data[#Headers],0))</f>
        <v>1957</v>
      </c>
      <c r="E265" s="22">
        <f>IF(Notes!$B$3="Pay 1 Regular State Payment Budget",0,INDEX(Data[],MATCH($A265,Data[Dist],0),MATCH(E$4,Data[#Headers],0)))</f>
        <v>33701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9299952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120926147</v>
      </c>
      <c r="D266" s="22">
        <f>INDEX(Data[],MATCH($A266,Data[Dist],0),MATCH(D$4,Data[#Headers],0))</f>
        <v>10233</v>
      </c>
      <c r="E266" s="22">
        <f>IF(Notes!$B$3="Pay 1 Regular State Payment Budget",0,INDEX(Data[],MATCH($A266,Data[Dist],0),MATCH(E$4,Data[#Headers],0)))</f>
        <v>351913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120564001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2590404</v>
      </c>
      <c r="D267" s="22">
        <f>INDEX(Data[],MATCH($A267,Data[Dist],0),MATCH(D$4,Data[#Headers],0))</f>
        <v>365</v>
      </c>
      <c r="E267" s="22">
        <f>IF(Notes!$B$3="Pay 1 Regular State Payment Budget",0,INDEX(Data[],MATCH($A267,Data[Dist],0),MATCH(E$4,Data[#Headers],0)))</f>
        <v>11000</v>
      </c>
      <c r="F267" s="22">
        <f>IF(OR(Notes!$B$3="Pay 1 Regular State Payment Budget",Notes!$B$3="Pay 2 Regular State Payment Budget"),0,INDEX(Data[],MATCH($A267,Data[Dist],0),MATCH(F$4,Data[#Headers],0)))</f>
        <v>86403</v>
      </c>
      <c r="G267" s="22">
        <f>INDEX(Data[],MATCH($A267,Data[Dist],0),MATCH(G$4,Data[#Headers],0))</f>
        <v>2492636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5063482</v>
      </c>
      <c r="D268" s="22">
        <f>INDEX(Data[],MATCH($A268,Data[Dist],0),MATCH(D$4,Data[#Headers],0))</f>
        <v>730</v>
      </c>
      <c r="E268" s="22">
        <f>IF(Notes!$B$3="Pay 1 Regular State Payment Budget",0,INDEX(Data[],MATCH($A268,Data[Dist],0),MATCH(E$4,Data[#Headers],0)))</f>
        <v>22112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5040640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8403755</v>
      </c>
      <c r="D269" s="22">
        <f>INDEX(Data[],MATCH($A269,Data[Dist],0),MATCH(D$4,Data[#Headers],0))</f>
        <v>713</v>
      </c>
      <c r="E269" s="22">
        <f>IF(Notes!$B$3="Pay 1 Regular State Payment Budget",0,INDEX(Data[],MATCH($A269,Data[Dist],0),MATCH(E$4,Data[#Headers],0)))</f>
        <v>33590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8369452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3824924</v>
      </c>
      <c r="D270" s="22">
        <f>INDEX(Data[],MATCH($A270,Data[Dist],0),MATCH(D$4,Data[#Headers],0))</f>
        <v>365</v>
      </c>
      <c r="E270" s="22">
        <f>IF(Notes!$B$3="Pay 1 Regular State Payment Budget",0,INDEX(Data[],MATCH($A270,Data[Dist],0),MATCH(E$4,Data[#Headers],0)))</f>
        <v>12751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3811808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3434918</v>
      </c>
      <c r="D271" s="22">
        <f>INDEX(Data[],MATCH($A271,Data[Dist],0),MATCH(D$4,Data[#Headers],0))</f>
        <v>630</v>
      </c>
      <c r="E271" s="22">
        <f>IF(Notes!$B$3="Pay 1 Regular State Payment Budget",0,INDEX(Data[],MATCH($A271,Data[Dist],0),MATCH(E$4,Data[#Headers],0)))</f>
        <v>14741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3419547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2762434</v>
      </c>
      <c r="D272" s="22">
        <f>INDEX(Data[],MATCH($A272,Data[Dist],0),MATCH(D$4,Data[#Headers],0))</f>
        <v>265</v>
      </c>
      <c r="E272" s="22">
        <f>IF(Notes!$B$3="Pay 1 Regular State Payment Budget",0,INDEX(Data[],MATCH($A272,Data[Dist],0),MATCH(E$4,Data[#Headers],0)))</f>
        <v>12449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2749720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1409407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5086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1404238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11610111</v>
      </c>
      <c r="D274" s="22">
        <f>INDEX(Data[],MATCH($A274,Data[Dist],0),MATCH(D$4,Data[#Headers],0))</f>
        <v>1343</v>
      </c>
      <c r="E274" s="22">
        <f>IF(Notes!$B$3="Pay 1 Regular State Payment Budget",0,INDEX(Data[],MATCH($A274,Data[Dist],0),MATCH(E$4,Data[#Headers],0)))</f>
        <v>35930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11572838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3303907</v>
      </c>
      <c r="D275" s="22">
        <f>INDEX(Data[],MATCH($A275,Data[Dist],0),MATCH(D$4,Data[#Headers],0))</f>
        <v>763</v>
      </c>
      <c r="E275" s="22">
        <f>IF(Notes!$B$3="Pay 1 Regular State Payment Budget",0,INDEX(Data[],MATCH($A275,Data[Dist],0),MATCH(E$4,Data[#Headers],0)))</f>
        <v>12045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3291099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47643818</v>
      </c>
      <c r="D276" s="22">
        <f>INDEX(Data[],MATCH($A276,Data[Dist],0),MATCH(D$4,Data[#Headers],0))</f>
        <v>4229</v>
      </c>
      <c r="E276" s="22">
        <f>IF(Notes!$B$3="Pay 1 Regular State Payment Budget",0,INDEX(Data[],MATCH($A276,Data[Dist],0),MATCH(E$4,Data[#Headers],0)))</f>
        <v>164149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47475440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13675565</v>
      </c>
      <c r="D277" s="22">
        <f>INDEX(Data[],MATCH($A277,Data[Dist],0),MATCH(D$4,Data[#Headers],0))</f>
        <v>2587</v>
      </c>
      <c r="E277" s="22">
        <f>IF(Notes!$B$3="Pay 1 Regular State Payment Budget",0,INDEX(Data[],MATCH($A277,Data[Dist],0),MATCH(E$4,Data[#Headers],0)))</f>
        <v>46761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13626217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2753186</v>
      </c>
      <c r="D278" s="22">
        <f>INDEX(Data[],MATCH($A278,Data[Dist],0),MATCH(D$4,Data[#Headers],0))</f>
        <v>1144</v>
      </c>
      <c r="E278" s="22">
        <f>IF(Notes!$B$3="Pay 1 Regular State Payment Budget",0,INDEX(Data[],MATCH($A278,Data[Dist],0),MATCH(E$4,Data[#Headers],0)))</f>
        <v>27602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2724440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2672473</v>
      </c>
      <c r="D279" s="22">
        <f>INDEX(Data[],MATCH($A279,Data[Dist],0),MATCH(D$4,Data[#Headers],0))</f>
        <v>415</v>
      </c>
      <c r="E279" s="22">
        <f>IF(Notes!$B$3="Pay 1 Regular State Payment Budget",0,INDEX(Data[],MATCH($A279,Data[Dist],0),MATCH(E$4,Data[#Headers],0)))</f>
        <v>9596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2662462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1341929</v>
      </c>
      <c r="D280" s="22">
        <f>INDEX(Data[],MATCH($A280,Data[Dist],0),MATCH(D$4,Data[#Headers],0))</f>
        <v>216</v>
      </c>
      <c r="E280" s="22">
        <f>IF(Notes!$B$3="Pay 1 Regular State Payment Budget",0,INDEX(Data[],MATCH($A280,Data[Dist],0),MATCH(E$4,Data[#Headers],0)))</f>
        <v>4444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1337269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4015924</v>
      </c>
      <c r="D281" s="22">
        <f>INDEX(Data[],MATCH($A281,Data[Dist],0),MATCH(D$4,Data[#Headers],0))</f>
        <v>564</v>
      </c>
      <c r="E281" s="22">
        <f>IF(Notes!$B$3="Pay 1 Regular State Payment Budget",0,INDEX(Data[],MATCH($A281,Data[Dist],0),MATCH(E$4,Data[#Headers],0)))</f>
        <v>14475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4000885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21384363</v>
      </c>
      <c r="D282" s="22">
        <f>INDEX(Data[],MATCH($A282,Data[Dist],0),MATCH(D$4,Data[#Headers],0))</f>
        <v>2654</v>
      </c>
      <c r="E282" s="22">
        <f>IF(Notes!$B$3="Pay 1 Regular State Payment Budget",0,INDEX(Data[],MATCH($A282,Data[Dist],0),MATCH(E$4,Data[#Headers],0)))</f>
        <v>61845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21319864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818277</v>
      </c>
      <c r="D283" s="22">
        <f>INDEX(Data[],MATCH($A283,Data[Dist],0),MATCH(D$4,Data[#Headers],0))</f>
        <v>133</v>
      </c>
      <c r="E283" s="22">
        <f>IF(Notes!$B$3="Pay 1 Regular State Payment Budget",0,INDEX(Data[],MATCH($A283,Data[Dist],0),MATCH(E$4,Data[#Headers],0)))</f>
        <v>3057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815087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5456477</v>
      </c>
      <c r="D284" s="22">
        <f>INDEX(Data[],MATCH($A284,Data[Dist],0),MATCH(D$4,Data[#Headers],0))</f>
        <v>779</v>
      </c>
      <c r="E284" s="22">
        <f>IF(Notes!$B$3="Pay 1 Regular State Payment Budget",0,INDEX(Data[],MATCH($A284,Data[Dist],0),MATCH(E$4,Data[#Headers],0)))</f>
        <v>22677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5433021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4837677</v>
      </c>
      <c r="D285" s="22">
        <f>INDEX(Data[],MATCH($A285,Data[Dist],0),MATCH(D$4,Data[#Headers],0))</f>
        <v>779</v>
      </c>
      <c r="E285" s="22">
        <f>IF(Notes!$B$3="Pay 1 Regular State Payment Budget",0,INDEX(Data[],MATCH($A285,Data[Dist],0),MATCH(E$4,Data[#Headers],0)))</f>
        <v>18544</v>
      </c>
      <c r="F285" s="22">
        <f>IF(OR(Notes!$B$3="Pay 1 Regular State Payment Budget",Notes!$B$3="Pay 2 Regular State Payment Budget"),0,INDEX(Data[],MATCH($A285,Data[Dist],0),MATCH(F$4,Data[#Headers],0)))</f>
        <v>69452</v>
      </c>
      <c r="G285" s="22">
        <f>INDEX(Data[],MATCH($A285,Data[Dist],0),MATCH(G$4,Data[#Headers],0))</f>
        <v>4748902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5772637</v>
      </c>
      <c r="D286" s="22">
        <f>INDEX(Data[],MATCH($A286,Data[Dist],0),MATCH(D$4,Data[#Headers],0))</f>
        <v>580</v>
      </c>
      <c r="E286" s="22">
        <f>IF(Notes!$B$3="Pay 1 Regular State Payment Budget",0,INDEX(Data[],MATCH($A286,Data[Dist],0),MATCH(E$4,Data[#Headers],0)))</f>
        <v>20737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5751320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3316960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14005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3302955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4369779</v>
      </c>
      <c r="D288" s="22">
        <f>INDEX(Data[],MATCH($A288,Data[Dist],0),MATCH(D$4,Data[#Headers],0))</f>
        <v>846</v>
      </c>
      <c r="E288" s="22">
        <f>IF(Notes!$B$3="Pay 1 Regular State Payment Budget",0,INDEX(Data[],MATCH($A288,Data[Dist],0),MATCH(E$4,Data[#Headers],0)))</f>
        <v>15746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4353187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1746290</v>
      </c>
      <c r="D289" s="22">
        <f>INDEX(Data[],MATCH($A289,Data[Dist],0),MATCH(D$4,Data[#Headers],0))</f>
        <v>149</v>
      </c>
      <c r="E289" s="22">
        <f>IF(Notes!$B$3="Pay 1 Regular State Payment Budget",0,INDEX(Data[],MATCH($A289,Data[Dist],0),MATCH(E$4,Data[#Headers],0)))</f>
        <v>6618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1739523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2781762</v>
      </c>
      <c r="D290" s="22">
        <f>INDEX(Data[],MATCH($A290,Data[Dist],0),MATCH(D$4,Data[#Headers],0))</f>
        <v>282</v>
      </c>
      <c r="E290" s="22">
        <f>IF(Notes!$B$3="Pay 1 Regular State Payment Budget",0,INDEX(Data[],MATCH($A290,Data[Dist],0),MATCH(E$4,Data[#Headers],0)))</f>
        <v>9383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2772097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1903837</v>
      </c>
      <c r="D291" s="22">
        <f>INDEX(Data[],MATCH($A291,Data[Dist],0),MATCH(D$4,Data[#Headers],0))</f>
        <v>365</v>
      </c>
      <c r="E291" s="22">
        <f>IF(Notes!$B$3="Pay 1 Regular State Payment Budget",0,INDEX(Data[],MATCH($A291,Data[Dist],0),MATCH(E$4,Data[#Headers],0)))</f>
        <v>8259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1895213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2179543</v>
      </c>
      <c r="D292" s="22">
        <f>INDEX(Data[],MATCH($A292,Data[Dist],0),MATCH(D$4,Data[#Headers],0))</f>
        <v>182</v>
      </c>
      <c r="E292" s="22">
        <f>IF(Notes!$B$3="Pay 1 Regular State Payment Budget",0,INDEX(Data[],MATCH($A292,Data[Dist],0),MATCH(E$4,Data[#Headers],0)))</f>
        <v>7361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2172000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775873</v>
      </c>
      <c r="D293" s="22">
        <f>INDEX(Data[],MATCH($A293,Data[Dist],0),MATCH(D$4,Data[#Headers],0))</f>
        <v>83</v>
      </c>
      <c r="E293" s="22">
        <f>IF(Notes!$B$3="Pay 1 Regular State Payment Budget",0,INDEX(Data[],MATCH($A293,Data[Dist],0),MATCH(E$4,Data[#Headers],0)))</f>
        <v>3777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772013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4461322</v>
      </c>
      <c r="D294" s="22">
        <f>INDEX(Data[],MATCH($A294,Data[Dist],0),MATCH(D$4,Data[#Headers],0))</f>
        <v>564</v>
      </c>
      <c r="E294" s="22">
        <f>IF(Notes!$B$3="Pay 1 Regular State Payment Budget",0,INDEX(Data[],MATCH($A294,Data[Dist],0),MATCH(E$4,Data[#Headers],0)))</f>
        <v>17247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4443511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1494715</v>
      </c>
      <c r="D295" s="22">
        <f>INDEX(Data[],MATCH($A295,Data[Dist],0),MATCH(D$4,Data[#Headers],0))</f>
        <v>813</v>
      </c>
      <c r="E295" s="22">
        <f>IF(Notes!$B$3="Pay 1 Regular State Payment Budget",0,INDEX(Data[],MATCH($A295,Data[Dist],0),MATCH(E$4,Data[#Headers],0)))</f>
        <v>8836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1485066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20769837</v>
      </c>
      <c r="D296" s="22">
        <f>INDEX(Data[],MATCH($A296,Data[Dist],0),MATCH(D$4,Data[#Headers],0))</f>
        <v>2388</v>
      </c>
      <c r="E296" s="22">
        <f>IF(Notes!$B$3="Pay 1 Regular State Payment Budget",0,INDEX(Data[],MATCH($A296,Data[Dist],0),MATCH(E$4,Data[#Headers],0)))</f>
        <v>80002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20687447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5892537</v>
      </c>
      <c r="D297" s="22">
        <f>INDEX(Data[],MATCH($A297,Data[Dist],0),MATCH(D$4,Data[#Headers],0))</f>
        <v>896</v>
      </c>
      <c r="E297" s="22">
        <f>IF(Notes!$B$3="Pay 1 Regular State Payment Budget",0,INDEX(Data[],MATCH($A297,Data[Dist],0),MATCH(E$4,Data[#Headers],0)))</f>
        <v>22321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5869320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4889170</v>
      </c>
      <c r="D298" s="22">
        <f>INDEX(Data[],MATCH($A298,Data[Dist],0),MATCH(D$4,Data[#Headers],0))</f>
        <v>697</v>
      </c>
      <c r="E298" s="22">
        <f>IF(Notes!$B$3="Pay 1 Regular State Payment Budget",0,INDEX(Data[],MATCH($A298,Data[Dist],0),MATCH(E$4,Data[#Headers],0)))</f>
        <v>18511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4869962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1685820</v>
      </c>
      <c r="D299" s="22">
        <f>INDEX(Data[],MATCH($A299,Data[Dist],0),MATCH(D$4,Data[#Headers],0))</f>
        <v>199</v>
      </c>
      <c r="E299" s="22">
        <f>IF(Notes!$B$3="Pay 1 Regular State Payment Budget",0,INDEX(Data[],MATCH($A299,Data[Dist],0),MATCH(E$4,Data[#Headers],0)))</f>
        <v>6485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1679136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10273385</v>
      </c>
      <c r="D300" s="22">
        <f>INDEX(Data[],MATCH($A300,Data[Dist],0),MATCH(D$4,Data[#Headers],0))</f>
        <v>1227</v>
      </c>
      <c r="E300" s="22">
        <f>IF(Notes!$B$3="Pay 1 Regular State Payment Budget",0,INDEX(Data[],MATCH($A300,Data[Dist],0),MATCH(E$4,Data[#Headers],0)))</f>
        <v>36756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10235402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3144873</v>
      </c>
      <c r="D301" s="22">
        <f>INDEX(Data[],MATCH($A301,Data[Dist],0),MATCH(D$4,Data[#Headers],0))</f>
        <v>481</v>
      </c>
      <c r="E301" s="22">
        <f>IF(Notes!$B$3="Pay 1 Regular State Payment Budget",0,INDEX(Data[],MATCH($A301,Data[Dist],0),MATCH(E$4,Data[#Headers],0)))</f>
        <v>10903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3133489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4489058</v>
      </c>
      <c r="D302" s="22">
        <f>INDEX(Data[],MATCH($A302,Data[Dist],0),MATCH(D$4,Data[#Headers],0))</f>
        <v>730</v>
      </c>
      <c r="E302" s="22">
        <f>IF(Notes!$B$3="Pay 1 Regular State Payment Budget",0,INDEX(Data[],MATCH($A302,Data[Dist],0),MATCH(E$4,Data[#Headers],0)))</f>
        <v>18692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4469636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3647312</v>
      </c>
      <c r="D303" s="22">
        <f>INDEX(Data[],MATCH($A303,Data[Dist],0),MATCH(D$4,Data[#Headers],0))</f>
        <v>481</v>
      </c>
      <c r="E303" s="22">
        <f>IF(Notes!$B$3="Pay 1 Regular State Payment Budget",0,INDEX(Data[],MATCH($A303,Data[Dist],0),MATCH(E$4,Data[#Headers],0)))</f>
        <v>13238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3633593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4580504</v>
      </c>
      <c r="D304" s="22">
        <f>INDEX(Data[],MATCH($A304,Data[Dist],0),MATCH(D$4,Data[#Headers],0))</f>
        <v>564</v>
      </c>
      <c r="E304" s="22">
        <f>IF(Notes!$B$3="Pay 1 Regular State Payment Budget",0,INDEX(Data[],MATCH($A304,Data[Dist],0),MATCH(E$4,Data[#Headers],0)))</f>
        <v>16076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4563864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11533151</v>
      </c>
      <c r="D305" s="22">
        <f>INDEX(Data[],MATCH($A305,Data[Dist],0),MATCH(D$4,Data[#Headers],0))</f>
        <v>1426</v>
      </c>
      <c r="E305" s="22">
        <f>IF(Notes!$B$3="Pay 1 Regular State Payment Budget",0,INDEX(Data[],MATCH($A305,Data[Dist],0),MATCH(E$4,Data[#Headers],0)))</f>
        <v>38374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11493351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84141149</v>
      </c>
      <c r="D306" s="22">
        <f>INDEX(Data[],MATCH($A306,Data[Dist],0),MATCH(D$4,Data[#Headers],0))</f>
        <v>7015</v>
      </c>
      <c r="E306" s="22">
        <f>IF(Notes!$B$3="Pay 1 Regular State Payment Budget",0,INDEX(Data[],MATCH($A306,Data[Dist],0),MATCH(E$4,Data[#Headers],0)))</f>
        <v>252419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83881715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69096106</v>
      </c>
      <c r="D307" s="22">
        <f>INDEX(Data[],MATCH($A307,Data[Dist],0),MATCH(D$4,Data[#Headers],0))</f>
        <v>1393</v>
      </c>
      <c r="E307" s="22">
        <f>IF(Notes!$B$3="Pay 1 Regular State Payment Budget",0,INDEX(Data[],MATCH($A307,Data[Dist],0),MATCH(E$4,Data[#Headers],0)))</f>
        <v>284916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68809797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13749479</v>
      </c>
      <c r="D308" s="22">
        <f>INDEX(Data[],MATCH($A308,Data[Dist],0),MATCH(D$4,Data[#Headers],0))</f>
        <v>1625</v>
      </c>
      <c r="E308" s="22">
        <f>IF(Notes!$B$3="Pay 1 Regular State Payment Budget",0,INDEX(Data[],MATCH($A308,Data[Dist],0),MATCH(E$4,Data[#Headers],0)))</f>
        <v>50336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13697518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3313709</v>
      </c>
      <c r="D309" s="22">
        <f>INDEX(Data[],MATCH($A309,Data[Dist],0),MATCH(D$4,Data[#Headers],0))</f>
        <v>597</v>
      </c>
      <c r="E309" s="22">
        <f>IF(Notes!$B$3="Pay 1 Regular State Payment Budget",0,INDEX(Data[],MATCH($A309,Data[Dist],0),MATCH(E$4,Data[#Headers],0)))</f>
        <v>12950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3300162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12259202</v>
      </c>
      <c r="D310" s="22">
        <f>INDEX(Data[],MATCH($A310,Data[Dist],0),MATCH(D$4,Data[#Headers],0))</f>
        <v>1874</v>
      </c>
      <c r="E310" s="22">
        <f>IF(Notes!$B$3="Pay 1 Regular State Payment Budget",0,INDEX(Data[],MATCH($A310,Data[Dist],0),MATCH(E$4,Data[#Headers],0)))</f>
        <v>41331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12215997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1548999</v>
      </c>
      <c r="D311" s="22">
        <f>INDEX(Data[],MATCH($A311,Data[Dist],0),MATCH(D$4,Data[#Headers],0))</f>
        <v>448</v>
      </c>
      <c r="E311" s="22">
        <f>IF(Notes!$B$3="Pay 1 Regular State Payment Budget",0,INDEX(Data[],MATCH($A311,Data[Dist],0),MATCH(E$4,Data[#Headers],0)))</f>
        <v>7292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1541259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4303619</v>
      </c>
      <c r="D312" s="22">
        <f>INDEX(Data[],MATCH($A312,Data[Dist],0),MATCH(D$4,Data[#Headers],0))</f>
        <v>813</v>
      </c>
      <c r="E312" s="22">
        <f>IF(Notes!$B$3="Pay 1 Regular State Payment Budget",0,INDEX(Data[],MATCH($A312,Data[Dist],0),MATCH(E$4,Data[#Headers],0)))</f>
        <v>18003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4284803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2973602</v>
      </c>
      <c r="D313" s="22">
        <f>INDEX(Data[],MATCH($A313,Data[Dist],0),MATCH(D$4,Data[#Headers],0))</f>
        <v>796</v>
      </c>
      <c r="E313" s="22">
        <f>IF(Notes!$B$3="Pay 1 Regular State Payment Budget",0,INDEX(Data[],MATCH($A313,Data[Dist],0),MATCH(E$4,Data[#Headers],0)))</f>
        <v>10570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2962236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1420519</v>
      </c>
      <c r="D314" s="22">
        <f>INDEX(Data[],MATCH($A314,Data[Dist],0),MATCH(D$4,Data[#Headers],0))</f>
        <v>166</v>
      </c>
      <c r="E314" s="22">
        <f>IF(Notes!$B$3="Pay 1 Regular State Payment Budget",0,INDEX(Data[],MATCH($A314,Data[Dist],0),MATCH(E$4,Data[#Headers],0)))</f>
        <v>6223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1414130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8424239</v>
      </c>
      <c r="D315" s="22">
        <f>INDEX(Data[],MATCH($A315,Data[Dist],0),MATCH(D$4,Data[#Headers],0))</f>
        <v>1012</v>
      </c>
      <c r="E315" s="22">
        <f>IF(Notes!$B$3="Pay 1 Regular State Payment Budget",0,INDEX(Data[],MATCH($A315,Data[Dist],0),MATCH(E$4,Data[#Headers],0)))</f>
        <v>33238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8389989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46746755</v>
      </c>
      <c r="D316" s="22">
        <f>INDEX(Data[],MATCH($A316,Data[Dist],0),MATCH(D$4,Data[#Headers],0))</f>
        <v>6568</v>
      </c>
      <c r="E316" s="22">
        <f>IF(Notes!$B$3="Pay 1 Regular State Payment Budget",0,INDEX(Data[],MATCH($A316,Data[Dist],0),MATCH(E$4,Data[#Headers],0)))</f>
        <v>209508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46530679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18878041</v>
      </c>
      <c r="D317" s="22">
        <f>INDEX(Data[],MATCH($A317,Data[Dist],0),MATCH(D$4,Data[#Headers],0))</f>
        <v>4495</v>
      </c>
      <c r="E317" s="22">
        <f>IF(Notes!$B$3="Pay 1 Regular State Payment Budget",0,INDEX(Data[],MATCH($A317,Data[Dist],0),MATCH(E$4,Data[#Headers],0)))</f>
        <v>75957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18797589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1685167</v>
      </c>
      <c r="D318" s="22">
        <f>INDEX(Data[],MATCH($A318,Data[Dist],0),MATCH(D$4,Data[#Headers],0))</f>
        <v>315</v>
      </c>
      <c r="E318" s="22">
        <f>IF(Notes!$B$3="Pay 1 Regular State Payment Budget",0,INDEX(Data[],MATCH($A318,Data[Dist],0),MATCH(E$4,Data[#Headers],0)))</f>
        <v>8069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1676783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9379753</v>
      </c>
      <c r="D319" s="22">
        <f>INDEX(Data[],MATCH($A319,Data[Dist],0),MATCH(D$4,Data[#Headers],0))</f>
        <v>1377</v>
      </c>
      <c r="E319" s="22">
        <f>IF(Notes!$B$3="Pay 1 Regular State Payment Budget",0,INDEX(Data[],MATCH($A319,Data[Dist],0),MATCH(E$4,Data[#Headers],0)))</f>
        <v>29419</v>
      </c>
      <c r="F319" s="22">
        <f>IF(OR(Notes!$B$3="Pay 1 Regular State Payment Budget",Notes!$B$3="Pay 2 Regular State Payment Budget"),0,INDEX(Data[],MATCH($A319,Data[Dist],0),MATCH(F$4,Data[#Headers],0)))</f>
        <v>201725</v>
      </c>
      <c r="G319" s="22">
        <f>INDEX(Data[],MATCH($A319,Data[Dist],0),MATCH(G$4,Data[#Headers],0))</f>
        <v>9147232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4981786</v>
      </c>
      <c r="D320" s="22">
        <f>INDEX(Data[],MATCH($A320,Data[Dist],0),MATCH(D$4,Data[#Headers],0))</f>
        <v>1028</v>
      </c>
      <c r="E320" s="22">
        <f>IF(Notes!$B$3="Pay 1 Regular State Payment Budget",0,INDEX(Data[],MATCH($A320,Data[Dist],0),MATCH(E$4,Data[#Headers],0)))</f>
        <v>22343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4958415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5146079</v>
      </c>
      <c r="D321" s="22">
        <f>INDEX(Data[],MATCH($A321,Data[Dist],0),MATCH(D$4,Data[#Headers],0))</f>
        <v>796</v>
      </c>
      <c r="E321" s="22">
        <f>IF(Notes!$B$3="Pay 1 Regular State Payment Budget",0,INDEX(Data[],MATCH($A321,Data[Dist],0),MATCH(E$4,Data[#Headers],0)))</f>
        <v>19366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5125917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3916150</v>
      </c>
      <c r="D322" s="22">
        <f>INDEX(Data[],MATCH($A322,Data[Dist],0),MATCH(D$4,Data[#Headers],0))</f>
        <v>779</v>
      </c>
      <c r="E322" s="22">
        <f>IF(Notes!$B$3="Pay 1 Regular State Payment Budget",0,INDEX(Data[],MATCH($A322,Data[Dist],0),MATCH(E$4,Data[#Headers],0)))</f>
        <v>14969</v>
      </c>
      <c r="F322" s="22">
        <f>IF(OR(Notes!$B$3="Pay 1 Regular State Payment Budget",Notes!$B$3="Pay 2 Regular State Payment Budget"),0,INDEX(Data[],MATCH($A322,Data[Dist],0),MATCH(F$4,Data[#Headers],0)))</f>
        <v>94908</v>
      </c>
      <c r="G322" s="22">
        <f>INDEX(Data[],MATCH($A322,Data[Dist],0),MATCH(G$4,Data[#Headers],0))</f>
        <v>3805494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6363355</v>
      </c>
      <c r="D323" s="22">
        <f>INDEX(Data[],MATCH($A323,Data[Dist],0),MATCH(D$4,Data[#Headers],0))</f>
        <v>796</v>
      </c>
      <c r="E323" s="22">
        <f>IF(Notes!$B$3="Pay 1 Regular State Payment Budget",0,INDEX(Data[],MATCH($A323,Data[Dist],0),MATCH(E$4,Data[#Headers],0)))</f>
        <v>19711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6342848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2759586</v>
      </c>
      <c r="D324" s="22">
        <f>INDEX(Data[],MATCH($A324,Data[Dist],0),MATCH(D$4,Data[#Headers],0))</f>
        <v>531</v>
      </c>
      <c r="E324" s="22">
        <f>IF(Notes!$B$3="Pay 1 Regular State Payment Budget",0,INDEX(Data[],MATCH($A324,Data[Dist],0),MATCH(E$4,Data[#Headers],0)))</f>
        <v>12646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2746409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1050233</v>
      </c>
      <c r="D325" s="22">
        <f>INDEX(Data[],MATCH($A325,Data[Dist],0),MATCH(D$4,Data[#Headers],0))</f>
        <v>249</v>
      </c>
      <c r="E325" s="22">
        <f>IF(Notes!$B$3="Pay 1 Regular State Payment Budget",0,INDEX(Data[],MATCH($A325,Data[Dist],0),MATCH(E$4,Data[#Headers],0)))</f>
        <v>4444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1045540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7023635</v>
      </c>
      <c r="D326" s="22">
        <f>INDEX(Data[],MATCH($A326,Data[Dist],0),MATCH(D$4,Data[#Headers],0))</f>
        <v>945</v>
      </c>
      <c r="E326" s="22">
        <f>IF(Notes!$B$3="Pay 1 Regular State Payment Budget",0,INDEX(Data[],MATCH($A326,Data[Dist],0),MATCH(E$4,Data[#Headers],0)))</f>
        <v>27141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6995549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5550144</v>
      </c>
      <c r="D327" s="22">
        <f>INDEX(Data[],MATCH($A327,Data[Dist],0),MATCH(D$4,Data[#Headers],0))</f>
        <v>514</v>
      </c>
      <c r="E327" s="22">
        <f>IF(Notes!$B$3="Pay 1 Regular State Payment Budget",0,INDEX(Data[],MATCH($A327,Data[Dist],0),MATCH(E$4,Data[#Headers],0)))</f>
        <v>20034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5529596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1963753</v>
      </c>
      <c r="D328" s="22">
        <f>INDEX(Data[],MATCH($A328,Data[Dist],0),MATCH(D$4,Data[#Headers],0))</f>
        <v>381</v>
      </c>
      <c r="E328" s="22">
        <f>IF(Notes!$B$3="Pay 1 Regular State Payment Budget",0,INDEX(Data[],MATCH($A328,Data[Dist],0),MATCH(E$4,Data[#Headers],0)))</f>
        <v>7459</v>
      </c>
      <c r="F328" s="22">
        <f>IF(OR(Notes!$B$3="Pay 1 Regular State Payment Budget",Notes!$B$3="Pay 2 Regular State Payment Budget"),0,INDEX(Data[],MATCH($A328,Data[Dist],0),MATCH(F$4,Data[#Headers],0)))</f>
        <v>16285</v>
      </c>
      <c r="G328" s="22">
        <f>INDEX(Data[],MATCH($A328,Data[Dist],0),MATCH(G$4,Data[#Headers],0))</f>
        <v>1939628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10919972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39659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10879119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3039946</v>
      </c>
      <c r="D330" s="22">
        <f>INDEX(Data[],MATCH($A330,Data[Dist],0),MATCH(D$4,Data[#Headers],0))</f>
        <v>630</v>
      </c>
      <c r="E330" s="22">
        <f>IF(Notes!$B$3="Pay 1 Regular State Payment Budget",0,INDEX(Data[],MATCH($A330,Data[Dist],0),MATCH(E$4,Data[#Headers],0)))</f>
        <v>11171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3028145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3602283</v>
      </c>
      <c r="D331" s="22">
        <f>INDEX(Data[],MATCH($A331,Data[Dist],0),MATCH(D$4,Data[#Headers],0))</f>
        <v>464</v>
      </c>
      <c r="E331" s="22">
        <f>IF(Notes!$B$3="Pay 1 Regular State Payment Budget",0,INDEX(Data[],MATCH($A331,Data[Dist],0),MATCH(E$4,Data[#Headers],0)))</f>
        <v>12613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3589206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6597774</v>
      </c>
      <c r="D332" s="22">
        <f>INDEX(Data[],MATCH($A332,Data[Dist],0),MATCH(D$4,Data[#Headers],0))</f>
        <v>1128</v>
      </c>
      <c r="E332" s="22">
        <f>IF(Notes!$B$3="Pay 1 Regular State Payment Budget",0,INDEX(Data[],MATCH($A332,Data[Dist],0),MATCH(E$4,Data[#Headers],0)))</f>
        <v>23913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6572733</v>
      </c>
    </row>
    <row r="333" spans="1:9" s="21" customFormat="1" ht="13.5" thickBot="1" x14ac:dyDescent="0.25">
      <c r="A333" s="124" t="s">
        <v>790</v>
      </c>
      <c r="B333" s="21" t="s">
        <v>789</v>
      </c>
      <c r="C333" s="24">
        <f>SUM(C6:C332)</f>
        <v>3188103195</v>
      </c>
      <c r="D333" s="24">
        <f>SUM(D6:D332)</f>
        <v>371380</v>
      </c>
      <c r="E333" s="24">
        <f>SUM(E6:E332)</f>
        <v>11500469</v>
      </c>
      <c r="F333" s="24">
        <f>SUM(F6:F332)</f>
        <v>2236152</v>
      </c>
      <c r="G333" s="24">
        <f>SUM(G6:G332)</f>
        <v>3173995194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8" t="str">
        <f>CONCATENATE("FY ",Notes!B1," Budget for State Payment to School Districts (Budget by Source)")</f>
        <v>FY 2022 Budget for State Payment to School Districts (Budget by Source)</v>
      </c>
      <c r="B1" s="208"/>
      <c r="C1" s="208"/>
      <c r="D1" s="208"/>
      <c r="E1" s="208"/>
      <c r="F1" s="208"/>
      <c r="G1" s="208"/>
      <c r="H1" s="208"/>
      <c r="I1" s="208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161862</v>
      </c>
      <c r="D6" s="22">
        <f>INDEX(Data[],MATCH($A6,Data[Dist],0),MATCH(D$4,Data[#Headers],0))</f>
        <v>438096</v>
      </c>
      <c r="E6" s="22">
        <f>INDEX(Data[],MATCH($A6,Data[Dist],0),MATCH(E$4,Data[#Headers],0))</f>
        <v>42148</v>
      </c>
      <c r="F6" s="22">
        <f>INDEX(Data[],MATCH($A6,Data[Dist],0),MATCH(F$4,Data[#Headers],0))</f>
        <v>47408</v>
      </c>
      <c r="G6" s="22">
        <f>INDEX(Data[],MATCH($A6,Data[Dist],0),MATCH(G$4,Data[#Headers],0))</f>
        <v>236041</v>
      </c>
      <c r="H6" s="22">
        <f>INDEX(Data[],MATCH($A6,Data[Dist],0),MATCH(H$4,Data[#Headers],0))</f>
        <v>2542737</v>
      </c>
      <c r="I6" s="22">
        <f>INDEX(Data[],MATCH($A6,Data[Dist],0),MATCH(I$4,Data[#Headers],0))</f>
        <v>3468292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64744</v>
      </c>
      <c r="D7" s="22">
        <f>INDEX(Data[],MATCH($A7,Data[Dist],0),MATCH(D$4,Data[#Headers],0))</f>
        <v>198587</v>
      </c>
      <c r="E7" s="22">
        <f>INDEX(Data[],MATCH($A7,Data[Dist],0),MATCH(E$4,Data[#Headers],0))</f>
        <v>22022</v>
      </c>
      <c r="F7" s="22">
        <f>INDEX(Data[],MATCH($A7,Data[Dist],0),MATCH(F$4,Data[#Headers],0))</f>
        <v>19956</v>
      </c>
      <c r="G7" s="22">
        <f>INDEX(Data[],MATCH($A7,Data[Dist],0),MATCH(G$4,Data[#Headers],0))</f>
        <v>103045</v>
      </c>
      <c r="H7" s="22">
        <f>INDEX(Data[],MATCH($A7,Data[Dist],0),MATCH(H$4,Data[#Headers],0))</f>
        <v>1096427</v>
      </c>
      <c r="I7" s="22">
        <f>INDEX(Data[],MATCH($A7,Data[Dist],0),MATCH(I$4,Data[#Headers],0))</f>
        <v>1504781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1265495</v>
      </c>
      <c r="E8" s="22">
        <f>INDEX(Data[],MATCH($A8,Data[Dist],0),MATCH(E$4,Data[#Headers],0))</f>
        <v>143267</v>
      </c>
      <c r="F8" s="22">
        <f>INDEX(Data[],MATCH($A8,Data[Dist],0),MATCH(F$4,Data[#Headers],0))</f>
        <v>137335</v>
      </c>
      <c r="G8" s="22">
        <f>INDEX(Data[],MATCH($A8,Data[Dist],0),MATCH(G$4,Data[#Headers],0))</f>
        <v>699641</v>
      </c>
      <c r="H8" s="22">
        <f>INDEX(Data[],MATCH($A8,Data[Dist],0),MATCH(H$4,Data[#Headers],0))</f>
        <v>11235309</v>
      </c>
      <c r="I8" s="22">
        <f>INDEX(Data[],MATCH($A8,Data[Dist],0),MATCH(I$4,Data[#Headers],0))</f>
        <v>13481047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100714</v>
      </c>
      <c r="D9" s="22">
        <f>INDEX(Data[],MATCH($A9,Data[Dist],0),MATCH(D$4,Data[#Headers],0))</f>
        <v>373757</v>
      </c>
      <c r="E9" s="22">
        <f>INDEX(Data[],MATCH($A9,Data[Dist],0),MATCH(E$4,Data[#Headers],0))</f>
        <v>41480</v>
      </c>
      <c r="F9" s="22">
        <f>INDEX(Data[],MATCH($A9,Data[Dist],0),MATCH(F$4,Data[#Headers],0))</f>
        <v>42780</v>
      </c>
      <c r="G9" s="22">
        <f>INDEX(Data[],MATCH($A9,Data[Dist],0),MATCH(G$4,Data[#Headers],0))</f>
        <v>196830</v>
      </c>
      <c r="H9" s="22">
        <f>INDEX(Data[],MATCH($A9,Data[Dist],0),MATCH(H$4,Data[#Headers],0))</f>
        <v>2922102</v>
      </c>
      <c r="I9" s="22">
        <f>INDEX(Data[],MATCH($A9,Data[Dist],0),MATCH(I$4,Data[#Headers],0))</f>
        <v>3677663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39567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875943</v>
      </c>
      <c r="I10" s="22">
        <f>INDEX(Data[],MATCH($A10,Data[Dist],0),MATCH(I$4,Data[#Headers],0))</f>
        <v>1127896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215815</v>
      </c>
      <c r="D11" s="22">
        <f>INDEX(Data[],MATCH($A11,Data[Dist],0),MATCH(D$4,Data[#Headers],0))</f>
        <v>697092</v>
      </c>
      <c r="E11" s="22">
        <f>INDEX(Data[],MATCH($A11,Data[Dist],0),MATCH(E$4,Data[#Headers],0))</f>
        <v>78699</v>
      </c>
      <c r="F11" s="22">
        <f>INDEX(Data[],MATCH($A11,Data[Dist],0),MATCH(F$4,Data[#Headers],0))</f>
        <v>80596</v>
      </c>
      <c r="G11" s="22">
        <f>INDEX(Data[],MATCH($A11,Data[Dist],0),MATCH(G$4,Data[#Headers],0))</f>
        <v>401396</v>
      </c>
      <c r="H11" s="22">
        <f>INDEX(Data[],MATCH($A11,Data[Dist],0),MATCH(H$4,Data[#Headers],0))</f>
        <v>6616067</v>
      </c>
      <c r="I11" s="22">
        <f>INDEX(Data[],MATCH($A11,Data[Dist],0),MATCH(I$4,Data[#Headers],0))</f>
        <v>8089665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129489</v>
      </c>
      <c r="D12" s="22">
        <f>INDEX(Data[],MATCH($A12,Data[Dist],0),MATCH(D$4,Data[#Headers],0))</f>
        <v>323822</v>
      </c>
      <c r="E12" s="22">
        <f>INDEX(Data[],MATCH($A12,Data[Dist],0),MATCH(E$4,Data[#Headers],0))</f>
        <v>31740</v>
      </c>
      <c r="F12" s="22">
        <f>INDEX(Data[],MATCH($A12,Data[Dist],0),MATCH(F$4,Data[#Headers],0))</f>
        <v>37330</v>
      </c>
      <c r="G12" s="22">
        <f>INDEX(Data[],MATCH($A12,Data[Dist],0),MATCH(G$4,Data[#Headers],0))</f>
        <v>180155</v>
      </c>
      <c r="H12" s="22">
        <f>INDEX(Data[],MATCH($A12,Data[Dist],0),MATCH(H$4,Data[#Headers],0))</f>
        <v>2396794</v>
      </c>
      <c r="I12" s="22">
        <f>INDEX(Data[],MATCH($A12,Data[Dist],0),MATCH(I$4,Data[#Headers],0))</f>
        <v>3099330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46760</v>
      </c>
      <c r="D13" s="22">
        <f>INDEX(Data[],MATCH($A13,Data[Dist],0),MATCH(D$4,Data[#Headers],0))</f>
        <v>171699</v>
      </c>
      <c r="E13" s="22">
        <f>INDEX(Data[],MATCH($A13,Data[Dist],0),MATCH(E$4,Data[#Headers],0))</f>
        <v>21289</v>
      </c>
      <c r="F13" s="22">
        <f>INDEX(Data[],MATCH($A13,Data[Dist],0),MATCH(F$4,Data[#Headers],0))</f>
        <v>16430</v>
      </c>
      <c r="G13" s="22">
        <f>INDEX(Data[],MATCH($A13,Data[Dist],0),MATCH(G$4,Data[#Headers],0))</f>
        <v>90131</v>
      </c>
      <c r="H13" s="22">
        <f>INDEX(Data[],MATCH($A13,Data[Dist],0),MATCH(H$4,Data[#Headers],0))</f>
        <v>1141810</v>
      </c>
      <c r="I13" s="22">
        <f>INDEX(Data[],MATCH($A13,Data[Dist],0),MATCH(I$4,Data[#Headers],0))</f>
        <v>1488119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388467</v>
      </c>
      <c r="D14" s="22">
        <f>INDEX(Data[],MATCH($A14,Data[Dist],0),MATCH(D$4,Data[#Headers],0))</f>
        <v>805732</v>
      </c>
      <c r="E14" s="22">
        <f>INDEX(Data[],MATCH($A14,Data[Dist],0),MATCH(E$4,Data[#Headers],0))</f>
        <v>86088</v>
      </c>
      <c r="F14" s="22">
        <f>INDEX(Data[],MATCH($A14,Data[Dist],0),MATCH(F$4,Data[#Headers],0))</f>
        <v>97052</v>
      </c>
      <c r="G14" s="22">
        <f>INDEX(Data[],MATCH($A14,Data[Dist],0),MATCH(G$4,Data[#Headers],0))</f>
        <v>447647</v>
      </c>
      <c r="H14" s="22">
        <f>INDEX(Data[],MATCH($A14,Data[Dist],0),MATCH(H$4,Data[#Headers],0))</f>
        <v>5584103</v>
      </c>
      <c r="I14" s="22">
        <f>INDEX(Data[],MATCH($A14,Data[Dist],0),MATCH(I$4,Data[#Headers],0))</f>
        <v>7409089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240994</v>
      </c>
      <c r="D15" s="22">
        <f>INDEX(Data[],MATCH($A15,Data[Dist],0),MATCH(D$4,Data[#Headers],0))</f>
        <v>654566</v>
      </c>
      <c r="E15" s="22">
        <f>INDEX(Data[],MATCH($A15,Data[Dist],0),MATCH(E$4,Data[#Headers],0))</f>
        <v>76409</v>
      </c>
      <c r="F15" s="22">
        <f>INDEX(Data[],MATCH($A15,Data[Dist],0),MATCH(F$4,Data[#Headers],0))</f>
        <v>69576</v>
      </c>
      <c r="G15" s="22">
        <f>INDEX(Data[],MATCH($A15,Data[Dist],0),MATCH(G$4,Data[#Headers],0))</f>
        <v>373819</v>
      </c>
      <c r="H15" s="22">
        <f>INDEX(Data[],MATCH($A15,Data[Dist],0),MATCH(H$4,Data[#Headers],0))</f>
        <v>4831096</v>
      </c>
      <c r="I15" s="22">
        <f>INDEX(Data[],MATCH($A15,Data[Dist],0),MATCH(I$4,Data[#Headers],0))</f>
        <v>6246460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82730</v>
      </c>
      <c r="D16" s="22">
        <f>INDEX(Data[],MATCH($A16,Data[Dist],0),MATCH(D$4,Data[#Headers],0))</f>
        <v>393918</v>
      </c>
      <c r="E16" s="22">
        <f>INDEX(Data[],MATCH($A16,Data[Dist],0),MATCH(E$4,Data[#Headers],0))</f>
        <v>37715</v>
      </c>
      <c r="F16" s="22">
        <f>INDEX(Data[],MATCH($A16,Data[Dist],0),MATCH(F$4,Data[#Headers],0))</f>
        <v>44115</v>
      </c>
      <c r="G16" s="22">
        <f>INDEX(Data[],MATCH($A16,Data[Dist],0),MATCH(G$4,Data[#Headers],0))</f>
        <v>195968</v>
      </c>
      <c r="H16" s="22">
        <f>INDEX(Data[],MATCH($A16,Data[Dist],0),MATCH(H$4,Data[#Headers],0))</f>
        <v>2630758</v>
      </c>
      <c r="I16" s="22">
        <f>INDEX(Data[],MATCH($A16,Data[Dist],0),MATCH(I$4,Data[#Headers],0))</f>
        <v>3385204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215815</v>
      </c>
      <c r="D17" s="22">
        <f>INDEX(Data[],MATCH($A17,Data[Dist],0),MATCH(D$4,Data[#Headers],0))</f>
        <v>560441</v>
      </c>
      <c r="E17" s="22">
        <f>INDEX(Data[],MATCH($A17,Data[Dist],0),MATCH(E$4,Data[#Headers],0))</f>
        <v>68219</v>
      </c>
      <c r="F17" s="22">
        <f>INDEX(Data[],MATCH($A17,Data[Dist],0),MATCH(F$4,Data[#Headers],0))</f>
        <v>63998</v>
      </c>
      <c r="G17" s="22">
        <f>INDEX(Data[],MATCH($A17,Data[Dist],0),MATCH(G$4,Data[#Headers],0))</f>
        <v>288332</v>
      </c>
      <c r="H17" s="22">
        <f>INDEX(Data[],MATCH($A17,Data[Dist],0),MATCH(H$4,Data[#Headers],0))</f>
        <v>3620654</v>
      </c>
      <c r="I17" s="22">
        <f>INDEX(Data[],MATCH($A17,Data[Dist],0),MATCH(I$4,Data[#Headers],0))</f>
        <v>4817459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910020</v>
      </c>
      <c r="D18" s="22">
        <f>INDEX(Data[],MATCH($A18,Data[Dist],0),MATCH(D$4,Data[#Headers],0))</f>
        <v>2711110</v>
      </c>
      <c r="E18" s="22">
        <f>INDEX(Data[],MATCH($A18,Data[Dist],0),MATCH(E$4,Data[#Headers],0))</f>
        <v>302807</v>
      </c>
      <c r="F18" s="22">
        <f>INDEX(Data[],MATCH($A18,Data[Dist],0),MATCH(F$4,Data[#Headers],0))</f>
        <v>331596</v>
      </c>
      <c r="G18" s="22">
        <f>INDEX(Data[],MATCH($A18,Data[Dist],0),MATCH(G$4,Data[#Headers],0))</f>
        <v>1526301</v>
      </c>
      <c r="H18" s="22">
        <f>INDEX(Data[],MATCH($A18,Data[Dist],0),MATCH(H$4,Data[#Headers],0))</f>
        <v>14580813</v>
      </c>
      <c r="I18" s="22">
        <f>INDEX(Data[],MATCH($A18,Data[Dist],0),MATCH(I$4,Data[#Headers],0))</f>
        <v>20362647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201427</v>
      </c>
      <c r="D19" s="22">
        <f>INDEX(Data[],MATCH($A19,Data[Dist],0),MATCH(D$4,Data[#Headers],0))</f>
        <v>833248</v>
      </c>
      <c r="E19" s="22">
        <f>INDEX(Data[],MATCH($A19,Data[Dist],0),MATCH(E$4,Data[#Headers],0))</f>
        <v>88230</v>
      </c>
      <c r="F19" s="22">
        <f>INDEX(Data[],MATCH($A19,Data[Dist],0),MATCH(F$4,Data[#Headers],0))</f>
        <v>98796</v>
      </c>
      <c r="G19" s="22">
        <f>INDEX(Data[],MATCH($A19,Data[Dist],0),MATCH(G$4,Data[#Headers],0))</f>
        <v>448695</v>
      </c>
      <c r="H19" s="22">
        <f>INDEX(Data[],MATCH($A19,Data[Dist],0),MATCH(H$4,Data[#Headers],0))</f>
        <v>6859197</v>
      </c>
      <c r="I19" s="22">
        <f>INDEX(Data[],MATCH($A19,Data[Dist],0),MATCH(I$4,Data[#Headers],0))</f>
        <v>8529593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32373</v>
      </c>
      <c r="D20" s="22">
        <f>INDEX(Data[],MATCH($A20,Data[Dist],0),MATCH(D$4,Data[#Headers],0))</f>
        <v>152293</v>
      </c>
      <c r="E20" s="22">
        <f>INDEX(Data[],MATCH($A20,Data[Dist],0),MATCH(E$4,Data[#Headers],0))</f>
        <v>19206</v>
      </c>
      <c r="F20" s="22">
        <f>INDEX(Data[],MATCH($A20,Data[Dist],0),MATCH(F$4,Data[#Headers],0))</f>
        <v>16795</v>
      </c>
      <c r="G20" s="22">
        <f>INDEX(Data[],MATCH($A20,Data[Dist],0),MATCH(G$4,Data[#Headers],0))</f>
        <v>79871</v>
      </c>
      <c r="H20" s="22">
        <f>INDEX(Data[],MATCH($A20,Data[Dist],0),MATCH(H$4,Data[#Headers],0))</f>
        <v>999206</v>
      </c>
      <c r="I20" s="22">
        <f>INDEX(Data[],MATCH($A20,Data[Dist],0),MATCH(I$4,Data[#Headers],0))</f>
        <v>1299744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935198</v>
      </c>
      <c r="D21" s="22">
        <f>INDEX(Data[],MATCH($A21,Data[Dist],0),MATCH(D$4,Data[#Headers],0))</f>
        <v>6909077</v>
      </c>
      <c r="E21" s="22">
        <f>INDEX(Data[],MATCH($A21,Data[Dist],0),MATCH(E$4,Data[#Headers],0))</f>
        <v>801728</v>
      </c>
      <c r="F21" s="22">
        <f>INDEX(Data[],MATCH($A21,Data[Dist],0),MATCH(F$4,Data[#Headers],0))</f>
        <v>762492</v>
      </c>
      <c r="G21" s="22">
        <f>INDEX(Data[],MATCH($A21,Data[Dist],0),MATCH(G$4,Data[#Headers],0))</f>
        <v>4240293</v>
      </c>
      <c r="H21" s="22">
        <f>INDEX(Data[],MATCH($A21,Data[Dist],0),MATCH(H$4,Data[#Headers],0))</f>
        <v>61442223</v>
      </c>
      <c r="I21" s="22">
        <f>INDEX(Data[],MATCH($A21,Data[Dist],0),MATCH(I$4,Data[#Headers],0))</f>
        <v>75091011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179846</v>
      </c>
      <c r="D22" s="22">
        <f>INDEX(Data[],MATCH($A22,Data[Dist],0),MATCH(D$4,Data[#Headers],0))</f>
        <v>514208</v>
      </c>
      <c r="E22" s="22">
        <f>INDEX(Data[],MATCH($A22,Data[Dist],0),MATCH(E$4,Data[#Headers],0))</f>
        <v>67139</v>
      </c>
      <c r="F22" s="22">
        <f>INDEX(Data[],MATCH($A22,Data[Dist],0),MATCH(F$4,Data[#Headers],0))</f>
        <v>57405</v>
      </c>
      <c r="G22" s="22">
        <f>INDEX(Data[],MATCH($A22,Data[Dist],0),MATCH(G$4,Data[#Headers],0))</f>
        <v>277580</v>
      </c>
      <c r="H22" s="22">
        <f>INDEX(Data[],MATCH($A22,Data[Dist],0),MATCH(H$4,Data[#Headers],0))</f>
        <v>4193887</v>
      </c>
      <c r="I22" s="22">
        <f>INDEX(Data[],MATCH($A22,Data[Dist],0),MATCH(I$4,Data[#Headers],0))</f>
        <v>5290065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46760</v>
      </c>
      <c r="D23" s="22">
        <f>INDEX(Data[],MATCH($A23,Data[Dist],0),MATCH(D$4,Data[#Headers],0))</f>
        <v>287822</v>
      </c>
      <c r="E23" s="22">
        <f>INDEX(Data[],MATCH($A23,Data[Dist],0),MATCH(E$4,Data[#Headers],0))</f>
        <v>34923</v>
      </c>
      <c r="F23" s="22">
        <f>INDEX(Data[],MATCH($A23,Data[Dist],0),MATCH(F$4,Data[#Headers],0))</f>
        <v>32393</v>
      </c>
      <c r="G23" s="22">
        <f>INDEX(Data[],MATCH($A23,Data[Dist],0),MATCH(G$4,Data[#Headers],0))</f>
        <v>139977</v>
      </c>
      <c r="H23" s="22">
        <f>INDEX(Data[],MATCH($A23,Data[Dist],0),MATCH(H$4,Data[#Headers],0))</f>
        <v>1066594</v>
      </c>
      <c r="I23" s="22">
        <f>INDEX(Data[],MATCH($A23,Data[Dist],0),MATCH(I$4,Data[#Headers],0))</f>
        <v>1608469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64744</v>
      </c>
      <c r="D24" s="22">
        <f>INDEX(Data[],MATCH($A24,Data[Dist],0),MATCH(D$4,Data[#Headers],0))</f>
        <v>180339</v>
      </c>
      <c r="E24" s="22">
        <f>INDEX(Data[],MATCH($A24,Data[Dist],0),MATCH(E$4,Data[#Headers],0))</f>
        <v>18356</v>
      </c>
      <c r="F24" s="22">
        <f>INDEX(Data[],MATCH($A24,Data[Dist],0),MATCH(F$4,Data[#Headers],0))</f>
        <v>17859</v>
      </c>
      <c r="G24" s="22">
        <f>INDEX(Data[],MATCH($A24,Data[Dist],0),MATCH(G$4,Data[#Headers],0))</f>
        <v>97041</v>
      </c>
      <c r="H24" s="22">
        <f>INDEX(Data[],MATCH($A24,Data[Dist],0),MATCH(H$4,Data[#Headers],0))</f>
        <v>694642</v>
      </c>
      <c r="I24" s="22">
        <f>INDEX(Data[],MATCH($A24,Data[Dist],0),MATCH(I$4,Data[#Headers],0))</f>
        <v>1072981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302141</v>
      </c>
      <c r="D25" s="22">
        <f>INDEX(Data[],MATCH($A25,Data[Dist],0),MATCH(D$4,Data[#Headers],0))</f>
        <v>847845</v>
      </c>
      <c r="E25" s="22">
        <f>INDEX(Data[],MATCH($A25,Data[Dist],0),MATCH(E$4,Data[#Headers],0))</f>
        <v>110904</v>
      </c>
      <c r="F25" s="22">
        <f>INDEX(Data[],MATCH($A25,Data[Dist],0),MATCH(F$4,Data[#Headers],0))</f>
        <v>99171</v>
      </c>
      <c r="G25" s="22">
        <f>INDEX(Data[],MATCH($A25,Data[Dist],0),MATCH(G$4,Data[#Headers],0))</f>
        <v>465415</v>
      </c>
      <c r="H25" s="22">
        <f>INDEX(Data[],MATCH($A25,Data[Dist],0),MATCH(H$4,Data[#Headers],0))</f>
        <v>7282548</v>
      </c>
      <c r="I25" s="22">
        <f>INDEX(Data[],MATCH($A25,Data[Dist],0),MATCH(I$4,Data[#Headers],0))</f>
        <v>9108024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111505</v>
      </c>
      <c r="D26" s="22">
        <f>INDEX(Data[],MATCH($A26,Data[Dist],0),MATCH(D$4,Data[#Headers],0))</f>
        <v>324999</v>
      </c>
      <c r="E26" s="22">
        <f>INDEX(Data[],MATCH($A26,Data[Dist],0),MATCH(E$4,Data[#Headers],0))</f>
        <v>33601</v>
      </c>
      <c r="F26" s="22">
        <f>INDEX(Data[],MATCH($A26,Data[Dist],0),MATCH(F$4,Data[#Headers],0))</f>
        <v>37051</v>
      </c>
      <c r="G26" s="22">
        <f>INDEX(Data[],MATCH($A26,Data[Dist],0),MATCH(G$4,Data[#Headers],0))</f>
        <v>175268</v>
      </c>
      <c r="H26" s="22">
        <f>INDEX(Data[],MATCH($A26,Data[Dist],0),MATCH(H$4,Data[#Headers],0))</f>
        <v>2300101</v>
      </c>
      <c r="I26" s="22">
        <f>INDEX(Data[],MATCH($A26,Data[Dist],0),MATCH(I$4,Data[#Headers],0))</f>
        <v>2982525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172652</v>
      </c>
      <c r="D27" s="22">
        <f>INDEX(Data[],MATCH($A27,Data[Dist],0),MATCH(D$4,Data[#Headers],0))</f>
        <v>444812</v>
      </c>
      <c r="E27" s="22">
        <f>INDEX(Data[],MATCH($A27,Data[Dist],0),MATCH(E$4,Data[#Headers],0))</f>
        <v>49910</v>
      </c>
      <c r="F27" s="22">
        <f>INDEX(Data[],MATCH($A27,Data[Dist],0),MATCH(F$4,Data[#Headers],0))</f>
        <v>44875</v>
      </c>
      <c r="G27" s="22">
        <f>INDEX(Data[],MATCH($A27,Data[Dist],0),MATCH(G$4,Data[#Headers],0))</f>
        <v>266133</v>
      </c>
      <c r="H27" s="22">
        <f>INDEX(Data[],MATCH($A27,Data[Dist],0),MATCH(H$4,Data[#Headers],0))</f>
        <v>2795841</v>
      </c>
      <c r="I27" s="22">
        <f>INDEX(Data[],MATCH($A27,Data[Dist],0),MATCH(I$4,Data[#Headers],0))</f>
        <v>3774223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453211</v>
      </c>
      <c r="D28" s="22">
        <f>INDEX(Data[],MATCH($A28,Data[Dist],0),MATCH(D$4,Data[#Headers],0))</f>
        <v>946887</v>
      </c>
      <c r="E28" s="22">
        <f>INDEX(Data[],MATCH($A28,Data[Dist],0),MATCH(E$4,Data[#Headers],0))</f>
        <v>119009</v>
      </c>
      <c r="F28" s="22">
        <f>INDEX(Data[],MATCH($A28,Data[Dist],0),MATCH(F$4,Data[#Headers],0))</f>
        <v>101425</v>
      </c>
      <c r="G28" s="22">
        <f>INDEX(Data[],MATCH($A28,Data[Dist],0),MATCH(G$4,Data[#Headers],0))</f>
        <v>574185</v>
      </c>
      <c r="H28" s="22">
        <f>INDEX(Data[],MATCH($A28,Data[Dist],0),MATCH(H$4,Data[#Headers],0))</f>
        <v>9263519</v>
      </c>
      <c r="I28" s="22">
        <f>INDEX(Data[],MATCH($A28,Data[Dist],0),MATCH(I$4,Data[#Headers],0))</f>
        <v>11458236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89923</v>
      </c>
      <c r="D29" s="22">
        <f>INDEX(Data[],MATCH($A29,Data[Dist],0),MATCH(D$4,Data[#Headers],0))</f>
        <v>224913</v>
      </c>
      <c r="E29" s="22">
        <f>INDEX(Data[],MATCH($A29,Data[Dist],0),MATCH(E$4,Data[#Headers],0))</f>
        <v>24376</v>
      </c>
      <c r="F29" s="22">
        <f>INDEX(Data[],MATCH($A29,Data[Dist],0),MATCH(F$4,Data[#Headers],0))</f>
        <v>22710</v>
      </c>
      <c r="G29" s="22">
        <f>INDEX(Data[],MATCH($A29,Data[Dist],0),MATCH(G$4,Data[#Headers],0))</f>
        <v>119138</v>
      </c>
      <c r="H29" s="22">
        <f>INDEX(Data[],MATCH($A29,Data[Dist],0),MATCH(H$4,Data[#Headers],0))</f>
        <v>1883692</v>
      </c>
      <c r="I29" s="22">
        <f>INDEX(Data[],MATCH($A29,Data[Dist],0),MATCH(I$4,Data[#Headers],0))</f>
        <v>2364752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75536</v>
      </c>
      <c r="D30" s="22">
        <f>INDEX(Data[],MATCH($A30,Data[Dist],0),MATCH(D$4,Data[#Headers],0))</f>
        <v>309800</v>
      </c>
      <c r="E30" s="22">
        <f>INDEX(Data[],MATCH($A30,Data[Dist],0),MATCH(E$4,Data[#Headers],0))</f>
        <v>33104</v>
      </c>
      <c r="F30" s="22">
        <f>INDEX(Data[],MATCH($A30,Data[Dist],0),MATCH(F$4,Data[#Headers],0))</f>
        <v>34415</v>
      </c>
      <c r="G30" s="22">
        <f>INDEX(Data[],MATCH($A30,Data[Dist],0),MATCH(G$4,Data[#Headers],0))</f>
        <v>171843</v>
      </c>
      <c r="H30" s="22">
        <f>INDEX(Data[],MATCH($A30,Data[Dist],0),MATCH(H$4,Data[#Headers],0))</f>
        <v>1975592</v>
      </c>
      <c r="I30" s="22">
        <f>INDEX(Data[],MATCH($A30,Data[Dist],0),MATCH(I$4,Data[#Headers],0))</f>
        <v>2600290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133086</v>
      </c>
      <c r="D31" s="22">
        <f>INDEX(Data[],MATCH($A31,Data[Dist],0),MATCH(D$4,Data[#Headers],0))</f>
        <v>324020</v>
      </c>
      <c r="E31" s="22">
        <f>INDEX(Data[],MATCH($A31,Data[Dist],0),MATCH(E$4,Data[#Headers],0))</f>
        <v>37863</v>
      </c>
      <c r="F31" s="22">
        <f>INDEX(Data[],MATCH($A31,Data[Dist],0),MATCH(F$4,Data[#Headers],0))</f>
        <v>34466</v>
      </c>
      <c r="G31" s="22">
        <f>INDEX(Data[],MATCH($A31,Data[Dist],0),MATCH(G$4,Data[#Headers],0))</f>
        <v>170870</v>
      </c>
      <c r="H31" s="22">
        <f>INDEX(Data[],MATCH($A31,Data[Dist],0),MATCH(H$4,Data[#Headers],0))</f>
        <v>2328117</v>
      </c>
      <c r="I31" s="22">
        <f>INDEX(Data[],MATCH($A31,Data[Dist],0),MATCH(I$4,Data[#Headers],0))</f>
        <v>3028422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79132</v>
      </c>
      <c r="D32" s="22">
        <f>INDEX(Data[],MATCH($A32,Data[Dist],0),MATCH(D$4,Data[#Headers],0))</f>
        <v>288943</v>
      </c>
      <c r="E32" s="22">
        <f>INDEX(Data[],MATCH($A32,Data[Dist],0),MATCH(E$4,Data[#Headers],0))</f>
        <v>29368</v>
      </c>
      <c r="F32" s="22">
        <f>INDEX(Data[],MATCH($A32,Data[Dist],0),MATCH(F$4,Data[#Headers],0))</f>
        <v>28864</v>
      </c>
      <c r="G32" s="22">
        <f>INDEX(Data[],MATCH($A32,Data[Dist],0),MATCH(G$4,Data[#Headers],0))</f>
        <v>165093</v>
      </c>
      <c r="H32" s="22">
        <f>INDEX(Data[],MATCH($A32,Data[Dist],0),MATCH(H$4,Data[#Headers],0))</f>
        <v>2335816</v>
      </c>
      <c r="I32" s="22">
        <f>INDEX(Data[],MATCH($A32,Data[Dist],0),MATCH(I$4,Data[#Headers],0))</f>
        <v>2927216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258978</v>
      </c>
      <c r="D33" s="22">
        <f>INDEX(Data[],MATCH($A33,Data[Dist],0),MATCH(D$4,Data[#Headers],0))</f>
        <v>379052</v>
      </c>
      <c r="E33" s="22">
        <f>INDEX(Data[],MATCH($A33,Data[Dist],0),MATCH(E$4,Data[#Headers],0))</f>
        <v>38986</v>
      </c>
      <c r="F33" s="22">
        <f>INDEX(Data[],MATCH($A33,Data[Dist],0),MATCH(F$4,Data[#Headers],0))</f>
        <v>41839</v>
      </c>
      <c r="G33" s="22">
        <f>INDEX(Data[],MATCH($A33,Data[Dist],0),MATCH(G$4,Data[#Headers],0))</f>
        <v>206196</v>
      </c>
      <c r="H33" s="22">
        <f>INDEX(Data[],MATCH($A33,Data[Dist],0),MATCH(H$4,Data[#Headers],0))</f>
        <v>2476390</v>
      </c>
      <c r="I33" s="22">
        <f>INDEX(Data[],MATCH($A33,Data[Dist],0),MATCH(I$4,Data[#Headers],0))</f>
        <v>3401441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93520</v>
      </c>
      <c r="D34" s="22">
        <f>INDEX(Data[],MATCH($A34,Data[Dist],0),MATCH(D$4,Data[#Headers],0))</f>
        <v>469887</v>
      </c>
      <c r="E34" s="22">
        <f>INDEX(Data[],MATCH($A34,Data[Dist],0),MATCH(E$4,Data[#Headers],0))</f>
        <v>58515</v>
      </c>
      <c r="F34" s="22">
        <f>INDEX(Data[],MATCH($A34,Data[Dist],0),MATCH(F$4,Data[#Headers],0))</f>
        <v>50273</v>
      </c>
      <c r="G34" s="22">
        <f>INDEX(Data[],MATCH($A34,Data[Dist],0),MATCH(G$4,Data[#Headers],0))</f>
        <v>267388</v>
      </c>
      <c r="H34" s="22">
        <f>INDEX(Data[],MATCH($A34,Data[Dist],0),MATCH(H$4,Data[#Headers],0))</f>
        <v>3801595</v>
      </c>
      <c r="I34" s="22">
        <f>INDEX(Data[],MATCH($A34,Data[Dist],0),MATCH(I$4,Data[#Headers],0))</f>
        <v>4741178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25179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921361</v>
      </c>
      <c r="I35" s="22">
        <f>INDEX(Data[],MATCH($A35,Data[Dist],0),MATCH(I$4,Data[#Headers],0))</f>
        <v>1158345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363289</v>
      </c>
      <c r="D36" s="22">
        <f>INDEX(Data[],MATCH($A36,Data[Dist],0),MATCH(D$4,Data[#Headers],0))</f>
        <v>918926</v>
      </c>
      <c r="E36" s="22">
        <f>INDEX(Data[],MATCH($A36,Data[Dist],0),MATCH(E$4,Data[#Headers],0))</f>
        <v>95787</v>
      </c>
      <c r="F36" s="22">
        <f>INDEX(Data[],MATCH($A36,Data[Dist],0),MATCH(F$4,Data[#Headers],0))</f>
        <v>101266</v>
      </c>
      <c r="G36" s="22">
        <f>INDEX(Data[],MATCH($A36,Data[Dist],0),MATCH(G$4,Data[#Headers],0))</f>
        <v>523919</v>
      </c>
      <c r="H36" s="22">
        <f>INDEX(Data[],MATCH($A36,Data[Dist],0),MATCH(H$4,Data[#Headers],0))</f>
        <v>6697475</v>
      </c>
      <c r="I36" s="22">
        <f>INDEX(Data[],MATCH($A36,Data[Dist],0),MATCH(I$4,Data[#Headers],0))</f>
        <v>8700662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820097</v>
      </c>
      <c r="D37" s="22">
        <f>INDEX(Data[],MATCH($A37,Data[Dist],0),MATCH(D$4,Data[#Headers],0))</f>
        <v>2460532</v>
      </c>
      <c r="E37" s="22">
        <f>INDEX(Data[],MATCH($A37,Data[Dist],0),MATCH(E$4,Data[#Headers],0))</f>
        <v>284163</v>
      </c>
      <c r="F37" s="22">
        <f>INDEX(Data[],MATCH($A37,Data[Dist],0),MATCH(F$4,Data[#Headers],0))</f>
        <v>281459</v>
      </c>
      <c r="G37" s="22">
        <f>INDEX(Data[],MATCH($A37,Data[Dist],0),MATCH(G$4,Data[#Headers],0))</f>
        <v>1421852</v>
      </c>
      <c r="H37" s="22">
        <f>INDEX(Data[],MATCH($A37,Data[Dist],0),MATCH(H$4,Data[#Headers],0))</f>
        <v>19994415</v>
      </c>
      <c r="I37" s="22">
        <f>INDEX(Data[],MATCH($A37,Data[Dist],0),MATCH(I$4,Data[#Headers],0))</f>
        <v>25262518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154668</v>
      </c>
      <c r="D38" s="22">
        <f>INDEX(Data[],MATCH($A38,Data[Dist],0),MATCH(D$4,Data[#Headers],0))</f>
        <v>552421</v>
      </c>
      <c r="E38" s="22">
        <f>INDEX(Data[],MATCH($A38,Data[Dist],0),MATCH(E$4,Data[#Headers],0))</f>
        <v>71048</v>
      </c>
      <c r="F38" s="22">
        <f>INDEX(Data[],MATCH($A38,Data[Dist],0),MATCH(F$4,Data[#Headers],0))</f>
        <v>58699</v>
      </c>
      <c r="G38" s="22">
        <f>INDEX(Data[],MATCH($A38,Data[Dist],0),MATCH(G$4,Data[#Headers],0))</f>
        <v>304005</v>
      </c>
      <c r="H38" s="22">
        <f>INDEX(Data[],MATCH($A38,Data[Dist],0),MATCH(H$4,Data[#Headers],0))</f>
        <v>3254258</v>
      </c>
      <c r="I38" s="22">
        <f>INDEX(Data[],MATCH($A38,Data[Dist],0),MATCH(I$4,Data[#Headers],0))</f>
        <v>4395099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366885</v>
      </c>
      <c r="D39" s="22">
        <f>INDEX(Data[],MATCH($A39,Data[Dist],0),MATCH(D$4,Data[#Headers],0))</f>
        <v>1367504</v>
      </c>
      <c r="E39" s="22">
        <f>INDEX(Data[],MATCH($A39,Data[Dist],0),MATCH(E$4,Data[#Headers],0))</f>
        <v>166044</v>
      </c>
      <c r="F39" s="22">
        <f>INDEX(Data[],MATCH($A39,Data[Dist],0),MATCH(F$4,Data[#Headers],0))</f>
        <v>142469</v>
      </c>
      <c r="G39" s="22">
        <f>INDEX(Data[],MATCH($A39,Data[Dist],0),MATCH(G$4,Data[#Headers],0))</f>
        <v>806805</v>
      </c>
      <c r="H39" s="22">
        <f>INDEX(Data[],MATCH($A39,Data[Dist],0),MATCH(H$4,Data[#Headers],0))</f>
        <v>13445426</v>
      </c>
      <c r="I39" s="22">
        <f>INDEX(Data[],MATCH($A39,Data[Dist],0),MATCH(I$4,Data[#Headers],0))</f>
        <v>16295133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323722</v>
      </c>
      <c r="D40" s="22">
        <f>INDEX(Data[],MATCH($A40,Data[Dist],0),MATCH(D$4,Data[#Headers],0))</f>
        <v>1287736</v>
      </c>
      <c r="E40" s="22">
        <f>INDEX(Data[],MATCH($A40,Data[Dist],0),MATCH(E$4,Data[#Headers],0))</f>
        <v>147767</v>
      </c>
      <c r="F40" s="22">
        <f>INDEX(Data[],MATCH($A40,Data[Dist],0),MATCH(F$4,Data[#Headers],0))</f>
        <v>159896</v>
      </c>
      <c r="G40" s="22">
        <f>INDEX(Data[],MATCH($A40,Data[Dist],0),MATCH(G$4,Data[#Headers],0))</f>
        <v>714096</v>
      </c>
      <c r="H40" s="22">
        <f>INDEX(Data[],MATCH($A40,Data[Dist],0),MATCH(H$4,Data[#Headers],0))</f>
        <v>12277386</v>
      </c>
      <c r="I40" s="22">
        <f>INDEX(Data[],MATCH($A40,Data[Dist],0),MATCH(I$4,Data[#Headers],0))</f>
        <v>14910603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226606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2995886</v>
      </c>
      <c r="I41" s="22">
        <f>INDEX(Data[],MATCH($A41,Data[Dist],0),MATCH(I$4,Data[#Headers],0))</f>
        <v>3883751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147474</v>
      </c>
      <c r="D42" s="22">
        <f>INDEX(Data[],MATCH($A42,Data[Dist],0),MATCH(D$4,Data[#Headers],0))</f>
        <v>354176</v>
      </c>
      <c r="E42" s="22">
        <f>INDEX(Data[],MATCH($A42,Data[Dist],0),MATCH(E$4,Data[#Headers],0))</f>
        <v>40945</v>
      </c>
      <c r="F42" s="22">
        <f>INDEX(Data[],MATCH($A42,Data[Dist],0),MATCH(F$4,Data[#Headers],0))</f>
        <v>36589</v>
      </c>
      <c r="G42" s="22">
        <f>INDEX(Data[],MATCH($A42,Data[Dist],0),MATCH(G$4,Data[#Headers],0))</f>
        <v>197713</v>
      </c>
      <c r="H42" s="22">
        <f>INDEX(Data[],MATCH($A42,Data[Dist],0),MATCH(H$4,Data[#Headers],0))</f>
        <v>2264660</v>
      </c>
      <c r="I42" s="22">
        <f>INDEX(Data[],MATCH($A42,Data[Dist],0),MATCH(I$4,Data[#Headers],0))</f>
        <v>3041557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133086</v>
      </c>
      <c r="D43" s="22">
        <f>INDEX(Data[],MATCH($A43,Data[Dist],0),MATCH(D$4,Data[#Headers],0))</f>
        <v>348549</v>
      </c>
      <c r="E43" s="22">
        <f>INDEX(Data[],MATCH($A43,Data[Dist],0),MATCH(E$4,Data[#Headers],0))</f>
        <v>37805</v>
      </c>
      <c r="F43" s="22">
        <f>INDEX(Data[],MATCH($A43,Data[Dist],0),MATCH(F$4,Data[#Headers],0))</f>
        <v>35385</v>
      </c>
      <c r="G43" s="22">
        <f>INDEX(Data[],MATCH($A43,Data[Dist],0),MATCH(G$4,Data[#Headers],0))</f>
        <v>187346</v>
      </c>
      <c r="H43" s="22">
        <f>INDEX(Data[],MATCH($A43,Data[Dist],0),MATCH(H$4,Data[#Headers],0))</f>
        <v>2580735</v>
      </c>
      <c r="I43" s="22">
        <f>INDEX(Data[],MATCH($A43,Data[Dist],0),MATCH(I$4,Data[#Headers],0))</f>
        <v>3322906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107907</v>
      </c>
      <c r="D44" s="22">
        <f>INDEX(Data[],MATCH($A44,Data[Dist],0),MATCH(D$4,Data[#Headers],0))</f>
        <v>286268</v>
      </c>
      <c r="E44" s="22">
        <f>INDEX(Data[],MATCH($A44,Data[Dist],0),MATCH(E$4,Data[#Headers],0))</f>
        <v>29775</v>
      </c>
      <c r="F44" s="22">
        <f>INDEX(Data[],MATCH($A44,Data[Dist],0),MATCH(F$4,Data[#Headers],0))</f>
        <v>31240</v>
      </c>
      <c r="G44" s="22">
        <f>INDEX(Data[],MATCH($A44,Data[Dist],0),MATCH(G$4,Data[#Headers],0))</f>
        <v>151764</v>
      </c>
      <c r="H44" s="22">
        <f>INDEX(Data[],MATCH($A44,Data[Dist],0),MATCH(H$4,Data[#Headers],0))</f>
        <v>1149097</v>
      </c>
      <c r="I44" s="22">
        <f>INDEX(Data[],MATCH($A44,Data[Dist],0),MATCH(I$4,Data[#Headers],0))</f>
        <v>1756051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410048</v>
      </c>
      <c r="D45" s="22">
        <f>INDEX(Data[],MATCH($A45,Data[Dist],0),MATCH(D$4,Data[#Headers],0))</f>
        <v>2434037</v>
      </c>
      <c r="E45" s="22">
        <f>INDEX(Data[],MATCH($A45,Data[Dist],0),MATCH(E$4,Data[#Headers],0))</f>
        <v>332118</v>
      </c>
      <c r="F45" s="22">
        <f>INDEX(Data[],MATCH($A45,Data[Dist],0),MATCH(F$4,Data[#Headers],0))</f>
        <v>267893</v>
      </c>
      <c r="G45" s="22">
        <f>INDEX(Data[],MATCH($A45,Data[Dist],0),MATCH(G$4,Data[#Headers],0))</f>
        <v>1392740</v>
      </c>
      <c r="H45" s="22">
        <f>INDEX(Data[],MATCH($A45,Data[Dist],0),MATCH(H$4,Data[#Headers],0))</f>
        <v>24828956</v>
      </c>
      <c r="I45" s="22">
        <f>INDEX(Data[],MATCH($A45,Data[Dist],0),MATCH(I$4,Data[#Headers],0))</f>
        <v>29665792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100714</v>
      </c>
      <c r="D46" s="22">
        <f>INDEX(Data[],MATCH($A46,Data[Dist],0),MATCH(D$4,Data[#Headers],0))</f>
        <v>331253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1165582</v>
      </c>
      <c r="I46" s="22">
        <f>INDEX(Data[],MATCH($A46,Data[Dist],0),MATCH(I$4,Data[#Headers],0))</f>
        <v>1838135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64744</v>
      </c>
      <c r="D47" s="22">
        <f>INDEX(Data[],MATCH($A47,Data[Dist],0),MATCH(D$4,Data[#Headers],0))</f>
        <v>173180</v>
      </c>
      <c r="E47" s="22">
        <f>INDEX(Data[],MATCH($A47,Data[Dist],0),MATCH(E$4,Data[#Headers],0))</f>
        <v>19648</v>
      </c>
      <c r="F47" s="22">
        <f>INDEX(Data[],MATCH($A47,Data[Dist],0),MATCH(F$4,Data[#Headers],0))</f>
        <v>19108</v>
      </c>
      <c r="G47" s="22">
        <f>INDEX(Data[],MATCH($A47,Data[Dist],0),MATCH(G$4,Data[#Headers],0))</f>
        <v>86849</v>
      </c>
      <c r="H47" s="22">
        <f>INDEX(Data[],MATCH($A47,Data[Dist],0),MATCH(H$4,Data[#Headers],0))</f>
        <v>1146547</v>
      </c>
      <c r="I47" s="22">
        <f>INDEX(Data[],MATCH($A47,Data[Dist],0),MATCH(I$4,Data[#Headers],0))</f>
        <v>1510076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100714</v>
      </c>
      <c r="D48" s="22">
        <f>INDEX(Data[],MATCH($A48,Data[Dist],0),MATCH(D$4,Data[#Headers],0))</f>
        <v>272668</v>
      </c>
      <c r="E48" s="22">
        <f>INDEX(Data[],MATCH($A48,Data[Dist],0),MATCH(E$4,Data[#Headers],0))</f>
        <v>31419</v>
      </c>
      <c r="F48" s="22">
        <f>INDEX(Data[],MATCH($A48,Data[Dist],0),MATCH(F$4,Data[#Headers],0))</f>
        <v>29853</v>
      </c>
      <c r="G48" s="22">
        <f>INDEX(Data[],MATCH($A48,Data[Dist],0),MATCH(G$4,Data[#Headers],0))</f>
        <v>139424</v>
      </c>
      <c r="H48" s="22">
        <f>INDEX(Data[],MATCH($A48,Data[Dist],0),MATCH(H$4,Data[#Headers],0))</f>
        <v>1819596</v>
      </c>
      <c r="I48" s="22">
        <f>INDEX(Data[],MATCH($A48,Data[Dist],0),MATCH(I$4,Data[#Headers],0))</f>
        <v>2393674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165458</v>
      </c>
      <c r="D49" s="22">
        <f>INDEX(Data[],MATCH($A49,Data[Dist],0),MATCH(D$4,Data[#Headers],0))</f>
        <v>514193</v>
      </c>
      <c r="E49" s="22">
        <f>INDEX(Data[],MATCH($A49,Data[Dist],0),MATCH(E$4,Data[#Headers],0))</f>
        <v>64047</v>
      </c>
      <c r="F49" s="22">
        <f>INDEX(Data[],MATCH($A49,Data[Dist],0),MATCH(F$4,Data[#Headers],0))</f>
        <v>54126</v>
      </c>
      <c r="G49" s="22">
        <f>INDEX(Data[],MATCH($A49,Data[Dist],0),MATCH(G$4,Data[#Headers],0))</f>
        <v>283620</v>
      </c>
      <c r="H49" s="22">
        <f>INDEX(Data[],MATCH($A49,Data[Dist],0),MATCH(H$4,Data[#Headers],0))</f>
        <v>3818160</v>
      </c>
      <c r="I49" s="22">
        <f>INDEX(Data[],MATCH($A49,Data[Dist],0),MATCH(I$4,Data[#Headers],0))</f>
        <v>4899604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219412</v>
      </c>
      <c r="D50" s="22">
        <f>INDEX(Data[],MATCH($A50,Data[Dist],0),MATCH(D$4,Data[#Headers],0))</f>
        <v>383665</v>
      </c>
      <c r="E50" s="22">
        <f>INDEX(Data[],MATCH($A50,Data[Dist],0),MATCH(E$4,Data[#Headers],0))</f>
        <v>47670</v>
      </c>
      <c r="F50" s="22">
        <f>INDEX(Data[],MATCH($A50,Data[Dist],0),MATCH(F$4,Data[#Headers],0))</f>
        <v>36228</v>
      </c>
      <c r="G50" s="22">
        <f>INDEX(Data[],MATCH($A50,Data[Dist],0),MATCH(G$4,Data[#Headers],0))</f>
        <v>206300</v>
      </c>
      <c r="H50" s="22">
        <f>INDEX(Data[],MATCH($A50,Data[Dist],0),MATCH(H$4,Data[#Headers],0))</f>
        <v>3632933</v>
      </c>
      <c r="I50" s="22">
        <f>INDEX(Data[],MATCH($A50,Data[Dist],0),MATCH(I$4,Data[#Headers],0))</f>
        <v>4526208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374079</v>
      </c>
      <c r="D51" s="22">
        <f>INDEX(Data[],MATCH($A51,Data[Dist],0),MATCH(D$4,Data[#Headers],0))</f>
        <v>1176711</v>
      </c>
      <c r="E51" s="22">
        <f>INDEX(Data[],MATCH($A51,Data[Dist],0),MATCH(E$4,Data[#Headers],0))</f>
        <v>143560</v>
      </c>
      <c r="F51" s="22">
        <f>INDEX(Data[],MATCH($A51,Data[Dist],0),MATCH(F$4,Data[#Headers],0))</f>
        <v>121049</v>
      </c>
      <c r="G51" s="22">
        <f>INDEX(Data[],MATCH($A51,Data[Dist],0),MATCH(G$4,Data[#Headers],0))</f>
        <v>681524</v>
      </c>
      <c r="H51" s="22">
        <f>INDEX(Data[],MATCH($A51,Data[Dist],0),MATCH(H$4,Data[#Headers],0))</f>
        <v>12181891</v>
      </c>
      <c r="I51" s="22">
        <f>INDEX(Data[],MATCH($A51,Data[Dist],0),MATCH(I$4,Data[#Headers],0))</f>
        <v>14678814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604282</v>
      </c>
      <c r="D52" s="22">
        <f>INDEX(Data[],MATCH($A52,Data[Dist],0),MATCH(D$4,Data[#Headers],0))</f>
        <v>1027999</v>
      </c>
      <c r="E52" s="22">
        <f>INDEX(Data[],MATCH($A52,Data[Dist],0),MATCH(E$4,Data[#Headers],0))</f>
        <v>119634</v>
      </c>
      <c r="F52" s="22">
        <f>INDEX(Data[],MATCH($A52,Data[Dist],0),MATCH(F$4,Data[#Headers],0))</f>
        <v>118148</v>
      </c>
      <c r="G52" s="22">
        <f>INDEX(Data[],MATCH($A52,Data[Dist],0),MATCH(G$4,Data[#Headers],0))</f>
        <v>595897</v>
      </c>
      <c r="H52" s="22">
        <f>INDEX(Data[],MATCH($A52,Data[Dist],0),MATCH(H$4,Data[#Headers],0))</f>
        <v>6716139</v>
      </c>
      <c r="I52" s="22">
        <f>INDEX(Data[],MATCH($A52,Data[Dist],0),MATCH(I$4,Data[#Headers],0))</f>
        <v>9182099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615073</v>
      </c>
      <c r="D53" s="22">
        <f>INDEX(Data[],MATCH($A53,Data[Dist],0),MATCH(D$4,Data[#Headers],0))</f>
        <v>3322129</v>
      </c>
      <c r="E53" s="22">
        <f>INDEX(Data[],MATCH($A53,Data[Dist],0),MATCH(E$4,Data[#Headers],0))</f>
        <v>394716</v>
      </c>
      <c r="F53" s="22">
        <f>INDEX(Data[],MATCH($A53,Data[Dist],0),MATCH(F$4,Data[#Headers],0))</f>
        <v>393243</v>
      </c>
      <c r="G53" s="22">
        <f>INDEX(Data[],MATCH($A53,Data[Dist],0),MATCH(G$4,Data[#Headers],0))</f>
        <v>1904666</v>
      </c>
      <c r="H53" s="22">
        <f>INDEX(Data[],MATCH($A53,Data[Dist],0),MATCH(H$4,Data[#Headers],0))</f>
        <v>28002178</v>
      </c>
      <c r="I53" s="22">
        <f>INDEX(Data[],MATCH($A53,Data[Dist],0),MATCH(I$4,Data[#Headers],0))</f>
        <v>34632005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2427991</v>
      </c>
      <c r="D54" s="22">
        <f>INDEX(Data[],MATCH($A54,Data[Dist],0),MATCH(D$4,Data[#Headers],0))</f>
        <v>10018722</v>
      </c>
      <c r="E54" s="22">
        <f>INDEX(Data[],MATCH($A54,Data[Dist],0),MATCH(E$4,Data[#Headers],0))</f>
        <v>1287455</v>
      </c>
      <c r="F54" s="22">
        <f>INDEX(Data[],MATCH($A54,Data[Dist],0),MATCH(F$4,Data[#Headers],0))</f>
        <v>1179774</v>
      </c>
      <c r="G54" s="22">
        <f>INDEX(Data[],MATCH($A54,Data[Dist],0),MATCH(G$4,Data[#Headers],0))</f>
        <v>5744508</v>
      </c>
      <c r="H54" s="22">
        <f>INDEX(Data[],MATCH($A54,Data[Dist],0),MATCH(H$4,Data[#Headers],0))</f>
        <v>87256280</v>
      </c>
      <c r="I54" s="22">
        <f>INDEX(Data[],MATCH($A54,Data[Dist],0),MATCH(I$4,Data[#Headers],0))</f>
        <v>107914730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309335</v>
      </c>
      <c r="D55" s="22">
        <f>INDEX(Data[],MATCH($A55,Data[Dist],0),MATCH(D$4,Data[#Headers],0))</f>
        <v>808202</v>
      </c>
      <c r="E55" s="22">
        <f>INDEX(Data[],MATCH($A55,Data[Dist],0),MATCH(E$4,Data[#Headers],0))</f>
        <v>92767</v>
      </c>
      <c r="F55" s="22">
        <f>INDEX(Data[],MATCH($A55,Data[Dist],0),MATCH(F$4,Data[#Headers],0))</f>
        <v>89737</v>
      </c>
      <c r="G55" s="22">
        <f>INDEX(Data[],MATCH($A55,Data[Dist],0),MATCH(G$4,Data[#Headers],0))</f>
        <v>459042</v>
      </c>
      <c r="H55" s="22">
        <f>INDEX(Data[],MATCH($A55,Data[Dist],0),MATCH(H$4,Data[#Headers],0))</f>
        <v>7610852</v>
      </c>
      <c r="I55" s="22">
        <f>INDEX(Data[],MATCH($A55,Data[Dist],0),MATCH(I$4,Data[#Headers],0))</f>
        <v>9369935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219412</v>
      </c>
      <c r="D56" s="22">
        <f>INDEX(Data[],MATCH($A56,Data[Dist],0),MATCH(D$4,Data[#Headers],0))</f>
        <v>839191</v>
      </c>
      <c r="E56" s="22">
        <f>INDEX(Data[],MATCH($A56,Data[Dist],0),MATCH(E$4,Data[#Headers],0))</f>
        <v>101822</v>
      </c>
      <c r="F56" s="22">
        <f>INDEX(Data[],MATCH($A56,Data[Dist],0),MATCH(F$4,Data[#Headers],0))</f>
        <v>96142</v>
      </c>
      <c r="G56" s="22">
        <f>INDEX(Data[],MATCH($A56,Data[Dist],0),MATCH(G$4,Data[#Headers],0))</f>
        <v>472082</v>
      </c>
      <c r="H56" s="22">
        <f>INDEX(Data[],MATCH($A56,Data[Dist],0),MATCH(H$4,Data[#Headers],0))</f>
        <v>8569532</v>
      </c>
      <c r="I56" s="22">
        <f>INDEX(Data[],MATCH($A56,Data[Dist],0),MATCH(I$4,Data[#Headers],0))</f>
        <v>10298181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230203</v>
      </c>
      <c r="D57" s="22">
        <f>INDEX(Data[],MATCH($A57,Data[Dist],0),MATCH(D$4,Data[#Headers],0))</f>
        <v>499022</v>
      </c>
      <c r="E57" s="22">
        <f>INDEX(Data[],MATCH($A57,Data[Dist],0),MATCH(E$4,Data[#Headers],0))</f>
        <v>54965</v>
      </c>
      <c r="F57" s="22">
        <f>INDEX(Data[],MATCH($A57,Data[Dist],0),MATCH(F$4,Data[#Headers],0))</f>
        <v>63577</v>
      </c>
      <c r="G57" s="22">
        <f>INDEX(Data[],MATCH($A57,Data[Dist],0),MATCH(G$4,Data[#Headers],0))</f>
        <v>269133</v>
      </c>
      <c r="H57" s="22">
        <f>INDEX(Data[],MATCH($A57,Data[Dist],0),MATCH(H$4,Data[#Headers],0))</f>
        <v>3439628</v>
      </c>
      <c r="I57" s="22">
        <f>INDEX(Data[],MATCH($A57,Data[Dist],0),MATCH(I$4,Data[#Headers],0))</f>
        <v>4556528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97117</v>
      </c>
      <c r="D58" s="22">
        <f>INDEX(Data[],MATCH($A58,Data[Dist],0),MATCH(D$4,Data[#Headers],0))</f>
        <v>270219</v>
      </c>
      <c r="E58" s="22">
        <f>INDEX(Data[],MATCH($A58,Data[Dist],0),MATCH(E$4,Data[#Headers],0))</f>
        <v>27974</v>
      </c>
      <c r="F58" s="22">
        <f>INDEX(Data[],MATCH($A58,Data[Dist],0),MATCH(F$4,Data[#Headers],0))</f>
        <v>28139</v>
      </c>
      <c r="G58" s="22">
        <f>INDEX(Data[],MATCH($A58,Data[Dist],0),MATCH(G$4,Data[#Headers],0))</f>
        <v>148355</v>
      </c>
      <c r="H58" s="22">
        <f>INDEX(Data[],MATCH($A58,Data[Dist],0),MATCH(H$4,Data[#Headers],0))</f>
        <v>2057312</v>
      </c>
      <c r="I58" s="22">
        <f>INDEX(Data[],MATCH($A58,Data[Dist],0),MATCH(I$4,Data[#Headers],0))</f>
        <v>2629116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305738</v>
      </c>
      <c r="D59" s="22">
        <f>INDEX(Data[],MATCH($A59,Data[Dist],0),MATCH(D$4,Data[#Headers],0))</f>
        <v>928414</v>
      </c>
      <c r="E59" s="22">
        <f>INDEX(Data[],MATCH($A59,Data[Dist],0),MATCH(E$4,Data[#Headers],0))</f>
        <v>96263</v>
      </c>
      <c r="F59" s="22">
        <f>INDEX(Data[],MATCH($A59,Data[Dist],0),MATCH(F$4,Data[#Headers],0))</f>
        <v>100855</v>
      </c>
      <c r="G59" s="22">
        <f>INDEX(Data[],MATCH($A59,Data[Dist],0),MATCH(G$4,Data[#Headers],0))</f>
        <v>510445</v>
      </c>
      <c r="H59" s="22">
        <f>INDEX(Data[],MATCH($A59,Data[Dist],0),MATCH(H$4,Data[#Headers],0))</f>
        <v>7338959</v>
      </c>
      <c r="I59" s="22">
        <f>INDEX(Data[],MATCH($A59,Data[Dist],0),MATCH(I$4,Data[#Headers],0))</f>
        <v>9280674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86326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2636117</v>
      </c>
      <c r="I60" s="22">
        <f>INDEX(Data[],MATCH($A60,Data[Dist],0),MATCH(I$4,Data[#Headers],0))</f>
        <v>3277753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111505</v>
      </c>
      <c r="D61" s="22">
        <f>INDEX(Data[],MATCH($A61,Data[Dist],0),MATCH(D$4,Data[#Headers],0))</f>
        <v>417784</v>
      </c>
      <c r="E61" s="22">
        <f>INDEX(Data[],MATCH($A61,Data[Dist],0),MATCH(E$4,Data[#Headers],0))</f>
        <v>55829</v>
      </c>
      <c r="F61" s="22">
        <f>INDEX(Data[],MATCH($A61,Data[Dist],0),MATCH(F$4,Data[#Headers],0))</f>
        <v>43442</v>
      </c>
      <c r="G61" s="22">
        <f>INDEX(Data[],MATCH($A61,Data[Dist],0),MATCH(G$4,Data[#Headers],0))</f>
        <v>226267</v>
      </c>
      <c r="H61" s="22">
        <f>INDEX(Data[],MATCH($A61,Data[Dist],0),MATCH(H$4,Data[#Headers],0))</f>
        <v>4138852</v>
      </c>
      <c r="I61" s="22">
        <f>INDEX(Data[],MATCH($A61,Data[Dist],0),MATCH(I$4,Data[#Headers],0))</f>
        <v>4993679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161934</v>
      </c>
      <c r="D62" s="22">
        <f>INDEX(Data[],MATCH($A62,Data[Dist],0),MATCH(D$4,Data[#Headers],0))</f>
        <v>452319</v>
      </c>
      <c r="E62" s="22">
        <f>INDEX(Data[],MATCH($A62,Data[Dist],0),MATCH(E$4,Data[#Headers],0))</f>
        <v>48652</v>
      </c>
      <c r="F62" s="22">
        <f>INDEX(Data[],MATCH($A62,Data[Dist],0),MATCH(F$4,Data[#Headers],0))</f>
        <v>52050</v>
      </c>
      <c r="G62" s="22">
        <f>INDEX(Data[],MATCH($A62,Data[Dist],0),MATCH(G$4,Data[#Headers],0))</f>
        <v>261314</v>
      </c>
      <c r="H62" s="22">
        <f>INDEX(Data[],MATCH($A62,Data[Dist],0),MATCH(H$4,Data[#Headers],0))</f>
        <v>3690948</v>
      </c>
      <c r="I62" s="22">
        <f>INDEX(Data[],MATCH($A62,Data[Dist],0),MATCH(I$4,Data[#Headers],0))</f>
        <v>4667217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190637</v>
      </c>
      <c r="D63" s="22">
        <f>INDEX(Data[],MATCH($A63,Data[Dist],0),MATCH(D$4,Data[#Headers],0))</f>
        <v>766253</v>
      </c>
      <c r="E63" s="22">
        <f>INDEX(Data[],MATCH($A63,Data[Dist],0),MATCH(E$4,Data[#Headers],0))</f>
        <v>104981</v>
      </c>
      <c r="F63" s="22">
        <f>INDEX(Data[],MATCH($A63,Data[Dist],0),MATCH(F$4,Data[#Headers],0))</f>
        <v>82240</v>
      </c>
      <c r="G63" s="22">
        <f>INDEX(Data[],MATCH($A63,Data[Dist],0),MATCH(G$4,Data[#Headers],0))</f>
        <v>438083</v>
      </c>
      <c r="H63" s="22">
        <f>INDEX(Data[],MATCH($A63,Data[Dist],0),MATCH(H$4,Data[#Headers],0))</f>
        <v>7198681</v>
      </c>
      <c r="I63" s="22">
        <f>INDEX(Data[],MATCH($A63,Data[Dist],0),MATCH(I$4,Data[#Headers],0))</f>
        <v>8780875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294947</v>
      </c>
      <c r="D64" s="22">
        <f>INDEX(Data[],MATCH($A64,Data[Dist],0),MATCH(D$4,Data[#Headers],0))</f>
        <v>966793</v>
      </c>
      <c r="E64" s="22">
        <f>INDEX(Data[],MATCH($A64,Data[Dist],0),MATCH(E$4,Data[#Headers],0))</f>
        <v>113122</v>
      </c>
      <c r="F64" s="22">
        <f>INDEX(Data[],MATCH($A64,Data[Dist],0),MATCH(F$4,Data[#Headers],0))</f>
        <v>113919</v>
      </c>
      <c r="G64" s="22">
        <f>INDEX(Data[],MATCH($A64,Data[Dist],0),MATCH(G$4,Data[#Headers],0))</f>
        <v>545631</v>
      </c>
      <c r="H64" s="22">
        <f>INDEX(Data[],MATCH($A64,Data[Dist],0),MATCH(H$4,Data[#Headers],0))</f>
        <v>8448970</v>
      </c>
      <c r="I64" s="22">
        <f>INDEX(Data[],MATCH($A64,Data[Dist],0),MATCH(I$4,Data[#Headers],0))</f>
        <v>10483382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53954</v>
      </c>
      <c r="D65" s="22">
        <f>INDEX(Data[],MATCH($A65,Data[Dist],0),MATCH(D$4,Data[#Headers],0))</f>
        <v>182124</v>
      </c>
      <c r="E65" s="22">
        <f>INDEX(Data[],MATCH($A65,Data[Dist],0),MATCH(E$4,Data[#Headers],0))</f>
        <v>20993</v>
      </c>
      <c r="F65" s="22">
        <f>INDEX(Data[],MATCH($A65,Data[Dist],0),MATCH(F$4,Data[#Headers],0))</f>
        <v>19165</v>
      </c>
      <c r="G65" s="22">
        <f>INDEX(Data[],MATCH($A65,Data[Dist],0),MATCH(G$4,Data[#Headers],0))</f>
        <v>92504</v>
      </c>
      <c r="H65" s="22">
        <f>INDEX(Data[],MATCH($A65,Data[Dist],0),MATCH(H$4,Data[#Headers],0))</f>
        <v>1099484</v>
      </c>
      <c r="I65" s="22">
        <f>INDEX(Data[],MATCH($A65,Data[Dist],0),MATCH(I$4,Data[#Headers],0))</f>
        <v>1468224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129489</v>
      </c>
      <c r="D66" s="22">
        <f>INDEX(Data[],MATCH($A66,Data[Dist],0),MATCH(D$4,Data[#Headers],0))</f>
        <v>651311</v>
      </c>
      <c r="E66" s="22">
        <f>INDEX(Data[],MATCH($A66,Data[Dist],0),MATCH(E$4,Data[#Headers],0))</f>
        <v>78438</v>
      </c>
      <c r="F66" s="22">
        <f>INDEX(Data[],MATCH($A66,Data[Dist],0),MATCH(F$4,Data[#Headers],0))</f>
        <v>73285</v>
      </c>
      <c r="G66" s="22">
        <f>INDEX(Data[],MATCH($A66,Data[Dist],0),MATCH(G$4,Data[#Headers],0))</f>
        <v>359088</v>
      </c>
      <c r="H66" s="22">
        <f>INDEX(Data[],MATCH($A66,Data[Dist],0),MATCH(H$4,Data[#Headers],0))</f>
        <v>5567860</v>
      </c>
      <c r="I66" s="22">
        <f>INDEX(Data[],MATCH($A66,Data[Dist],0),MATCH(I$4,Data[#Headers],0))</f>
        <v>6859471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125893</v>
      </c>
      <c r="D67" s="22">
        <f>INDEX(Data[],MATCH($A67,Data[Dist],0),MATCH(D$4,Data[#Headers],0))</f>
        <v>580969</v>
      </c>
      <c r="E67" s="22">
        <f>INDEX(Data[],MATCH($A67,Data[Dist],0),MATCH(E$4,Data[#Headers],0))</f>
        <v>64395</v>
      </c>
      <c r="F67" s="22">
        <f>INDEX(Data[],MATCH($A67,Data[Dist],0),MATCH(F$4,Data[#Headers],0))</f>
        <v>55282</v>
      </c>
      <c r="G67" s="22">
        <f>INDEX(Data[],MATCH($A67,Data[Dist],0),MATCH(G$4,Data[#Headers],0))</f>
        <v>338027</v>
      </c>
      <c r="H67" s="22">
        <f>INDEX(Data[],MATCH($A67,Data[Dist],0),MATCH(H$4,Data[#Headers],0))</f>
        <v>4980084</v>
      </c>
      <c r="I67" s="22">
        <f>INDEX(Data[],MATCH($A67,Data[Dist],0),MATCH(I$4,Data[#Headers],0))</f>
        <v>6144650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205025</v>
      </c>
      <c r="D68" s="22">
        <f>INDEX(Data[],MATCH($A68,Data[Dist],0),MATCH(D$4,Data[#Headers],0))</f>
        <v>599400</v>
      </c>
      <c r="E68" s="22">
        <f>INDEX(Data[],MATCH($A68,Data[Dist],0),MATCH(E$4,Data[#Headers],0))</f>
        <v>73667</v>
      </c>
      <c r="F68" s="22">
        <f>INDEX(Data[],MATCH($A68,Data[Dist],0),MATCH(F$4,Data[#Headers],0))</f>
        <v>67544</v>
      </c>
      <c r="G68" s="22">
        <f>INDEX(Data[],MATCH($A68,Data[Dist],0),MATCH(G$4,Data[#Headers],0))</f>
        <v>331822</v>
      </c>
      <c r="H68" s="22">
        <f>INDEX(Data[],MATCH($A68,Data[Dist],0),MATCH(H$4,Data[#Headers],0))</f>
        <v>4246581</v>
      </c>
      <c r="I68" s="22">
        <f>INDEX(Data[],MATCH($A68,Data[Dist],0),MATCH(I$4,Data[#Headers],0))</f>
        <v>5524039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140280</v>
      </c>
      <c r="D69" s="22">
        <f>INDEX(Data[],MATCH($A69,Data[Dist],0),MATCH(D$4,Data[#Headers],0))</f>
        <v>876178</v>
      </c>
      <c r="E69" s="22">
        <f>INDEX(Data[],MATCH($A69,Data[Dist],0),MATCH(E$4,Data[#Headers],0))</f>
        <v>114530</v>
      </c>
      <c r="F69" s="22">
        <f>INDEX(Data[],MATCH($A69,Data[Dist],0),MATCH(F$4,Data[#Headers],0))</f>
        <v>91078</v>
      </c>
      <c r="G69" s="22">
        <f>INDEX(Data[],MATCH($A69,Data[Dist],0),MATCH(G$4,Data[#Headers],0))</f>
        <v>493445</v>
      </c>
      <c r="H69" s="22">
        <f>INDEX(Data[],MATCH($A69,Data[Dist],0),MATCH(H$4,Data[#Headers],0))</f>
        <v>8515545</v>
      </c>
      <c r="I69" s="22">
        <f>INDEX(Data[],MATCH($A69,Data[Dist],0),MATCH(I$4,Data[#Headers],0))</f>
        <v>10231056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39567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1627062</v>
      </c>
      <c r="I70" s="22">
        <f>INDEX(Data[],MATCH($A70,Data[Dist],0),MATCH(I$4,Data[#Headers],0))</f>
        <v>2029951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17985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884533</v>
      </c>
      <c r="I71" s="22">
        <f>INDEX(Data[],MATCH($A71,Data[Dist],0),MATCH(I$4,Data[#Headers],0))</f>
        <v>1269775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575506</v>
      </c>
      <c r="D72" s="22">
        <f>INDEX(Data[],MATCH($A72,Data[Dist],0),MATCH(D$4,Data[#Headers],0))</f>
        <v>1633951</v>
      </c>
      <c r="E72" s="22">
        <f>INDEX(Data[],MATCH($A72,Data[Dist],0),MATCH(E$4,Data[#Headers],0))</f>
        <v>163421</v>
      </c>
      <c r="F72" s="22">
        <f>INDEX(Data[],MATCH($A72,Data[Dist],0),MATCH(F$4,Data[#Headers],0))</f>
        <v>178118</v>
      </c>
      <c r="G72" s="22">
        <f>INDEX(Data[],MATCH($A72,Data[Dist],0),MATCH(G$4,Data[#Headers],0))</f>
        <v>916099</v>
      </c>
      <c r="H72" s="22">
        <f>INDEX(Data[],MATCH($A72,Data[Dist],0),MATCH(H$4,Data[#Headers],0))</f>
        <v>12061900</v>
      </c>
      <c r="I72" s="22">
        <f>INDEX(Data[],MATCH($A72,Data[Dist],0),MATCH(I$4,Data[#Headers],0))</f>
        <v>15528995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230203</v>
      </c>
      <c r="D73" s="22">
        <f>INDEX(Data[],MATCH($A73,Data[Dist],0),MATCH(D$4,Data[#Headers],0))</f>
        <v>728379</v>
      </c>
      <c r="E73" s="22">
        <f>INDEX(Data[],MATCH($A73,Data[Dist],0),MATCH(E$4,Data[#Headers],0))</f>
        <v>83902</v>
      </c>
      <c r="F73" s="22">
        <f>INDEX(Data[],MATCH($A73,Data[Dist],0),MATCH(F$4,Data[#Headers],0))</f>
        <v>80167</v>
      </c>
      <c r="G73" s="22">
        <f>INDEX(Data[],MATCH($A73,Data[Dist],0),MATCH(G$4,Data[#Headers],0))</f>
        <v>424644</v>
      </c>
      <c r="H73" s="22">
        <f>INDEX(Data[],MATCH($A73,Data[Dist],0),MATCH(H$4,Data[#Headers],0))</f>
        <v>4036614</v>
      </c>
      <c r="I73" s="22">
        <f>INDEX(Data[],MATCH($A73,Data[Dist],0),MATCH(I$4,Data[#Headers],0))</f>
        <v>5583909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611476</v>
      </c>
      <c r="D74" s="22">
        <f>INDEX(Data[],MATCH($A74,Data[Dist],0),MATCH(D$4,Data[#Headers],0))</f>
        <v>2270117</v>
      </c>
      <c r="E74" s="22">
        <f>INDEX(Data[],MATCH($A74,Data[Dist],0),MATCH(E$4,Data[#Headers],0))</f>
        <v>303247</v>
      </c>
      <c r="F74" s="22">
        <f>INDEX(Data[],MATCH($A74,Data[Dist],0),MATCH(F$4,Data[#Headers],0))</f>
        <v>261314</v>
      </c>
      <c r="G74" s="22">
        <f>INDEX(Data[],MATCH($A74,Data[Dist],0),MATCH(G$4,Data[#Headers],0))</f>
        <v>1275048</v>
      </c>
      <c r="H74" s="22">
        <f>INDEX(Data[],MATCH($A74,Data[Dist],0),MATCH(H$4,Data[#Headers],0))</f>
        <v>24232096</v>
      </c>
      <c r="I74" s="22">
        <f>INDEX(Data[],MATCH($A74,Data[Dist],0),MATCH(I$4,Data[#Headers],0))</f>
        <v>28953298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147401</v>
      </c>
      <c r="D75" s="22">
        <f>INDEX(Data[],MATCH($A75,Data[Dist],0),MATCH(D$4,Data[#Headers],0))</f>
        <v>462236</v>
      </c>
      <c r="E75" s="22">
        <f>INDEX(Data[],MATCH($A75,Data[Dist],0),MATCH(E$4,Data[#Headers],0))</f>
        <v>53275</v>
      </c>
      <c r="F75" s="22">
        <f>INDEX(Data[],MATCH($A75,Data[Dist],0),MATCH(F$4,Data[#Headers],0))</f>
        <v>45553</v>
      </c>
      <c r="G75" s="22">
        <f>INDEX(Data[],MATCH($A75,Data[Dist],0),MATCH(G$4,Data[#Headers],0))</f>
        <v>260372</v>
      </c>
      <c r="H75" s="22">
        <f>INDEX(Data[],MATCH($A75,Data[Dist],0),MATCH(H$4,Data[#Headers],0))</f>
        <v>3924138</v>
      </c>
      <c r="I75" s="22">
        <f>INDEX(Data[],MATCH($A75,Data[Dist],0),MATCH(I$4,Data[#Headers],0))</f>
        <v>4892975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859663</v>
      </c>
      <c r="D76" s="22">
        <f>INDEX(Data[],MATCH($A76,Data[Dist],0),MATCH(D$4,Data[#Headers],0))</f>
        <v>3008794</v>
      </c>
      <c r="E76" s="22">
        <f>INDEX(Data[],MATCH($A76,Data[Dist],0),MATCH(E$4,Data[#Headers],0))</f>
        <v>387805</v>
      </c>
      <c r="F76" s="22">
        <f>INDEX(Data[],MATCH($A76,Data[Dist],0),MATCH(F$4,Data[#Headers],0))</f>
        <v>369687</v>
      </c>
      <c r="G76" s="22">
        <f>INDEX(Data[],MATCH($A76,Data[Dist],0),MATCH(G$4,Data[#Headers],0))</f>
        <v>1776522</v>
      </c>
      <c r="H76" s="22">
        <f>INDEX(Data[],MATCH($A76,Data[Dist],0),MATCH(H$4,Data[#Headers],0))</f>
        <v>23259286</v>
      </c>
      <c r="I76" s="22">
        <f>INDEX(Data[],MATCH($A76,Data[Dist],0),MATCH(I$4,Data[#Headers],0))</f>
        <v>29661757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57551</v>
      </c>
      <c r="D77" s="22">
        <f>INDEX(Data[],MATCH($A77,Data[Dist],0),MATCH(D$4,Data[#Headers],0))</f>
        <v>280565</v>
      </c>
      <c r="E77" s="22">
        <f>INDEX(Data[],MATCH($A77,Data[Dist],0),MATCH(E$4,Data[#Headers],0))</f>
        <v>31513</v>
      </c>
      <c r="F77" s="22">
        <f>INDEX(Data[],MATCH($A77,Data[Dist],0),MATCH(F$4,Data[#Headers],0))</f>
        <v>28851</v>
      </c>
      <c r="G77" s="22">
        <f>INDEX(Data[],MATCH($A77,Data[Dist],0),MATCH(G$4,Data[#Headers],0))</f>
        <v>153312</v>
      </c>
      <c r="H77" s="22">
        <f>INDEX(Data[],MATCH($A77,Data[Dist],0),MATCH(H$4,Data[#Headers],0))</f>
        <v>2253050</v>
      </c>
      <c r="I77" s="22">
        <f>INDEX(Data[],MATCH($A77,Data[Dist],0),MATCH(I$4,Data[#Headers],0))</f>
        <v>2804842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100714</v>
      </c>
      <c r="D78" s="22">
        <f>INDEX(Data[],MATCH($A78,Data[Dist],0),MATCH(D$4,Data[#Headers],0))</f>
        <v>335191</v>
      </c>
      <c r="E78" s="22">
        <f>INDEX(Data[],MATCH($A78,Data[Dist],0),MATCH(E$4,Data[#Headers],0))</f>
        <v>35799</v>
      </c>
      <c r="F78" s="22">
        <f>INDEX(Data[],MATCH($A78,Data[Dist],0),MATCH(F$4,Data[#Headers],0))</f>
        <v>33690</v>
      </c>
      <c r="G78" s="22">
        <f>INDEX(Data[],MATCH($A78,Data[Dist],0),MATCH(G$4,Data[#Headers],0))</f>
        <v>174536</v>
      </c>
      <c r="H78" s="22">
        <f>INDEX(Data[],MATCH($A78,Data[Dist],0),MATCH(H$4,Data[#Headers],0))</f>
        <v>1742954</v>
      </c>
      <c r="I78" s="22">
        <f>INDEX(Data[],MATCH($A78,Data[Dist],0),MATCH(I$4,Data[#Headers],0))</f>
        <v>2422884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118699</v>
      </c>
      <c r="D79" s="22">
        <f>INDEX(Data[],MATCH($A79,Data[Dist],0),MATCH(D$4,Data[#Headers],0))</f>
        <v>488692</v>
      </c>
      <c r="E79" s="22">
        <f>INDEX(Data[],MATCH($A79,Data[Dist],0),MATCH(E$4,Data[#Headers],0))</f>
        <v>60337</v>
      </c>
      <c r="F79" s="22">
        <f>INDEX(Data[],MATCH($A79,Data[Dist],0),MATCH(F$4,Data[#Headers],0))</f>
        <v>58072</v>
      </c>
      <c r="G79" s="22">
        <f>INDEX(Data[],MATCH($A79,Data[Dist],0),MATCH(G$4,Data[#Headers],0))</f>
        <v>260057</v>
      </c>
      <c r="H79" s="22">
        <f>INDEX(Data[],MATCH($A79,Data[Dist],0),MATCH(H$4,Data[#Headers],0))</f>
        <v>4127535</v>
      </c>
      <c r="I79" s="22">
        <f>INDEX(Data[],MATCH($A79,Data[Dist],0),MATCH(I$4,Data[#Headers],0))</f>
        <v>5113392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75536</v>
      </c>
      <c r="D80" s="22">
        <f>INDEX(Data[],MATCH($A80,Data[Dist],0),MATCH(D$4,Data[#Headers],0))</f>
        <v>296041</v>
      </c>
      <c r="E80" s="22">
        <f>INDEX(Data[],MATCH($A80,Data[Dist],0),MATCH(E$4,Data[#Headers],0))</f>
        <v>34132</v>
      </c>
      <c r="F80" s="22">
        <f>INDEX(Data[],MATCH($A80,Data[Dist],0),MATCH(F$4,Data[#Headers],0))</f>
        <v>31761</v>
      </c>
      <c r="G80" s="22">
        <f>INDEX(Data[],MATCH($A80,Data[Dist],0),MATCH(G$4,Data[#Headers],0))</f>
        <v>148320</v>
      </c>
      <c r="H80" s="22">
        <f>INDEX(Data[],MATCH($A80,Data[Dist],0),MATCH(H$4,Data[#Headers],0))</f>
        <v>2036173</v>
      </c>
      <c r="I80" s="22">
        <f>INDEX(Data[],MATCH($A80,Data[Dist],0),MATCH(I$4,Data[#Headers],0))</f>
        <v>2621963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93520</v>
      </c>
      <c r="D81" s="22">
        <f>INDEX(Data[],MATCH($A81,Data[Dist],0),MATCH(D$4,Data[#Headers],0))</f>
        <v>287154</v>
      </c>
      <c r="E81" s="22">
        <f>INDEX(Data[],MATCH($A81,Data[Dist],0),MATCH(E$4,Data[#Headers],0))</f>
        <v>34355</v>
      </c>
      <c r="F81" s="22">
        <f>INDEX(Data[],MATCH($A81,Data[Dist],0),MATCH(F$4,Data[#Headers],0))</f>
        <v>29180</v>
      </c>
      <c r="G81" s="22">
        <f>INDEX(Data[],MATCH($A81,Data[Dist],0),MATCH(G$4,Data[#Headers],0))</f>
        <v>142560</v>
      </c>
      <c r="H81" s="22">
        <f>INDEX(Data[],MATCH($A81,Data[Dist],0),MATCH(H$4,Data[#Headers],0))</f>
        <v>1670887</v>
      </c>
      <c r="I81" s="22">
        <f>INDEX(Data[],MATCH($A81,Data[Dist],0),MATCH(I$4,Data[#Headers],0))</f>
        <v>2257656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1176192</v>
      </c>
      <c r="D82" s="22">
        <f>INDEX(Data[],MATCH($A82,Data[Dist],0),MATCH(D$4,Data[#Headers],0))</f>
        <v>5315995</v>
      </c>
      <c r="E82" s="22">
        <f>INDEX(Data[],MATCH($A82,Data[Dist],0),MATCH(E$4,Data[#Headers],0))</f>
        <v>783862</v>
      </c>
      <c r="F82" s="22">
        <f>INDEX(Data[],MATCH($A82,Data[Dist],0),MATCH(F$4,Data[#Headers],0))</f>
        <v>616380</v>
      </c>
      <c r="G82" s="22">
        <f>INDEX(Data[],MATCH($A82,Data[Dist],0),MATCH(G$4,Data[#Headers],0))</f>
        <v>3109633</v>
      </c>
      <c r="H82" s="22">
        <f>INDEX(Data[],MATCH($A82,Data[Dist],0),MATCH(H$4,Data[#Headers],0))</f>
        <v>59298350</v>
      </c>
      <c r="I82" s="22">
        <f>INDEX(Data[],MATCH($A82,Data[Dist],0),MATCH(I$4,Data[#Headers],0))</f>
        <v>70300412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302141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8105163</v>
      </c>
      <c r="I83" s="22">
        <f>INDEX(Data[],MATCH($A83,Data[Dist],0),MATCH(I$4,Data[#Headers],0))</f>
        <v>10061133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571910</v>
      </c>
      <c r="D84" s="22">
        <f>INDEX(Data[],MATCH($A84,Data[Dist],0),MATCH(D$4,Data[#Headers],0))</f>
        <v>1914303</v>
      </c>
      <c r="E84" s="22">
        <f>INDEX(Data[],MATCH($A84,Data[Dist],0),MATCH(E$4,Data[#Headers],0))</f>
        <v>227780</v>
      </c>
      <c r="F84" s="22">
        <f>INDEX(Data[],MATCH($A84,Data[Dist],0),MATCH(F$4,Data[#Headers],0))</f>
        <v>202829</v>
      </c>
      <c r="G84" s="22">
        <f>INDEX(Data[],MATCH($A84,Data[Dist],0),MATCH(G$4,Data[#Headers],0))</f>
        <v>1125262</v>
      </c>
      <c r="H84" s="22">
        <f>INDEX(Data[],MATCH($A84,Data[Dist],0),MATCH(H$4,Data[#Headers],0))</f>
        <v>16313206</v>
      </c>
      <c r="I84" s="22">
        <f>INDEX(Data[],MATCH($A84,Data[Dist],0),MATCH(I$4,Data[#Headers],0))</f>
        <v>20355290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122295</v>
      </c>
      <c r="D85" s="22">
        <f>INDEX(Data[],MATCH($A85,Data[Dist],0),MATCH(D$4,Data[#Headers],0))</f>
        <v>314981</v>
      </c>
      <c r="E85" s="22">
        <f>INDEX(Data[],MATCH($A85,Data[Dist],0),MATCH(E$4,Data[#Headers],0))</f>
        <v>38146</v>
      </c>
      <c r="F85" s="22">
        <f>INDEX(Data[],MATCH($A85,Data[Dist],0),MATCH(F$4,Data[#Headers],0))</f>
        <v>34248</v>
      </c>
      <c r="G85" s="22">
        <f>INDEX(Data[],MATCH($A85,Data[Dist],0),MATCH(G$4,Data[#Headers],0))</f>
        <v>173036</v>
      </c>
      <c r="H85" s="22">
        <f>INDEX(Data[],MATCH($A85,Data[Dist],0),MATCH(H$4,Data[#Headers],0))</f>
        <v>2546848</v>
      </c>
      <c r="I85" s="22">
        <f>INDEX(Data[],MATCH($A85,Data[Dist],0),MATCH(I$4,Data[#Headers],0))</f>
        <v>3229554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2316559</v>
      </c>
      <c r="D86" s="22">
        <f>INDEX(Data[],MATCH($A86,Data[Dist],0),MATCH(D$4,Data[#Headers],0))</f>
        <v>8856026</v>
      </c>
      <c r="E86" s="22">
        <f>INDEX(Data[],MATCH($A86,Data[Dist],0),MATCH(E$4,Data[#Headers],0))</f>
        <v>1277155</v>
      </c>
      <c r="F86" s="22">
        <f>INDEX(Data[],MATCH($A86,Data[Dist],0),MATCH(F$4,Data[#Headers],0))</f>
        <v>1087538</v>
      </c>
      <c r="G86" s="22">
        <f>INDEX(Data[],MATCH($A86,Data[Dist],0),MATCH(G$4,Data[#Headers],0))</f>
        <v>5089658</v>
      </c>
      <c r="H86" s="22">
        <f>INDEX(Data[],MATCH($A86,Data[Dist],0),MATCH(H$4,Data[#Headers],0))</f>
        <v>83136458</v>
      </c>
      <c r="I86" s="22">
        <f>INDEX(Data[],MATCH($A86,Data[Dist],0),MATCH(I$4,Data[#Headers],0))</f>
        <v>101763394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158264</v>
      </c>
      <c r="D87" s="22">
        <f>INDEX(Data[],MATCH($A87,Data[Dist],0),MATCH(D$4,Data[#Headers],0))</f>
        <v>729569</v>
      </c>
      <c r="E87" s="22">
        <f>INDEX(Data[],MATCH($A87,Data[Dist],0),MATCH(E$4,Data[#Headers],0))</f>
        <v>81673</v>
      </c>
      <c r="F87" s="22">
        <f>INDEX(Data[],MATCH($A87,Data[Dist],0),MATCH(F$4,Data[#Headers],0))</f>
        <v>80505</v>
      </c>
      <c r="G87" s="22">
        <f>INDEX(Data[],MATCH($A87,Data[Dist],0),MATCH(G$4,Data[#Headers],0))</f>
        <v>407923</v>
      </c>
      <c r="H87" s="22">
        <f>INDEX(Data[],MATCH($A87,Data[Dist],0),MATCH(H$4,Data[#Headers],0))</f>
        <v>5981797</v>
      </c>
      <c r="I87" s="22">
        <f>INDEX(Data[],MATCH($A87,Data[Dist],0),MATCH(I$4,Data[#Headers],0))</f>
        <v>7439731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283938</v>
      </c>
      <c r="D88" s="22">
        <f>INDEX(Data[],MATCH($A88,Data[Dist],0),MATCH(D$4,Data[#Headers],0))</f>
        <v>974060</v>
      </c>
      <c r="E88" s="22">
        <f>INDEX(Data[],MATCH($A88,Data[Dist],0),MATCH(E$4,Data[#Headers],0))</f>
        <v>110415</v>
      </c>
      <c r="F88" s="22">
        <f>INDEX(Data[],MATCH($A88,Data[Dist],0),MATCH(F$4,Data[#Headers],0))</f>
        <v>113629</v>
      </c>
      <c r="G88" s="22">
        <f>INDEX(Data[],MATCH($A88,Data[Dist],0),MATCH(G$4,Data[#Headers],0))</f>
        <v>547878</v>
      </c>
      <c r="H88" s="22">
        <f>INDEX(Data[],MATCH($A88,Data[Dist],0),MATCH(H$4,Data[#Headers],0))</f>
        <v>6740405</v>
      </c>
      <c r="I88" s="22">
        <f>INDEX(Data[],MATCH($A88,Data[Dist],0),MATCH(I$4,Data[#Headers],0))</f>
        <v>8770325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35969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1094303</v>
      </c>
      <c r="I89" s="22">
        <f>INDEX(Data[],MATCH($A89,Data[Dist],0),MATCH(I$4,Data[#Headers],0))</f>
        <v>1346928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377677</v>
      </c>
      <c r="D90" s="22">
        <f>INDEX(Data[],MATCH($A90,Data[Dist],0),MATCH(D$4,Data[#Headers],0))</f>
        <v>1236373</v>
      </c>
      <c r="E90" s="22">
        <f>INDEX(Data[],MATCH($A90,Data[Dist],0),MATCH(E$4,Data[#Headers],0))</f>
        <v>183215</v>
      </c>
      <c r="F90" s="22">
        <f>INDEX(Data[],MATCH($A90,Data[Dist],0),MATCH(F$4,Data[#Headers],0))</f>
        <v>150615</v>
      </c>
      <c r="G90" s="22">
        <f>INDEX(Data[],MATCH($A90,Data[Dist],0),MATCH(G$4,Data[#Headers],0))</f>
        <v>739390</v>
      </c>
      <c r="H90" s="22">
        <f>INDEX(Data[],MATCH($A90,Data[Dist],0),MATCH(H$4,Data[#Headers],0))</f>
        <v>13780512</v>
      </c>
      <c r="I90" s="22">
        <f>INDEX(Data[],MATCH($A90,Data[Dist],0),MATCH(I$4,Data[#Headers],0))</f>
        <v>16467782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194161</v>
      </c>
      <c r="D91" s="22">
        <f>INDEX(Data[],MATCH($A91,Data[Dist],0),MATCH(D$4,Data[#Headers],0))</f>
        <v>528017</v>
      </c>
      <c r="E91" s="22">
        <f>INDEX(Data[],MATCH($A91,Data[Dist],0),MATCH(E$4,Data[#Headers],0))</f>
        <v>50495</v>
      </c>
      <c r="F91" s="22">
        <f>INDEX(Data[],MATCH($A91,Data[Dist],0),MATCH(F$4,Data[#Headers],0))</f>
        <v>50783</v>
      </c>
      <c r="G91" s="22">
        <f>INDEX(Data[],MATCH($A91,Data[Dist],0),MATCH(G$4,Data[#Headers],0))</f>
        <v>295348</v>
      </c>
      <c r="H91" s="22">
        <f>INDEX(Data[],MATCH($A91,Data[Dist],0),MATCH(H$4,Data[#Headers],0))</f>
        <v>4665908</v>
      </c>
      <c r="I91" s="22">
        <f>INDEX(Data[],MATCH($A91,Data[Dist],0),MATCH(I$4,Data[#Headers],0))</f>
        <v>5784712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4388236</v>
      </c>
      <c r="D92" s="22">
        <f>INDEX(Data[],MATCH($A92,Data[Dist],0),MATCH(D$4,Data[#Headers],0))</f>
        <v>20663518</v>
      </c>
      <c r="E92" s="22">
        <f>INDEX(Data[],MATCH($A92,Data[Dist],0),MATCH(E$4,Data[#Headers],0))</f>
        <v>3079377</v>
      </c>
      <c r="F92" s="22">
        <f>INDEX(Data[],MATCH($A92,Data[Dist],0),MATCH(F$4,Data[#Headers],0))</f>
        <v>2563865</v>
      </c>
      <c r="G92" s="22">
        <f>INDEX(Data[],MATCH($A92,Data[Dist],0),MATCH(G$4,Data[#Headers],0))</f>
        <v>11115298</v>
      </c>
      <c r="H92" s="22">
        <f>INDEX(Data[],MATCH($A92,Data[Dist],0),MATCH(H$4,Data[#Headers],0))</f>
        <v>205760431</v>
      </c>
      <c r="I92" s="22">
        <f>INDEX(Data[],MATCH($A92,Data[Dist],0),MATCH(I$4,Data[#Headers],0))</f>
        <v>247570725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39567</v>
      </c>
      <c r="D93" s="22">
        <f>INDEX(Data[],MATCH($A93,Data[Dist],0),MATCH(D$4,Data[#Headers],0))</f>
        <v>90090</v>
      </c>
      <c r="E93" s="22">
        <f>INDEX(Data[],MATCH($A93,Data[Dist],0),MATCH(E$4,Data[#Headers],0))</f>
        <v>11112</v>
      </c>
      <c r="F93" s="22">
        <f>INDEX(Data[],MATCH($A93,Data[Dist],0),MATCH(F$4,Data[#Headers],0))</f>
        <v>10091</v>
      </c>
      <c r="G93" s="22">
        <f>INDEX(Data[],MATCH($A93,Data[Dist],0),MATCH(G$4,Data[#Headers],0))</f>
        <v>35605</v>
      </c>
      <c r="H93" s="22">
        <f>INDEX(Data[],MATCH($A93,Data[Dist],0),MATCH(H$4,Data[#Headers],0))</f>
        <v>579050</v>
      </c>
      <c r="I93" s="22">
        <f>INDEX(Data[],MATCH($A93,Data[Dist],0),MATCH(I$4,Data[#Headers],0))</f>
        <v>765515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176249</v>
      </c>
      <c r="D94" s="22">
        <f>INDEX(Data[],MATCH($A94,Data[Dist],0),MATCH(D$4,Data[#Headers],0))</f>
        <v>558201</v>
      </c>
      <c r="E94" s="22">
        <f>INDEX(Data[],MATCH($A94,Data[Dist],0),MATCH(E$4,Data[#Headers],0))</f>
        <v>56648</v>
      </c>
      <c r="F94" s="22">
        <f>INDEX(Data[],MATCH($A94,Data[Dist],0),MATCH(F$4,Data[#Headers],0))</f>
        <v>59167</v>
      </c>
      <c r="G94" s="22">
        <f>INDEX(Data[],MATCH($A94,Data[Dist],0),MATCH(G$4,Data[#Headers],0))</f>
        <v>303237</v>
      </c>
      <c r="H94" s="22">
        <f>INDEX(Data[],MATCH($A94,Data[Dist],0),MATCH(H$4,Data[#Headers],0))</f>
        <v>4638607</v>
      </c>
      <c r="I94" s="22">
        <f>INDEX(Data[],MATCH($A94,Data[Dist],0),MATCH(I$4,Data[#Headers],0))</f>
        <v>5792109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2255412</v>
      </c>
      <c r="D95" s="22">
        <f>INDEX(Data[],MATCH($A95,Data[Dist],0),MATCH(D$4,Data[#Headers],0))</f>
        <v>6598581</v>
      </c>
      <c r="E95" s="22">
        <f>INDEX(Data[],MATCH($A95,Data[Dist],0),MATCH(E$4,Data[#Headers],0))</f>
        <v>791586</v>
      </c>
      <c r="F95" s="22">
        <f>INDEX(Data[],MATCH($A95,Data[Dist],0),MATCH(F$4,Data[#Headers],0))</f>
        <v>780555</v>
      </c>
      <c r="G95" s="22">
        <f>INDEX(Data[],MATCH($A95,Data[Dist],0),MATCH(G$4,Data[#Headers],0))</f>
        <v>3598842</v>
      </c>
      <c r="H95" s="22">
        <f>INDEX(Data[],MATCH($A95,Data[Dist],0),MATCH(H$4,Data[#Headers],0))</f>
        <v>55881374</v>
      </c>
      <c r="I95" s="22">
        <f>INDEX(Data[],MATCH($A95,Data[Dist],0),MATCH(I$4,Data[#Headers],0))</f>
        <v>69906350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100714</v>
      </c>
      <c r="D96" s="22">
        <f>INDEX(Data[],MATCH($A96,Data[Dist],0),MATCH(D$4,Data[#Headers],0))</f>
        <v>245866</v>
      </c>
      <c r="E96" s="22">
        <f>INDEX(Data[],MATCH($A96,Data[Dist],0),MATCH(E$4,Data[#Headers],0))</f>
        <v>27740</v>
      </c>
      <c r="F96" s="22">
        <f>INDEX(Data[],MATCH($A96,Data[Dist],0),MATCH(F$4,Data[#Headers],0))</f>
        <v>25776</v>
      </c>
      <c r="G96" s="22">
        <f>INDEX(Data[],MATCH($A96,Data[Dist],0),MATCH(G$4,Data[#Headers],0))</f>
        <v>132123</v>
      </c>
      <c r="H96" s="22">
        <f>INDEX(Data[],MATCH($A96,Data[Dist],0),MATCH(H$4,Data[#Headers],0))</f>
        <v>1858531</v>
      </c>
      <c r="I96" s="22">
        <f>INDEX(Data[],MATCH($A96,Data[Dist],0),MATCH(I$4,Data[#Headers],0))</f>
        <v>2390750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71938</v>
      </c>
      <c r="D97" s="22">
        <f>INDEX(Data[],MATCH($A97,Data[Dist],0),MATCH(D$4,Data[#Headers],0))</f>
        <v>272186</v>
      </c>
      <c r="E97" s="22">
        <f>INDEX(Data[],MATCH($A97,Data[Dist],0),MATCH(E$4,Data[#Headers],0))</f>
        <v>31012</v>
      </c>
      <c r="F97" s="22">
        <f>INDEX(Data[],MATCH($A97,Data[Dist],0),MATCH(F$4,Data[#Headers],0))</f>
        <v>32521</v>
      </c>
      <c r="G97" s="22">
        <f>INDEX(Data[],MATCH($A97,Data[Dist],0),MATCH(G$4,Data[#Headers],0))</f>
        <v>136799</v>
      </c>
      <c r="H97" s="22">
        <f>INDEX(Data[],MATCH($A97,Data[Dist],0),MATCH(H$4,Data[#Headers],0))</f>
        <v>1650958</v>
      </c>
      <c r="I97" s="22">
        <f>INDEX(Data[],MATCH($A97,Data[Dist],0),MATCH(I$4,Data[#Headers],0))</f>
        <v>2195414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136683</v>
      </c>
      <c r="D98" s="22">
        <f>INDEX(Data[],MATCH($A98,Data[Dist],0),MATCH(D$4,Data[#Headers],0))</f>
        <v>394886</v>
      </c>
      <c r="E98" s="22">
        <f>INDEX(Data[],MATCH($A98,Data[Dist],0),MATCH(E$4,Data[#Headers],0))</f>
        <v>36459</v>
      </c>
      <c r="F98" s="22">
        <f>INDEX(Data[],MATCH($A98,Data[Dist],0),MATCH(F$4,Data[#Headers],0))</f>
        <v>44679</v>
      </c>
      <c r="G98" s="22">
        <f>INDEX(Data[],MATCH($A98,Data[Dist],0),MATCH(G$4,Data[#Headers],0))</f>
        <v>189978</v>
      </c>
      <c r="H98" s="22">
        <f>INDEX(Data[],MATCH($A98,Data[Dist],0),MATCH(H$4,Data[#Headers],0))</f>
        <v>2382049</v>
      </c>
      <c r="I98" s="22">
        <f>INDEX(Data[],MATCH($A98,Data[Dist],0),MATCH(I$4,Data[#Headers],0))</f>
        <v>3184734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197831</v>
      </c>
      <c r="D99" s="22">
        <f>INDEX(Data[],MATCH($A99,Data[Dist],0),MATCH(D$4,Data[#Headers],0))</f>
        <v>646390</v>
      </c>
      <c r="E99" s="22">
        <f>INDEX(Data[],MATCH($A99,Data[Dist],0),MATCH(E$4,Data[#Headers],0))</f>
        <v>68826</v>
      </c>
      <c r="F99" s="22">
        <f>INDEX(Data[],MATCH($A99,Data[Dist],0),MATCH(F$4,Data[#Headers],0))</f>
        <v>57165</v>
      </c>
      <c r="G99" s="22">
        <f>INDEX(Data[],MATCH($A99,Data[Dist],0),MATCH(G$4,Data[#Headers],0))</f>
        <v>353026</v>
      </c>
      <c r="H99" s="22">
        <f>INDEX(Data[],MATCH($A99,Data[Dist],0),MATCH(H$4,Data[#Headers],0))</f>
        <v>4892483</v>
      </c>
      <c r="I99" s="22">
        <f>INDEX(Data[],MATCH($A99,Data[Dist],0),MATCH(I$4,Data[#Headers],0))</f>
        <v>6215721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230203</v>
      </c>
      <c r="D100" s="22">
        <f>INDEX(Data[],MATCH($A100,Data[Dist],0),MATCH(D$4,Data[#Headers],0))</f>
        <v>601063</v>
      </c>
      <c r="E100" s="22">
        <f>INDEX(Data[],MATCH($A100,Data[Dist],0),MATCH(E$4,Data[#Headers],0))</f>
        <v>74128</v>
      </c>
      <c r="F100" s="22">
        <f>INDEX(Data[],MATCH($A100,Data[Dist],0),MATCH(F$4,Data[#Headers],0))</f>
        <v>65940</v>
      </c>
      <c r="G100" s="22">
        <f>INDEX(Data[],MATCH($A100,Data[Dist],0),MATCH(G$4,Data[#Headers],0))</f>
        <v>330430</v>
      </c>
      <c r="H100" s="22">
        <f>INDEX(Data[],MATCH($A100,Data[Dist],0),MATCH(H$4,Data[#Headers],0))</f>
        <v>5604210</v>
      </c>
      <c r="I100" s="22">
        <f>INDEX(Data[],MATCH($A100,Data[Dist],0),MATCH(I$4,Data[#Headers],0))</f>
        <v>6905974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151070</v>
      </c>
      <c r="D101" s="22">
        <f>INDEX(Data[],MATCH($A101,Data[Dist],0),MATCH(D$4,Data[#Headers],0))</f>
        <v>377735</v>
      </c>
      <c r="E101" s="22">
        <f>INDEX(Data[],MATCH($A101,Data[Dist],0),MATCH(E$4,Data[#Headers],0))</f>
        <v>43606</v>
      </c>
      <c r="F101" s="22">
        <f>INDEX(Data[],MATCH($A101,Data[Dist],0),MATCH(F$4,Data[#Headers],0))</f>
        <v>38493</v>
      </c>
      <c r="G101" s="22">
        <f>INDEX(Data[],MATCH($A101,Data[Dist],0),MATCH(G$4,Data[#Headers],0))</f>
        <v>201448</v>
      </c>
      <c r="H101" s="22">
        <f>INDEX(Data[],MATCH($A101,Data[Dist],0),MATCH(H$4,Data[#Headers],0))</f>
        <v>2949147</v>
      </c>
      <c r="I101" s="22">
        <f>INDEX(Data[],MATCH($A101,Data[Dist],0),MATCH(I$4,Data[#Headers],0))</f>
        <v>3761499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89923</v>
      </c>
      <c r="D102" s="22">
        <f>INDEX(Data[],MATCH($A102,Data[Dist],0),MATCH(D$4,Data[#Headers],0))</f>
        <v>375748</v>
      </c>
      <c r="E102" s="22">
        <f>INDEX(Data[],MATCH($A102,Data[Dist],0),MATCH(E$4,Data[#Headers],0))</f>
        <v>39978</v>
      </c>
      <c r="F102" s="22">
        <f>INDEX(Data[],MATCH($A102,Data[Dist],0),MATCH(F$4,Data[#Headers],0))</f>
        <v>37947</v>
      </c>
      <c r="G102" s="22">
        <f>INDEX(Data[],MATCH($A102,Data[Dist],0),MATCH(G$4,Data[#Headers],0))</f>
        <v>193175</v>
      </c>
      <c r="H102" s="22">
        <f>INDEX(Data[],MATCH($A102,Data[Dist],0),MATCH(H$4,Data[#Headers],0))</f>
        <v>3014170</v>
      </c>
      <c r="I102" s="22">
        <f>INDEX(Data[],MATCH($A102,Data[Dist],0),MATCH(I$4,Data[#Headers],0))</f>
        <v>3750941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129489</v>
      </c>
      <c r="D103" s="22">
        <f>INDEX(Data[],MATCH($A103,Data[Dist],0),MATCH(D$4,Data[#Headers],0))</f>
        <v>356526</v>
      </c>
      <c r="E103" s="22">
        <f>INDEX(Data[],MATCH($A103,Data[Dist],0),MATCH(E$4,Data[#Headers],0))</f>
        <v>36668</v>
      </c>
      <c r="F103" s="22">
        <f>INDEX(Data[],MATCH($A103,Data[Dist],0),MATCH(F$4,Data[#Headers],0))</f>
        <v>39169</v>
      </c>
      <c r="G103" s="22">
        <f>INDEX(Data[],MATCH($A103,Data[Dist],0),MATCH(G$4,Data[#Headers],0))</f>
        <v>196966</v>
      </c>
      <c r="H103" s="22">
        <f>INDEX(Data[],MATCH($A103,Data[Dist],0),MATCH(H$4,Data[#Headers],0))</f>
        <v>2936910</v>
      </c>
      <c r="I103" s="22">
        <f>INDEX(Data[],MATCH($A103,Data[Dist],0),MATCH(I$4,Data[#Headers],0))</f>
        <v>3695728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97117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2855115</v>
      </c>
      <c r="I104" s="22">
        <f>INDEX(Data[],MATCH($A104,Data[Dist],0),MATCH(I$4,Data[#Headers],0))</f>
        <v>3523371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82730</v>
      </c>
      <c r="D105" s="22">
        <f>INDEX(Data[],MATCH($A105,Data[Dist],0),MATCH(D$4,Data[#Headers],0))</f>
        <v>223497</v>
      </c>
      <c r="E105" s="22">
        <f>INDEX(Data[],MATCH($A105,Data[Dist],0),MATCH(E$4,Data[#Headers],0))</f>
        <v>25927</v>
      </c>
      <c r="F105" s="22">
        <f>INDEX(Data[],MATCH($A105,Data[Dist],0),MATCH(F$4,Data[#Headers],0))</f>
        <v>21481</v>
      </c>
      <c r="G105" s="22">
        <f>INDEX(Data[],MATCH($A105,Data[Dist],0),MATCH(G$4,Data[#Headers],0))</f>
        <v>112401</v>
      </c>
      <c r="H105" s="22">
        <f>INDEX(Data[],MATCH($A105,Data[Dist],0),MATCH(H$4,Data[#Headers],0))</f>
        <v>1138315</v>
      </c>
      <c r="I105" s="22">
        <f>INDEX(Data[],MATCH($A105,Data[Dist],0),MATCH(I$4,Data[#Headers],0))</f>
        <v>1604351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93520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1696614</v>
      </c>
      <c r="I106" s="22">
        <f>INDEX(Data[],MATCH($A106,Data[Dist],0),MATCH(I$4,Data[#Headers],0))</f>
        <v>2268952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115101</v>
      </c>
      <c r="D107" s="22">
        <f>INDEX(Data[],MATCH($A107,Data[Dist],0),MATCH(D$4,Data[#Headers],0))</f>
        <v>274684</v>
      </c>
      <c r="E107" s="22">
        <f>INDEX(Data[],MATCH($A107,Data[Dist],0),MATCH(E$4,Data[#Headers],0))</f>
        <v>32943</v>
      </c>
      <c r="F107" s="22">
        <f>INDEX(Data[],MATCH($A107,Data[Dist],0),MATCH(F$4,Data[#Headers],0))</f>
        <v>30669</v>
      </c>
      <c r="G107" s="22">
        <f>INDEX(Data[],MATCH($A107,Data[Dist],0),MATCH(G$4,Data[#Headers],0))</f>
        <v>141469</v>
      </c>
      <c r="H107" s="22">
        <f>INDEX(Data[],MATCH($A107,Data[Dist],0),MATCH(H$4,Data[#Headers],0))</f>
        <v>1909070</v>
      </c>
      <c r="I107" s="22">
        <f>INDEX(Data[],MATCH($A107,Data[Dist],0),MATCH(I$4,Data[#Headers],0))</f>
        <v>2503936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122295</v>
      </c>
      <c r="D108" s="22">
        <f>INDEX(Data[],MATCH($A108,Data[Dist],0),MATCH(D$4,Data[#Headers],0))</f>
        <v>383371</v>
      </c>
      <c r="E108" s="22">
        <f>INDEX(Data[],MATCH($A108,Data[Dist],0),MATCH(E$4,Data[#Headers],0))</f>
        <v>44463</v>
      </c>
      <c r="F108" s="22">
        <f>INDEX(Data[],MATCH($A108,Data[Dist],0),MATCH(F$4,Data[#Headers],0))</f>
        <v>44584</v>
      </c>
      <c r="G108" s="22">
        <f>INDEX(Data[],MATCH($A108,Data[Dist],0),MATCH(G$4,Data[#Headers],0))</f>
        <v>205966</v>
      </c>
      <c r="H108" s="22">
        <f>INDEX(Data[],MATCH($A108,Data[Dist],0),MATCH(H$4,Data[#Headers],0))</f>
        <v>3201502</v>
      </c>
      <c r="I108" s="22">
        <f>INDEX(Data[],MATCH($A108,Data[Dist],0),MATCH(I$4,Data[#Headers],0))</f>
        <v>4002181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147474</v>
      </c>
      <c r="D109" s="22">
        <f>INDEX(Data[],MATCH($A109,Data[Dist],0),MATCH(D$4,Data[#Headers],0))</f>
        <v>412957</v>
      </c>
      <c r="E109" s="22">
        <f>INDEX(Data[],MATCH($A109,Data[Dist],0),MATCH(E$4,Data[#Headers],0))</f>
        <v>49550</v>
      </c>
      <c r="F109" s="22">
        <f>INDEX(Data[],MATCH($A109,Data[Dist],0),MATCH(F$4,Data[#Headers],0))</f>
        <v>48215</v>
      </c>
      <c r="G109" s="22">
        <f>INDEX(Data[],MATCH($A109,Data[Dist],0),MATCH(G$4,Data[#Headers],0))</f>
        <v>232214</v>
      </c>
      <c r="H109" s="22">
        <f>INDEX(Data[],MATCH($A109,Data[Dist],0),MATCH(H$4,Data[#Headers],0))</f>
        <v>2765033</v>
      </c>
      <c r="I109" s="22">
        <f>INDEX(Data[],MATCH($A109,Data[Dist],0),MATCH(I$4,Data[#Headers],0))</f>
        <v>3655443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53954</v>
      </c>
      <c r="D110" s="22">
        <f>INDEX(Data[],MATCH($A110,Data[Dist],0),MATCH(D$4,Data[#Headers],0))</f>
        <v>340664</v>
      </c>
      <c r="E110" s="22">
        <f>INDEX(Data[],MATCH($A110,Data[Dist],0),MATCH(E$4,Data[#Headers],0))</f>
        <v>37154</v>
      </c>
      <c r="F110" s="22">
        <f>INDEX(Data[],MATCH($A110,Data[Dist],0),MATCH(F$4,Data[#Headers],0))</f>
        <v>36085</v>
      </c>
      <c r="G110" s="22">
        <f>INDEX(Data[],MATCH($A110,Data[Dist],0),MATCH(G$4,Data[#Headers],0))</f>
        <v>165110</v>
      </c>
      <c r="H110" s="22">
        <f>INDEX(Data[],MATCH($A110,Data[Dist],0),MATCH(H$4,Data[#Headers],0))</f>
        <v>2319706</v>
      </c>
      <c r="I110" s="22">
        <f>INDEX(Data[],MATCH($A110,Data[Dist],0),MATCH(I$4,Data[#Headers],0))</f>
        <v>2952673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35969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974883</v>
      </c>
      <c r="I111" s="22">
        <f>INDEX(Data[],MATCH($A111,Data[Dist],0),MATCH(I$4,Data[#Headers],0))</f>
        <v>1245492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212218</v>
      </c>
      <c r="D112" s="22">
        <f>INDEX(Data[],MATCH($A112,Data[Dist],0),MATCH(D$4,Data[#Headers],0))</f>
        <v>780586</v>
      </c>
      <c r="E112" s="22">
        <f>INDEX(Data[],MATCH($A112,Data[Dist],0),MATCH(E$4,Data[#Headers],0))</f>
        <v>99244</v>
      </c>
      <c r="F112" s="22">
        <f>INDEX(Data[],MATCH($A112,Data[Dist],0),MATCH(F$4,Data[#Headers],0))</f>
        <v>87486</v>
      </c>
      <c r="G112" s="22">
        <f>INDEX(Data[],MATCH($A112,Data[Dist],0),MATCH(G$4,Data[#Headers],0))</f>
        <v>434737</v>
      </c>
      <c r="H112" s="22">
        <f>INDEX(Data[],MATCH($A112,Data[Dist],0),MATCH(H$4,Data[#Headers],0))</f>
        <v>6608414</v>
      </c>
      <c r="I112" s="22">
        <f>INDEX(Data[],MATCH($A112,Data[Dist],0),MATCH(I$4,Data[#Headers],0))</f>
        <v>8222685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50357</v>
      </c>
      <c r="D113" s="22">
        <f>INDEX(Data[],MATCH($A113,Data[Dist],0),MATCH(D$4,Data[#Headers],0))</f>
        <v>288737</v>
      </c>
      <c r="E113" s="22">
        <f>INDEX(Data[],MATCH($A113,Data[Dist],0),MATCH(E$4,Data[#Headers],0))</f>
        <v>29396</v>
      </c>
      <c r="F113" s="22">
        <f>INDEX(Data[],MATCH($A113,Data[Dist],0),MATCH(F$4,Data[#Headers],0))</f>
        <v>30517</v>
      </c>
      <c r="G113" s="22">
        <f>INDEX(Data[],MATCH($A113,Data[Dist],0),MATCH(G$4,Data[#Headers],0))</f>
        <v>142117</v>
      </c>
      <c r="H113" s="22">
        <f>INDEX(Data[],MATCH($A113,Data[Dist],0),MATCH(H$4,Data[#Headers],0))</f>
        <v>1738130</v>
      </c>
      <c r="I113" s="22">
        <f>INDEX(Data[],MATCH($A113,Data[Dist],0),MATCH(I$4,Data[#Headers],0))</f>
        <v>2279254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244518</v>
      </c>
      <c r="D114" s="22">
        <f>INDEX(Data[],MATCH($A114,Data[Dist],0),MATCH(D$4,Data[#Headers],0))</f>
        <v>1020824</v>
      </c>
      <c r="E114" s="22">
        <f>INDEX(Data[],MATCH($A114,Data[Dist],0),MATCH(E$4,Data[#Headers],0))</f>
        <v>117798</v>
      </c>
      <c r="F114" s="22">
        <f>INDEX(Data[],MATCH($A114,Data[Dist],0),MATCH(F$4,Data[#Headers],0))</f>
        <v>107381</v>
      </c>
      <c r="G114" s="22">
        <f>INDEX(Data[],MATCH($A114,Data[Dist],0),MATCH(G$4,Data[#Headers],0))</f>
        <v>559454</v>
      </c>
      <c r="H114" s="22">
        <f>INDEX(Data[],MATCH($A114,Data[Dist],0),MATCH(H$4,Data[#Headers],0))</f>
        <v>7283085</v>
      </c>
      <c r="I114" s="22">
        <f>INDEX(Data[],MATCH($A114,Data[Dist],0),MATCH(I$4,Data[#Headers],0))</f>
        <v>9333060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219412</v>
      </c>
      <c r="D115" s="22">
        <f>INDEX(Data[],MATCH($A115,Data[Dist],0),MATCH(D$4,Data[#Headers],0))</f>
        <v>684280</v>
      </c>
      <c r="E115" s="22">
        <f>INDEX(Data[],MATCH($A115,Data[Dist],0),MATCH(E$4,Data[#Headers],0))</f>
        <v>77459</v>
      </c>
      <c r="F115" s="22">
        <f>INDEX(Data[],MATCH($A115,Data[Dist],0),MATCH(F$4,Data[#Headers],0))</f>
        <v>79530</v>
      </c>
      <c r="G115" s="22">
        <f>INDEX(Data[],MATCH($A115,Data[Dist],0),MATCH(G$4,Data[#Headers],0))</f>
        <v>365092</v>
      </c>
      <c r="H115" s="22">
        <f>INDEX(Data[],MATCH($A115,Data[Dist],0),MATCH(H$4,Data[#Headers],0))</f>
        <v>5056325</v>
      </c>
      <c r="I115" s="22">
        <f>INDEX(Data[],MATCH($A115,Data[Dist],0),MATCH(I$4,Data[#Headers],0))</f>
        <v>6482098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726577</v>
      </c>
      <c r="D116" s="22">
        <f>INDEX(Data[],MATCH($A116,Data[Dist],0),MATCH(D$4,Data[#Headers],0))</f>
        <v>2322421</v>
      </c>
      <c r="E116" s="22">
        <f>INDEX(Data[],MATCH($A116,Data[Dist],0),MATCH(E$4,Data[#Headers],0))</f>
        <v>305249</v>
      </c>
      <c r="F116" s="22">
        <f>INDEX(Data[],MATCH($A116,Data[Dist],0),MATCH(F$4,Data[#Headers],0))</f>
        <v>269789</v>
      </c>
      <c r="G116" s="22">
        <f>INDEX(Data[],MATCH($A116,Data[Dist],0),MATCH(G$4,Data[#Headers],0))</f>
        <v>1282693</v>
      </c>
      <c r="H116" s="22">
        <f>INDEX(Data[],MATCH($A116,Data[Dist],0),MATCH(H$4,Data[#Headers],0))</f>
        <v>22087657</v>
      </c>
      <c r="I116" s="22">
        <f>INDEX(Data[],MATCH($A116,Data[Dist],0),MATCH(I$4,Data[#Headers],0))</f>
        <v>26994386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212218</v>
      </c>
      <c r="D117" s="22">
        <f>INDEX(Data[],MATCH($A117,Data[Dist],0),MATCH(D$4,Data[#Headers],0))</f>
        <v>1234869</v>
      </c>
      <c r="E117" s="22">
        <f>INDEX(Data[],MATCH($A117,Data[Dist],0),MATCH(E$4,Data[#Headers],0))</f>
        <v>154216</v>
      </c>
      <c r="F117" s="22">
        <f>INDEX(Data[],MATCH($A117,Data[Dist],0),MATCH(F$4,Data[#Headers],0))</f>
        <v>138495</v>
      </c>
      <c r="G117" s="22">
        <f>INDEX(Data[],MATCH($A117,Data[Dist],0),MATCH(G$4,Data[#Headers],0))</f>
        <v>725891</v>
      </c>
      <c r="H117" s="22">
        <f>INDEX(Data[],MATCH($A117,Data[Dist],0),MATCH(H$4,Data[#Headers],0))</f>
        <v>10861537</v>
      </c>
      <c r="I117" s="22">
        <f>INDEX(Data[],MATCH($A117,Data[Dist],0),MATCH(I$4,Data[#Headers],0))</f>
        <v>13327226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107907</v>
      </c>
      <c r="D118" s="22">
        <f>INDEX(Data[],MATCH($A118,Data[Dist],0),MATCH(D$4,Data[#Headers],0))</f>
        <v>281588</v>
      </c>
      <c r="E118" s="22">
        <f>INDEX(Data[],MATCH($A118,Data[Dist],0),MATCH(E$4,Data[#Headers],0))</f>
        <v>36186</v>
      </c>
      <c r="F118" s="22">
        <f>INDEX(Data[],MATCH($A118,Data[Dist],0),MATCH(F$4,Data[#Headers],0))</f>
        <v>27549</v>
      </c>
      <c r="G118" s="22">
        <f>INDEX(Data[],MATCH($A118,Data[Dist],0),MATCH(G$4,Data[#Headers],0))</f>
        <v>158207</v>
      </c>
      <c r="H118" s="22">
        <f>INDEX(Data[],MATCH($A118,Data[Dist],0),MATCH(H$4,Data[#Headers],0))</f>
        <v>2326809</v>
      </c>
      <c r="I118" s="22">
        <f>INDEX(Data[],MATCH($A118,Data[Dist],0),MATCH(I$4,Data[#Headers],0))</f>
        <v>2938246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122295</v>
      </c>
      <c r="D119" s="22">
        <f>INDEX(Data[],MATCH($A119,Data[Dist],0),MATCH(D$4,Data[#Headers],0))</f>
        <v>312619</v>
      </c>
      <c r="E119" s="22">
        <f>INDEX(Data[],MATCH($A119,Data[Dist],0),MATCH(E$4,Data[#Headers],0))</f>
        <v>34197</v>
      </c>
      <c r="F119" s="22">
        <f>INDEX(Data[],MATCH($A119,Data[Dist],0),MATCH(F$4,Data[#Headers],0))</f>
        <v>32666</v>
      </c>
      <c r="G119" s="22">
        <f>INDEX(Data[],MATCH($A119,Data[Dist],0),MATCH(G$4,Data[#Headers],0))</f>
        <v>163365</v>
      </c>
      <c r="H119" s="22">
        <f>INDEX(Data[],MATCH($A119,Data[Dist],0),MATCH(H$4,Data[#Headers],0))</f>
        <v>1939685</v>
      </c>
      <c r="I119" s="22">
        <f>INDEX(Data[],MATCH($A119,Data[Dist],0),MATCH(I$4,Data[#Headers],0))</f>
        <v>2604827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248188</v>
      </c>
      <c r="D120" s="22">
        <f>INDEX(Data[],MATCH($A120,Data[Dist],0),MATCH(D$4,Data[#Headers],0))</f>
        <v>550124</v>
      </c>
      <c r="E120" s="22">
        <f>INDEX(Data[],MATCH($A120,Data[Dist],0),MATCH(E$4,Data[#Headers],0))</f>
        <v>63571</v>
      </c>
      <c r="F120" s="22">
        <f>INDEX(Data[],MATCH($A120,Data[Dist],0),MATCH(F$4,Data[#Headers],0))</f>
        <v>61138</v>
      </c>
      <c r="G120" s="22">
        <f>INDEX(Data[],MATCH($A120,Data[Dist],0),MATCH(G$4,Data[#Headers],0))</f>
        <v>292870</v>
      </c>
      <c r="H120" s="22">
        <f>INDEX(Data[],MATCH($A120,Data[Dist],0),MATCH(H$4,Data[#Headers],0))</f>
        <v>2533860</v>
      </c>
      <c r="I120" s="22">
        <f>INDEX(Data[],MATCH($A120,Data[Dist],0),MATCH(I$4,Data[#Headers],0))</f>
        <v>3749751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61148</v>
      </c>
      <c r="D121" s="22">
        <f>INDEX(Data[],MATCH($A121,Data[Dist],0),MATCH(D$4,Data[#Headers],0))</f>
        <v>273972</v>
      </c>
      <c r="E121" s="22">
        <f>INDEX(Data[],MATCH($A121,Data[Dist],0),MATCH(E$4,Data[#Headers],0))</f>
        <v>31191</v>
      </c>
      <c r="F121" s="22">
        <f>INDEX(Data[],MATCH($A121,Data[Dist],0),MATCH(F$4,Data[#Headers],0))</f>
        <v>30494</v>
      </c>
      <c r="G121" s="22">
        <f>INDEX(Data[],MATCH($A121,Data[Dist],0),MATCH(G$4,Data[#Headers],0))</f>
        <v>148355</v>
      </c>
      <c r="H121" s="22">
        <f>INDEX(Data[],MATCH($A121,Data[Dist],0),MATCH(H$4,Data[#Headers],0))</f>
        <v>1726002</v>
      </c>
      <c r="I121" s="22">
        <f>INDEX(Data[],MATCH($A121,Data[Dist],0),MATCH(I$4,Data[#Headers],0))</f>
        <v>2271162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215815</v>
      </c>
      <c r="D122" s="22">
        <f>INDEX(Data[],MATCH($A122,Data[Dist],0),MATCH(D$4,Data[#Headers],0))</f>
        <v>903971</v>
      </c>
      <c r="E122" s="22">
        <f>INDEX(Data[],MATCH($A122,Data[Dist],0),MATCH(E$4,Data[#Headers],0))</f>
        <v>88880</v>
      </c>
      <c r="F122" s="22">
        <f>INDEX(Data[],MATCH($A122,Data[Dist],0),MATCH(F$4,Data[#Headers],0))</f>
        <v>100354</v>
      </c>
      <c r="G122" s="22">
        <f>INDEX(Data[],MATCH($A122,Data[Dist],0),MATCH(G$4,Data[#Headers],0))</f>
        <v>535473</v>
      </c>
      <c r="H122" s="22">
        <f>INDEX(Data[],MATCH($A122,Data[Dist],0),MATCH(H$4,Data[#Headers],0))</f>
        <v>7049509</v>
      </c>
      <c r="I122" s="22">
        <f>INDEX(Data[],MATCH($A122,Data[Dist],0),MATCH(I$4,Data[#Headers],0))</f>
        <v>8894002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64744</v>
      </c>
      <c r="D123" s="22">
        <f>INDEX(Data[],MATCH($A123,Data[Dist],0),MATCH(D$4,Data[#Headers],0))</f>
        <v>115305</v>
      </c>
      <c r="E123" s="22">
        <f>INDEX(Data[],MATCH($A123,Data[Dist],0),MATCH(E$4,Data[#Headers],0))</f>
        <v>9608</v>
      </c>
      <c r="F123" s="22">
        <f>INDEX(Data[],MATCH($A123,Data[Dist],0),MATCH(F$4,Data[#Headers],0))</f>
        <v>13582</v>
      </c>
      <c r="G123" s="22">
        <f>INDEX(Data[],MATCH($A123,Data[Dist],0),MATCH(G$4,Data[#Headers],0))</f>
        <v>57946</v>
      </c>
      <c r="H123" s="22">
        <f>INDEX(Data[],MATCH($A123,Data[Dist],0),MATCH(H$4,Data[#Headers],0))</f>
        <v>794710</v>
      </c>
      <c r="I123" s="22">
        <f>INDEX(Data[],MATCH($A123,Data[Dist],0),MATCH(I$4,Data[#Headers],0))</f>
        <v>1055895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122295</v>
      </c>
      <c r="D124" s="22">
        <f>INDEX(Data[],MATCH($A124,Data[Dist],0),MATCH(D$4,Data[#Headers],0))</f>
        <v>396617</v>
      </c>
      <c r="E124" s="22">
        <f>INDEX(Data[],MATCH($A124,Data[Dist],0),MATCH(E$4,Data[#Headers],0))</f>
        <v>35528</v>
      </c>
      <c r="F124" s="22">
        <f>INDEX(Data[],MATCH($A124,Data[Dist],0),MATCH(F$4,Data[#Headers],0))</f>
        <v>41021</v>
      </c>
      <c r="G124" s="22">
        <f>INDEX(Data[],MATCH($A124,Data[Dist],0),MATCH(G$4,Data[#Headers],0))</f>
        <v>206341</v>
      </c>
      <c r="H124" s="22">
        <f>INDEX(Data[],MATCH($A124,Data[Dist],0),MATCH(H$4,Data[#Headers],0))</f>
        <v>2651946</v>
      </c>
      <c r="I124" s="22">
        <f>INDEX(Data[],MATCH($A124,Data[Dist],0),MATCH(I$4,Data[#Headers],0))</f>
        <v>3453748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197831</v>
      </c>
      <c r="D125" s="22">
        <f>INDEX(Data[],MATCH($A125,Data[Dist],0),MATCH(D$4,Data[#Headers],0))</f>
        <v>1147970</v>
      </c>
      <c r="E125" s="22">
        <f>INDEX(Data[],MATCH($A125,Data[Dist],0),MATCH(E$4,Data[#Headers],0))</f>
        <v>142070</v>
      </c>
      <c r="F125" s="22">
        <f>INDEX(Data[],MATCH($A125,Data[Dist],0),MATCH(F$4,Data[#Headers],0))</f>
        <v>124613</v>
      </c>
      <c r="G125" s="22">
        <f>INDEX(Data[],MATCH($A125,Data[Dist],0),MATCH(G$4,Data[#Headers],0))</f>
        <v>672623</v>
      </c>
      <c r="H125" s="22">
        <f>INDEX(Data[],MATCH($A125,Data[Dist],0),MATCH(H$4,Data[#Headers],0))</f>
        <v>10151745</v>
      </c>
      <c r="I125" s="22">
        <f>INDEX(Data[],MATCH($A125,Data[Dist],0),MATCH(I$4,Data[#Headers],0))</f>
        <v>12436852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118699</v>
      </c>
      <c r="D126" s="22">
        <f>INDEX(Data[],MATCH($A126,Data[Dist],0),MATCH(D$4,Data[#Headers],0))</f>
        <v>189400</v>
      </c>
      <c r="E126" s="22">
        <f>INDEX(Data[],MATCH($A126,Data[Dist],0),MATCH(E$4,Data[#Headers],0))</f>
        <v>20612</v>
      </c>
      <c r="F126" s="22">
        <f>INDEX(Data[],MATCH($A126,Data[Dist],0),MATCH(F$4,Data[#Headers],0))</f>
        <v>20097</v>
      </c>
      <c r="G126" s="22">
        <f>INDEX(Data[],MATCH($A126,Data[Dist],0),MATCH(G$4,Data[#Headers],0))</f>
        <v>98176</v>
      </c>
      <c r="H126" s="22">
        <f>INDEX(Data[],MATCH($A126,Data[Dist],0),MATCH(H$4,Data[#Headers],0))</f>
        <v>1163594</v>
      </c>
      <c r="I126" s="22">
        <f>INDEX(Data[],MATCH($A126,Data[Dist],0),MATCH(I$4,Data[#Headers],0))</f>
        <v>1610578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104238</v>
      </c>
      <c r="D127" s="22">
        <f>INDEX(Data[],MATCH($A127,Data[Dist],0),MATCH(D$4,Data[#Headers],0))</f>
        <v>253679</v>
      </c>
      <c r="E127" s="22">
        <f>INDEX(Data[],MATCH($A127,Data[Dist],0),MATCH(E$4,Data[#Headers],0))</f>
        <v>29547</v>
      </c>
      <c r="F127" s="22">
        <f>INDEX(Data[],MATCH($A127,Data[Dist],0),MATCH(F$4,Data[#Headers],0))</f>
        <v>24311</v>
      </c>
      <c r="G127" s="22">
        <f>INDEX(Data[],MATCH($A127,Data[Dist],0),MATCH(G$4,Data[#Headers],0))</f>
        <v>135090</v>
      </c>
      <c r="H127" s="22">
        <f>INDEX(Data[],MATCH($A127,Data[Dist],0),MATCH(H$4,Data[#Headers],0))</f>
        <v>1351507</v>
      </c>
      <c r="I127" s="22">
        <f>INDEX(Data[],MATCH($A127,Data[Dist],0),MATCH(I$4,Data[#Headers],0))</f>
        <v>1898372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75462</v>
      </c>
      <c r="D128" s="22">
        <f>INDEX(Data[],MATCH($A128,Data[Dist],0),MATCH(D$4,Data[#Headers],0))</f>
        <v>413158</v>
      </c>
      <c r="E128" s="22">
        <f>INDEX(Data[],MATCH($A128,Data[Dist],0),MATCH(E$4,Data[#Headers],0))</f>
        <v>46736</v>
      </c>
      <c r="F128" s="22">
        <f>INDEX(Data[],MATCH($A128,Data[Dist],0),MATCH(F$4,Data[#Headers],0))</f>
        <v>47292</v>
      </c>
      <c r="G128" s="22">
        <f>INDEX(Data[],MATCH($A128,Data[Dist],0),MATCH(G$4,Data[#Headers],0))</f>
        <v>218715</v>
      </c>
      <c r="H128" s="22">
        <f>INDEX(Data[],MATCH($A128,Data[Dist],0),MATCH(H$4,Data[#Headers],0))</f>
        <v>3084364</v>
      </c>
      <c r="I128" s="22">
        <f>INDEX(Data[],MATCH($A128,Data[Dist],0),MATCH(I$4,Data[#Headers],0))</f>
        <v>3885727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68342</v>
      </c>
      <c r="D129" s="22">
        <f>INDEX(Data[],MATCH($A129,Data[Dist],0),MATCH(D$4,Data[#Headers],0))</f>
        <v>182358</v>
      </c>
      <c r="E129" s="22">
        <f>INDEX(Data[],MATCH($A129,Data[Dist],0),MATCH(E$4,Data[#Headers],0))</f>
        <v>21687</v>
      </c>
      <c r="F129" s="22">
        <f>INDEX(Data[],MATCH($A129,Data[Dist],0),MATCH(F$4,Data[#Headers],0))</f>
        <v>21534</v>
      </c>
      <c r="G129" s="22">
        <f>INDEX(Data[],MATCH($A129,Data[Dist],0),MATCH(G$4,Data[#Headers],0))</f>
        <v>88359</v>
      </c>
      <c r="H129" s="22">
        <f>INDEX(Data[],MATCH($A129,Data[Dist],0),MATCH(H$4,Data[#Headers],0))</f>
        <v>730667</v>
      </c>
      <c r="I129" s="22">
        <f>INDEX(Data[],MATCH($A129,Data[Dist],0),MATCH(I$4,Data[#Headers],0))</f>
        <v>1112947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208621</v>
      </c>
      <c r="D130" s="22">
        <f>INDEX(Data[],MATCH($A130,Data[Dist],0),MATCH(D$4,Data[#Headers],0))</f>
        <v>965637</v>
      </c>
      <c r="E130" s="22">
        <f>INDEX(Data[],MATCH($A130,Data[Dist],0),MATCH(E$4,Data[#Headers],0))</f>
        <v>117610</v>
      </c>
      <c r="F130" s="22">
        <f>INDEX(Data[],MATCH($A130,Data[Dist],0),MATCH(F$4,Data[#Headers],0))</f>
        <v>105789</v>
      </c>
      <c r="G130" s="22">
        <f>INDEX(Data[],MATCH($A130,Data[Dist],0),MATCH(G$4,Data[#Headers],0))</f>
        <v>552003</v>
      </c>
      <c r="H130" s="22">
        <f>INDEX(Data[],MATCH($A130,Data[Dist],0),MATCH(H$4,Data[#Headers],0))</f>
        <v>8038785</v>
      </c>
      <c r="I130" s="22">
        <f>INDEX(Data[],MATCH($A130,Data[Dist],0),MATCH(I$4,Data[#Headers],0))</f>
        <v>9988445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104311</v>
      </c>
      <c r="D131" s="22">
        <f>INDEX(Data[],MATCH($A131,Data[Dist],0),MATCH(D$4,Data[#Headers],0))</f>
        <v>275336</v>
      </c>
      <c r="E131" s="22">
        <f>INDEX(Data[],MATCH($A131,Data[Dist],0),MATCH(E$4,Data[#Headers],0))</f>
        <v>29257</v>
      </c>
      <c r="F131" s="22">
        <f>INDEX(Data[],MATCH($A131,Data[Dist],0),MATCH(F$4,Data[#Headers],0))</f>
        <v>28814</v>
      </c>
      <c r="G131" s="22">
        <f>INDEX(Data[],MATCH($A131,Data[Dist],0),MATCH(G$4,Data[#Headers],0))</f>
        <v>157849</v>
      </c>
      <c r="H131" s="22">
        <f>INDEX(Data[],MATCH($A131,Data[Dist],0),MATCH(H$4,Data[#Headers],0))</f>
        <v>2140385</v>
      </c>
      <c r="I131" s="22">
        <f>INDEX(Data[],MATCH($A131,Data[Dist],0),MATCH(I$4,Data[#Headers],0))</f>
        <v>2735952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143877</v>
      </c>
      <c r="D132" s="22">
        <f>INDEX(Data[],MATCH($A132,Data[Dist],0),MATCH(D$4,Data[#Headers],0))</f>
        <v>443449</v>
      </c>
      <c r="E132" s="22">
        <f>INDEX(Data[],MATCH($A132,Data[Dist],0),MATCH(E$4,Data[#Headers],0))</f>
        <v>43481</v>
      </c>
      <c r="F132" s="22">
        <f>INDEX(Data[],MATCH($A132,Data[Dist],0),MATCH(F$4,Data[#Headers],0))</f>
        <v>47600</v>
      </c>
      <c r="G132" s="22">
        <f>INDEX(Data[],MATCH($A132,Data[Dist],0),MATCH(G$4,Data[#Headers],0))</f>
        <v>230072</v>
      </c>
      <c r="H132" s="22">
        <f>INDEX(Data[],MATCH($A132,Data[Dist],0),MATCH(H$4,Data[#Headers],0))</f>
        <v>3390882</v>
      </c>
      <c r="I132" s="22">
        <f>INDEX(Data[],MATCH($A132,Data[Dist],0),MATCH(I$4,Data[#Headers],0))</f>
        <v>4299361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86326</v>
      </c>
      <c r="D133" s="22">
        <f>INDEX(Data[],MATCH($A133,Data[Dist],0),MATCH(D$4,Data[#Headers],0))</f>
        <v>276597</v>
      </c>
      <c r="E133" s="22">
        <f>INDEX(Data[],MATCH($A133,Data[Dist],0),MATCH(E$4,Data[#Headers],0))</f>
        <v>33678</v>
      </c>
      <c r="F133" s="22">
        <f>INDEX(Data[],MATCH($A133,Data[Dist],0),MATCH(F$4,Data[#Headers],0))</f>
        <v>28368</v>
      </c>
      <c r="G133" s="22">
        <f>INDEX(Data[],MATCH($A133,Data[Dist],0),MATCH(G$4,Data[#Headers],0))</f>
        <v>148867</v>
      </c>
      <c r="H133" s="22">
        <f>INDEX(Data[],MATCH($A133,Data[Dist],0),MATCH(H$4,Data[#Headers],0))</f>
        <v>1952839</v>
      </c>
      <c r="I133" s="22">
        <f>INDEX(Data[],MATCH($A133,Data[Dist],0),MATCH(I$4,Data[#Headers],0))</f>
        <v>2526675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104311</v>
      </c>
      <c r="D134" s="22">
        <f>INDEX(Data[],MATCH($A134,Data[Dist],0),MATCH(D$4,Data[#Headers],0))</f>
        <v>371274</v>
      </c>
      <c r="E134" s="22">
        <f>INDEX(Data[],MATCH($A134,Data[Dist],0),MATCH(E$4,Data[#Headers],0))</f>
        <v>38251</v>
      </c>
      <c r="F134" s="22">
        <f>INDEX(Data[],MATCH($A134,Data[Dist],0),MATCH(F$4,Data[#Headers],0))</f>
        <v>42020</v>
      </c>
      <c r="G134" s="22">
        <f>INDEX(Data[],MATCH($A134,Data[Dist],0),MATCH(G$4,Data[#Headers],0))</f>
        <v>207557</v>
      </c>
      <c r="H134" s="22">
        <f>INDEX(Data[],MATCH($A134,Data[Dist],0),MATCH(H$4,Data[#Headers],0))</f>
        <v>2196487</v>
      </c>
      <c r="I134" s="22">
        <f>INDEX(Data[],MATCH($A134,Data[Dist],0),MATCH(I$4,Data[#Headers],0))</f>
        <v>2959900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68342</v>
      </c>
      <c r="D135" s="22">
        <f>INDEX(Data[],MATCH($A135,Data[Dist],0),MATCH(D$4,Data[#Headers],0))</f>
        <v>216799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1576370</v>
      </c>
      <c r="I135" s="22">
        <f>INDEX(Data[],MATCH($A135,Data[Dist],0),MATCH(I$4,Data[#Headers],0))</f>
        <v>2024138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50357</v>
      </c>
      <c r="D136" s="22">
        <f>INDEX(Data[],MATCH($A136,Data[Dist],0),MATCH(D$4,Data[#Headers],0))</f>
        <v>124211</v>
      </c>
      <c r="E136" s="22">
        <f>INDEX(Data[],MATCH($A136,Data[Dist],0),MATCH(E$4,Data[#Headers],0))</f>
        <v>14547</v>
      </c>
      <c r="F136" s="22">
        <f>INDEX(Data[],MATCH($A136,Data[Dist],0),MATCH(F$4,Data[#Headers],0))</f>
        <v>12901</v>
      </c>
      <c r="G136" s="22">
        <f>INDEX(Data[],MATCH($A136,Data[Dist],0),MATCH(G$4,Data[#Headers],0))</f>
        <v>68418</v>
      </c>
      <c r="H136" s="22">
        <f>INDEX(Data[],MATCH($A136,Data[Dist],0),MATCH(H$4,Data[#Headers],0))</f>
        <v>807276</v>
      </c>
      <c r="I136" s="22">
        <f>INDEX(Data[],MATCH($A136,Data[Dist],0),MATCH(I$4,Data[#Headers],0))</f>
        <v>1077710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187040</v>
      </c>
      <c r="D137" s="22">
        <f>INDEX(Data[],MATCH($A137,Data[Dist],0),MATCH(D$4,Data[#Headers],0))</f>
        <v>737211</v>
      </c>
      <c r="E137" s="22">
        <f>INDEX(Data[],MATCH($A137,Data[Dist],0),MATCH(E$4,Data[#Headers],0))</f>
        <v>94890</v>
      </c>
      <c r="F137" s="22">
        <f>INDEX(Data[],MATCH($A137,Data[Dist],0),MATCH(F$4,Data[#Headers],0))</f>
        <v>79989</v>
      </c>
      <c r="G137" s="22">
        <f>INDEX(Data[],MATCH($A137,Data[Dist],0),MATCH(G$4,Data[#Headers],0))</f>
        <v>398705</v>
      </c>
      <c r="H137" s="22">
        <f>INDEX(Data[],MATCH($A137,Data[Dist],0),MATCH(H$4,Data[#Headers],0))</f>
        <v>6287884</v>
      </c>
      <c r="I137" s="22">
        <f>INDEX(Data[],MATCH($A137,Data[Dist],0),MATCH(I$4,Data[#Headers],0))</f>
        <v>7785719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219412</v>
      </c>
      <c r="D138" s="22">
        <f>INDEX(Data[],MATCH($A138,Data[Dist],0),MATCH(D$4,Data[#Headers],0))</f>
        <v>840320</v>
      </c>
      <c r="E138" s="22">
        <f>INDEX(Data[],MATCH($A138,Data[Dist],0),MATCH(E$4,Data[#Headers],0))</f>
        <v>98121</v>
      </c>
      <c r="F138" s="22">
        <f>INDEX(Data[],MATCH($A138,Data[Dist],0),MATCH(F$4,Data[#Headers],0))</f>
        <v>98446</v>
      </c>
      <c r="G138" s="22">
        <f>INDEX(Data[],MATCH($A138,Data[Dist],0),MATCH(G$4,Data[#Headers],0))</f>
        <v>472885</v>
      </c>
      <c r="H138" s="22">
        <f>INDEX(Data[],MATCH($A138,Data[Dist],0),MATCH(H$4,Data[#Headers],0))</f>
        <v>6712507</v>
      </c>
      <c r="I138" s="22">
        <f>INDEX(Data[],MATCH($A138,Data[Dist],0),MATCH(I$4,Data[#Headers],0))</f>
        <v>8441691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71938</v>
      </c>
      <c r="D139" s="22">
        <f>INDEX(Data[],MATCH($A139,Data[Dist],0),MATCH(D$4,Data[#Headers],0))</f>
        <v>190974</v>
      </c>
      <c r="E139" s="22">
        <f>INDEX(Data[],MATCH($A139,Data[Dist],0),MATCH(E$4,Data[#Headers],0))</f>
        <v>25697</v>
      </c>
      <c r="F139" s="22">
        <f>INDEX(Data[],MATCH($A139,Data[Dist],0),MATCH(F$4,Data[#Headers],0))</f>
        <v>20019</v>
      </c>
      <c r="G139" s="22">
        <f>INDEX(Data[],MATCH($A139,Data[Dist],0),MATCH(G$4,Data[#Headers],0))</f>
        <v>102976</v>
      </c>
      <c r="H139" s="22">
        <f>INDEX(Data[],MATCH($A139,Data[Dist],0),MATCH(H$4,Data[#Headers],0))</f>
        <v>586575</v>
      </c>
      <c r="I139" s="22">
        <f>INDEX(Data[],MATCH($A139,Data[Dist],0),MATCH(I$4,Data[#Headers],0))</f>
        <v>998179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118699</v>
      </c>
      <c r="D140" s="22">
        <f>INDEX(Data[],MATCH($A140,Data[Dist],0),MATCH(D$4,Data[#Headers],0))</f>
        <v>400495</v>
      </c>
      <c r="E140" s="22">
        <f>INDEX(Data[],MATCH($A140,Data[Dist],0),MATCH(E$4,Data[#Headers],0))</f>
        <v>40846</v>
      </c>
      <c r="F140" s="22">
        <f>INDEX(Data[],MATCH($A140,Data[Dist],0),MATCH(F$4,Data[#Headers],0))</f>
        <v>43338</v>
      </c>
      <c r="G140" s="22">
        <f>INDEX(Data[],MATCH($A140,Data[Dist],0),MATCH(G$4,Data[#Headers],0))</f>
        <v>213701</v>
      </c>
      <c r="H140" s="22">
        <f>INDEX(Data[],MATCH($A140,Data[Dist],0),MATCH(H$4,Data[#Headers],0))</f>
        <v>2229049</v>
      </c>
      <c r="I140" s="22">
        <f>INDEX(Data[],MATCH($A140,Data[Dist],0),MATCH(I$4,Data[#Headers],0))</f>
        <v>3046128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104311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2595629</v>
      </c>
      <c r="I141" s="22">
        <f>INDEX(Data[],MATCH($A141,Data[Dist],0),MATCH(I$4,Data[#Headers],0))</f>
        <v>3399303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129489</v>
      </c>
      <c r="D142" s="22">
        <f>INDEX(Data[],MATCH($A142,Data[Dist],0),MATCH(D$4,Data[#Headers],0))</f>
        <v>335222</v>
      </c>
      <c r="E142" s="22">
        <f>INDEX(Data[],MATCH($A142,Data[Dist],0),MATCH(E$4,Data[#Headers],0))</f>
        <v>40575</v>
      </c>
      <c r="F142" s="22">
        <f>INDEX(Data[],MATCH($A142,Data[Dist],0),MATCH(F$4,Data[#Headers],0))</f>
        <v>37658</v>
      </c>
      <c r="G142" s="22">
        <f>INDEX(Data[],MATCH($A142,Data[Dist],0),MATCH(G$4,Data[#Headers],0))</f>
        <v>181865</v>
      </c>
      <c r="H142" s="22">
        <f>INDEX(Data[],MATCH($A142,Data[Dist],0),MATCH(H$4,Data[#Headers],0))</f>
        <v>2239333</v>
      </c>
      <c r="I142" s="22">
        <f>INDEX(Data[],MATCH($A142,Data[Dist],0),MATCH(I$4,Data[#Headers],0))</f>
        <v>2964142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219412</v>
      </c>
      <c r="D143" s="22">
        <f>INDEX(Data[],MATCH($A143,Data[Dist],0),MATCH(D$4,Data[#Headers],0))</f>
        <v>722368</v>
      </c>
      <c r="E143" s="22">
        <f>INDEX(Data[],MATCH($A143,Data[Dist],0),MATCH(E$4,Data[#Headers],0))</f>
        <v>77208</v>
      </c>
      <c r="F143" s="22">
        <f>INDEX(Data[],MATCH($A143,Data[Dist],0),MATCH(F$4,Data[#Headers],0))</f>
        <v>78007</v>
      </c>
      <c r="G143" s="22">
        <f>INDEX(Data[],MATCH($A143,Data[Dist],0),MATCH(G$4,Data[#Headers],0))</f>
        <v>392529</v>
      </c>
      <c r="H143" s="22">
        <f>INDEX(Data[],MATCH($A143,Data[Dist],0),MATCH(H$4,Data[#Headers],0))</f>
        <v>5355402</v>
      </c>
      <c r="I143" s="22">
        <f>INDEX(Data[],MATCH($A143,Data[Dist],0),MATCH(I$4,Data[#Headers],0))</f>
        <v>6844926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86326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26024</v>
      </c>
      <c r="F144" s="22">
        <f>INDEX(Data[],MATCH($A144,Data[Dist],0),MATCH(F$4,Data[#Headers],0))</f>
        <v>22537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1368132</v>
      </c>
      <c r="I144" s="22">
        <f>INDEX(Data[],MATCH($A144,Data[Dist],0),MATCH(I$4,Data[#Headers],0))</f>
        <v>1907577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97117</v>
      </c>
      <c r="D145" s="22">
        <f>INDEX(Data[],MATCH($A145,Data[Dist],0),MATCH(D$4,Data[#Headers],0))</f>
        <v>458828</v>
      </c>
      <c r="E145" s="22">
        <f>INDEX(Data[],MATCH($A145,Data[Dist],0),MATCH(E$4,Data[#Headers],0))</f>
        <v>41079</v>
      </c>
      <c r="F145" s="22">
        <f>INDEX(Data[],MATCH($A145,Data[Dist],0),MATCH(F$4,Data[#Headers],0))</f>
        <v>51932</v>
      </c>
      <c r="G145" s="22">
        <f>INDEX(Data[],MATCH($A145,Data[Dist],0),MATCH(G$4,Data[#Headers],0))</f>
        <v>239782</v>
      </c>
      <c r="H145" s="22">
        <f>INDEX(Data[],MATCH($A145,Data[Dist],0),MATCH(H$4,Data[#Headers],0))</f>
        <v>3805808</v>
      </c>
      <c r="I145" s="22">
        <f>INDEX(Data[],MATCH($A145,Data[Dist],0),MATCH(I$4,Data[#Headers],0))</f>
        <v>4694546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258978</v>
      </c>
      <c r="D146" s="22">
        <f>INDEX(Data[],MATCH($A146,Data[Dist],0),MATCH(D$4,Data[#Headers],0))</f>
        <v>789007</v>
      </c>
      <c r="E146" s="22">
        <f>INDEX(Data[],MATCH($A146,Data[Dist],0),MATCH(E$4,Data[#Headers],0))</f>
        <v>96002</v>
      </c>
      <c r="F146" s="22">
        <f>INDEX(Data[],MATCH($A146,Data[Dist],0),MATCH(F$4,Data[#Headers],0))</f>
        <v>86550</v>
      </c>
      <c r="G146" s="22">
        <f>INDEX(Data[],MATCH($A146,Data[Dist],0),MATCH(G$4,Data[#Headers],0))</f>
        <v>433580</v>
      </c>
      <c r="H146" s="22">
        <f>INDEX(Data[],MATCH($A146,Data[Dist],0),MATCH(H$4,Data[#Headers],0))</f>
        <v>6084936</v>
      </c>
      <c r="I146" s="22">
        <f>INDEX(Data[],MATCH($A146,Data[Dist],0),MATCH(I$4,Data[#Headers],0))</f>
        <v>7749053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323722</v>
      </c>
      <c r="D147" s="22">
        <f>INDEX(Data[],MATCH($A147,Data[Dist],0),MATCH(D$4,Data[#Headers],0))</f>
        <v>902111</v>
      </c>
      <c r="E147" s="22">
        <f>INDEX(Data[],MATCH($A147,Data[Dist],0),MATCH(E$4,Data[#Headers],0))</f>
        <v>100918</v>
      </c>
      <c r="F147" s="22">
        <f>INDEX(Data[],MATCH($A147,Data[Dist],0),MATCH(F$4,Data[#Headers],0))</f>
        <v>106011</v>
      </c>
      <c r="G147" s="22">
        <f>INDEX(Data[],MATCH($A147,Data[Dist],0),MATCH(G$4,Data[#Headers],0))</f>
        <v>486314</v>
      </c>
      <c r="H147" s="22">
        <f>INDEX(Data[],MATCH($A147,Data[Dist],0),MATCH(H$4,Data[#Headers],0))</f>
        <v>7492723</v>
      </c>
      <c r="I147" s="22">
        <f>INDEX(Data[],MATCH($A147,Data[Dist],0),MATCH(I$4,Data[#Headers],0))</f>
        <v>9411799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366885</v>
      </c>
      <c r="D148" s="22">
        <f>INDEX(Data[],MATCH($A148,Data[Dist],0),MATCH(D$4,Data[#Headers],0))</f>
        <v>2010565</v>
      </c>
      <c r="E148" s="22">
        <f>INDEX(Data[],MATCH($A148,Data[Dist],0),MATCH(E$4,Data[#Headers],0))</f>
        <v>229722</v>
      </c>
      <c r="F148" s="22">
        <f>INDEX(Data[],MATCH($A148,Data[Dist],0),MATCH(F$4,Data[#Headers],0))</f>
        <v>237578</v>
      </c>
      <c r="G148" s="22">
        <f>INDEX(Data[],MATCH($A148,Data[Dist],0),MATCH(G$4,Data[#Headers],0))</f>
        <v>1213332</v>
      </c>
      <c r="H148" s="22">
        <f>INDEX(Data[],MATCH($A148,Data[Dist],0),MATCH(H$4,Data[#Headers],0))</f>
        <v>19961430</v>
      </c>
      <c r="I148" s="22">
        <f>INDEX(Data[],MATCH($A148,Data[Dist],0),MATCH(I$4,Data[#Headers],0))</f>
        <v>24019512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125819</v>
      </c>
      <c r="D149" s="22">
        <f>INDEX(Data[],MATCH($A149,Data[Dist],0),MATCH(D$4,Data[#Headers],0))</f>
        <v>522245</v>
      </c>
      <c r="E149" s="22">
        <f>INDEX(Data[],MATCH($A149,Data[Dist],0),MATCH(E$4,Data[#Headers],0))</f>
        <v>55591</v>
      </c>
      <c r="F149" s="22">
        <f>INDEX(Data[],MATCH($A149,Data[Dist],0),MATCH(F$4,Data[#Headers],0))</f>
        <v>48822</v>
      </c>
      <c r="G149" s="22">
        <f>INDEX(Data[],MATCH($A149,Data[Dist],0),MATCH(G$4,Data[#Headers],0))</f>
        <v>289143</v>
      </c>
      <c r="H149" s="22">
        <f>INDEX(Data[],MATCH($A149,Data[Dist],0),MATCH(H$4,Data[#Headers],0))</f>
        <v>4244008</v>
      </c>
      <c r="I149" s="22">
        <f>INDEX(Data[],MATCH($A149,Data[Dist],0),MATCH(I$4,Data[#Headers],0))</f>
        <v>5285628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1482002</v>
      </c>
      <c r="D150" s="22">
        <f>INDEX(Data[],MATCH($A150,Data[Dist],0),MATCH(D$4,Data[#Headers],0))</f>
        <v>8540427</v>
      </c>
      <c r="E150" s="22">
        <f>INDEX(Data[],MATCH($A150,Data[Dist],0),MATCH(E$4,Data[#Headers],0))</f>
        <v>1080427</v>
      </c>
      <c r="F150" s="22">
        <f>INDEX(Data[],MATCH($A150,Data[Dist],0),MATCH(F$4,Data[#Headers],0))</f>
        <v>1049574</v>
      </c>
      <c r="G150" s="22">
        <f>INDEX(Data[],MATCH($A150,Data[Dist],0),MATCH(G$4,Data[#Headers],0))</f>
        <v>4986046</v>
      </c>
      <c r="H150" s="22">
        <f>INDEX(Data[],MATCH($A150,Data[Dist],0),MATCH(H$4,Data[#Headers],0))</f>
        <v>62953880</v>
      </c>
      <c r="I150" s="22">
        <f>INDEX(Data[],MATCH($A150,Data[Dist],0),MATCH(I$4,Data[#Headers],0))</f>
        <v>80092356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176249</v>
      </c>
      <c r="D151" s="22">
        <f>INDEX(Data[],MATCH($A151,Data[Dist],0),MATCH(D$4,Data[#Headers],0))</f>
        <v>651916</v>
      </c>
      <c r="E151" s="22">
        <f>INDEX(Data[],MATCH($A151,Data[Dist],0),MATCH(E$4,Data[#Headers],0))</f>
        <v>81680</v>
      </c>
      <c r="F151" s="22">
        <f>INDEX(Data[],MATCH($A151,Data[Dist],0),MATCH(F$4,Data[#Headers],0))</f>
        <v>75676</v>
      </c>
      <c r="G151" s="22">
        <f>INDEX(Data[],MATCH($A151,Data[Dist],0),MATCH(G$4,Data[#Headers],0))</f>
        <v>361322</v>
      </c>
      <c r="H151" s="22">
        <f>INDEX(Data[],MATCH($A151,Data[Dist],0),MATCH(H$4,Data[#Headers],0))</f>
        <v>5457461</v>
      </c>
      <c r="I151" s="22">
        <f>INDEX(Data[],MATCH($A151,Data[Dist],0),MATCH(I$4,Data[#Headers],0))</f>
        <v>6804304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100714</v>
      </c>
      <c r="D152" s="22">
        <f>INDEX(Data[],MATCH($A152,Data[Dist],0),MATCH(D$4,Data[#Headers],0))</f>
        <v>308019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35864</v>
      </c>
      <c r="G152" s="22">
        <f>INDEX(Data[],MATCH($A152,Data[Dist],0),MATCH(G$4,Data[#Headers],0))</f>
        <v>181524</v>
      </c>
      <c r="H152" s="22">
        <f>INDEX(Data[],MATCH($A152,Data[Dist],0),MATCH(H$4,Data[#Headers],0))</f>
        <v>2839580</v>
      </c>
      <c r="I152" s="22">
        <f>INDEX(Data[],MATCH($A152,Data[Dist],0),MATCH(I$4,Data[#Headers],0))</f>
        <v>3496631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125893</v>
      </c>
      <c r="D153" s="22">
        <f>INDEX(Data[],MATCH($A153,Data[Dist],0),MATCH(D$4,Data[#Headers],0))</f>
        <v>455251</v>
      </c>
      <c r="E153" s="22">
        <f>INDEX(Data[],MATCH($A153,Data[Dist],0),MATCH(E$4,Data[#Headers],0))</f>
        <v>47514</v>
      </c>
      <c r="F153" s="22">
        <f>INDEX(Data[],MATCH($A153,Data[Dist],0),MATCH(F$4,Data[#Headers],0))</f>
        <v>52097</v>
      </c>
      <c r="G153" s="22">
        <f>INDEX(Data[],MATCH($A153,Data[Dist],0),MATCH(G$4,Data[#Headers],0))</f>
        <v>236635</v>
      </c>
      <c r="H153" s="22">
        <f>INDEX(Data[],MATCH($A153,Data[Dist],0),MATCH(H$4,Data[#Headers],0))</f>
        <v>2780318</v>
      </c>
      <c r="I153" s="22">
        <f>INDEX(Data[],MATCH($A153,Data[Dist],0),MATCH(I$4,Data[#Headers],0))</f>
        <v>3697708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107907</v>
      </c>
      <c r="D154" s="22">
        <f>INDEX(Data[],MATCH($A154,Data[Dist],0),MATCH(D$4,Data[#Headers],0))</f>
        <v>269545</v>
      </c>
      <c r="E154" s="22">
        <f>INDEX(Data[],MATCH($A154,Data[Dist],0),MATCH(E$4,Data[#Headers],0))</f>
        <v>23563</v>
      </c>
      <c r="F154" s="22">
        <f>INDEX(Data[],MATCH($A154,Data[Dist],0),MATCH(F$4,Data[#Headers],0))</f>
        <v>26162</v>
      </c>
      <c r="G154" s="22">
        <f>INDEX(Data[],MATCH($A154,Data[Dist],0),MATCH(G$4,Data[#Headers],0))</f>
        <v>154289</v>
      </c>
      <c r="H154" s="22">
        <f>INDEX(Data[],MATCH($A154,Data[Dist],0),MATCH(H$4,Data[#Headers],0))</f>
        <v>2311702</v>
      </c>
      <c r="I154" s="22">
        <f>INDEX(Data[],MATCH($A154,Data[Dist],0),MATCH(I$4,Data[#Headers],0))</f>
        <v>2893168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284157</v>
      </c>
      <c r="D155" s="22">
        <f>INDEX(Data[],MATCH($A155,Data[Dist],0),MATCH(D$4,Data[#Headers],0))</f>
        <v>738150</v>
      </c>
      <c r="E155" s="22">
        <f>INDEX(Data[],MATCH($A155,Data[Dist],0),MATCH(E$4,Data[#Headers],0))</f>
        <v>90942</v>
      </c>
      <c r="F155" s="22">
        <f>INDEX(Data[],MATCH($A155,Data[Dist],0),MATCH(F$4,Data[#Headers],0))</f>
        <v>83948</v>
      </c>
      <c r="G155" s="22">
        <f>INDEX(Data[],MATCH($A155,Data[Dist],0),MATCH(G$4,Data[#Headers],0))</f>
        <v>408932</v>
      </c>
      <c r="H155" s="22">
        <f>INDEX(Data[],MATCH($A155,Data[Dist],0),MATCH(H$4,Data[#Headers],0))</f>
        <v>5457135</v>
      </c>
      <c r="I155" s="22">
        <f>INDEX(Data[],MATCH($A155,Data[Dist],0),MATCH(I$4,Data[#Headers],0))</f>
        <v>7063264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0</v>
      </c>
      <c r="D156" s="22">
        <f>INDEX(Data[],MATCH($A156,Data[Dist],0),MATCH(D$4,Data[#Headers],0))</f>
        <v>509232</v>
      </c>
      <c r="E156" s="22">
        <f>INDEX(Data[],MATCH($A156,Data[Dist],0),MATCH(E$4,Data[#Headers],0))</f>
        <v>67102</v>
      </c>
      <c r="F156" s="22">
        <f>INDEX(Data[],MATCH($A156,Data[Dist],0),MATCH(F$4,Data[#Headers],0))</f>
        <v>55394</v>
      </c>
      <c r="G156" s="22">
        <f>INDEX(Data[],MATCH($A156,Data[Dist],0),MATCH(G$4,Data[#Headers],0))</f>
        <v>313395</v>
      </c>
      <c r="H156" s="22">
        <f>INDEX(Data[],MATCH($A156,Data[Dist],0),MATCH(H$4,Data[#Headers],0))</f>
        <v>4697700</v>
      </c>
      <c r="I156" s="22">
        <f>INDEX(Data[],MATCH($A156,Data[Dist],0),MATCH(I$4,Data[#Headers],0))</f>
        <v>5642823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971167</v>
      </c>
      <c r="D157" s="22">
        <f>INDEX(Data[],MATCH($A157,Data[Dist],0),MATCH(D$4,Data[#Headers],0))</f>
        <v>4066288</v>
      </c>
      <c r="E157" s="22">
        <f>INDEX(Data[],MATCH($A157,Data[Dist],0),MATCH(E$4,Data[#Headers],0))</f>
        <v>446448</v>
      </c>
      <c r="F157" s="22">
        <f>INDEX(Data[],MATCH($A157,Data[Dist],0),MATCH(F$4,Data[#Headers],0))</f>
        <v>451841</v>
      </c>
      <c r="G157" s="22">
        <f>INDEX(Data[],MATCH($A157,Data[Dist],0),MATCH(G$4,Data[#Headers],0))</f>
        <v>2444956</v>
      </c>
      <c r="H157" s="22">
        <f>INDEX(Data[],MATCH($A157,Data[Dist],0),MATCH(H$4,Data[#Headers],0))</f>
        <v>35675187</v>
      </c>
      <c r="I157" s="22">
        <f>INDEX(Data[],MATCH($A157,Data[Dist],0),MATCH(I$4,Data[#Headers],0))</f>
        <v>44055887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302214</v>
      </c>
      <c r="D158" s="22">
        <f>INDEX(Data[],MATCH($A158,Data[Dist],0),MATCH(D$4,Data[#Headers],0))</f>
        <v>1160137</v>
      </c>
      <c r="E158" s="22">
        <f>INDEX(Data[],MATCH($A158,Data[Dist],0),MATCH(E$4,Data[#Headers],0))</f>
        <v>148475</v>
      </c>
      <c r="F158" s="22">
        <f>INDEX(Data[],MATCH($A158,Data[Dist],0),MATCH(F$4,Data[#Headers],0))</f>
        <v>137496</v>
      </c>
      <c r="G158" s="22">
        <f>INDEX(Data[],MATCH($A158,Data[Dist],0),MATCH(G$4,Data[#Headers],0))</f>
        <v>664210</v>
      </c>
      <c r="H158" s="22">
        <f>INDEX(Data[],MATCH($A158,Data[Dist],0),MATCH(H$4,Data[#Headers],0))</f>
        <v>12754909</v>
      </c>
      <c r="I158" s="22">
        <f>INDEX(Data[],MATCH($A158,Data[Dist],0),MATCH(I$4,Data[#Headers],0))</f>
        <v>15167441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43163</v>
      </c>
      <c r="D159" s="22">
        <f>INDEX(Data[],MATCH($A159,Data[Dist],0),MATCH(D$4,Data[#Headers],0))</f>
        <v>232126</v>
      </c>
      <c r="E159" s="22">
        <f>INDEX(Data[],MATCH($A159,Data[Dist],0),MATCH(E$4,Data[#Headers],0))</f>
        <v>22748</v>
      </c>
      <c r="F159" s="22">
        <f>INDEX(Data[],MATCH($A159,Data[Dist],0),MATCH(F$4,Data[#Headers],0))</f>
        <v>24433</v>
      </c>
      <c r="G159" s="22">
        <f>INDEX(Data[],MATCH($A159,Data[Dist],0),MATCH(G$4,Data[#Headers],0))</f>
        <v>122314</v>
      </c>
      <c r="H159" s="22">
        <f>INDEX(Data[],MATCH($A159,Data[Dist],0),MATCH(H$4,Data[#Headers],0))</f>
        <v>1533952</v>
      </c>
      <c r="I159" s="22">
        <f>INDEX(Data[],MATCH($A159,Data[Dist],0),MATCH(I$4,Data[#Headers],0))</f>
        <v>1978736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307845</v>
      </c>
      <c r="E160" s="22">
        <f>INDEX(Data[],MATCH($A160,Data[Dist],0),MATCH(E$4,Data[#Headers],0))</f>
        <v>38853</v>
      </c>
      <c r="F160" s="22">
        <f>INDEX(Data[],MATCH($A160,Data[Dist],0),MATCH(F$4,Data[#Headers],0))</f>
        <v>35633</v>
      </c>
      <c r="G160" s="22">
        <f>INDEX(Data[],MATCH($A160,Data[Dist],0),MATCH(G$4,Data[#Headers],0))</f>
        <v>162911</v>
      </c>
      <c r="H160" s="22">
        <f>INDEX(Data[],MATCH($A160,Data[Dist],0),MATCH(H$4,Data[#Headers],0))</f>
        <v>2248060</v>
      </c>
      <c r="I160" s="22">
        <f>INDEX(Data[],MATCH($A160,Data[Dist],0),MATCH(I$4,Data[#Headers],0))</f>
        <v>2793302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309335</v>
      </c>
      <c r="D161" s="22">
        <f>INDEX(Data[],MATCH($A161,Data[Dist],0),MATCH(D$4,Data[#Headers],0))</f>
        <v>1092255</v>
      </c>
      <c r="E161" s="22">
        <f>INDEX(Data[],MATCH($A161,Data[Dist],0),MATCH(E$4,Data[#Headers],0))</f>
        <v>129587</v>
      </c>
      <c r="F161" s="22">
        <f>INDEX(Data[],MATCH($A161,Data[Dist],0),MATCH(F$4,Data[#Headers],0))</f>
        <v>117284</v>
      </c>
      <c r="G161" s="22">
        <f>INDEX(Data[],MATCH($A161,Data[Dist],0),MATCH(G$4,Data[#Headers],0))</f>
        <v>611780</v>
      </c>
      <c r="H161" s="22">
        <f>INDEX(Data[],MATCH($A161,Data[Dist],0),MATCH(H$4,Data[#Headers],0))</f>
        <v>10546874</v>
      </c>
      <c r="I161" s="22">
        <f>INDEX(Data[],MATCH($A161,Data[Dist],0),MATCH(I$4,Data[#Headers],0))</f>
        <v>12807115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140280</v>
      </c>
      <c r="D162" s="22">
        <f>INDEX(Data[],MATCH($A162,Data[Dist],0),MATCH(D$4,Data[#Headers],0))</f>
        <v>379208</v>
      </c>
      <c r="E162" s="22">
        <f>INDEX(Data[],MATCH($A162,Data[Dist],0),MATCH(E$4,Data[#Headers],0))</f>
        <v>44772</v>
      </c>
      <c r="F162" s="22">
        <f>INDEX(Data[],MATCH($A162,Data[Dist],0),MATCH(F$4,Data[#Headers],0))</f>
        <v>39203</v>
      </c>
      <c r="G162" s="22">
        <f>INDEX(Data[],MATCH($A162,Data[Dist],0),MATCH(G$4,Data[#Headers],0))</f>
        <v>201658</v>
      </c>
      <c r="H162" s="22">
        <f>INDEX(Data[],MATCH($A162,Data[Dist],0),MATCH(H$4,Data[#Headers],0))</f>
        <v>2513058</v>
      </c>
      <c r="I162" s="22">
        <f>INDEX(Data[],MATCH($A162,Data[Dist],0),MATCH(I$4,Data[#Headers],0))</f>
        <v>3318179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50357</v>
      </c>
      <c r="D163" s="22">
        <f>INDEX(Data[],MATCH($A163,Data[Dist],0),MATCH(D$4,Data[#Headers],0))</f>
        <v>210771</v>
      </c>
      <c r="E163" s="22">
        <f>INDEX(Data[],MATCH($A163,Data[Dist],0),MATCH(E$4,Data[#Headers],0))</f>
        <v>23002</v>
      </c>
      <c r="F163" s="22">
        <f>INDEX(Data[],MATCH($A163,Data[Dist],0),MATCH(F$4,Data[#Headers],0))</f>
        <v>22777</v>
      </c>
      <c r="G163" s="22">
        <f>INDEX(Data[],MATCH($A163,Data[Dist],0),MATCH(G$4,Data[#Headers],0))</f>
        <v>105000</v>
      </c>
      <c r="H163" s="22">
        <f>INDEX(Data[],MATCH($A163,Data[Dist],0),MATCH(H$4,Data[#Headers],0))</f>
        <v>1972503</v>
      </c>
      <c r="I163" s="22">
        <f>INDEX(Data[],MATCH($A163,Data[Dist],0),MATCH(I$4,Data[#Headers],0))</f>
        <v>2384410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64818</v>
      </c>
      <c r="D164" s="22">
        <f>INDEX(Data[],MATCH($A164,Data[Dist],0),MATCH(D$4,Data[#Headers],0))</f>
        <v>185726</v>
      </c>
      <c r="E164" s="22">
        <f>INDEX(Data[],MATCH($A164,Data[Dist],0),MATCH(E$4,Data[#Headers],0))</f>
        <v>19226</v>
      </c>
      <c r="F164" s="22">
        <f>INDEX(Data[],MATCH($A164,Data[Dist],0),MATCH(F$4,Data[#Headers],0))</f>
        <v>20286</v>
      </c>
      <c r="G164" s="22">
        <f>INDEX(Data[],MATCH($A164,Data[Dist],0),MATCH(G$4,Data[#Headers],0))</f>
        <v>94086</v>
      </c>
      <c r="H164" s="22">
        <f>INDEX(Data[],MATCH($A164,Data[Dist],0),MATCH(H$4,Data[#Headers],0))</f>
        <v>1178363</v>
      </c>
      <c r="I164" s="22">
        <f>INDEX(Data[],MATCH($A164,Data[Dist],0),MATCH(I$4,Data[#Headers],0))</f>
        <v>1562505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118699</v>
      </c>
      <c r="D165" s="22">
        <f>INDEX(Data[],MATCH($A165,Data[Dist],0),MATCH(D$4,Data[#Headers],0))</f>
        <v>371518</v>
      </c>
      <c r="E165" s="22">
        <f>INDEX(Data[],MATCH($A165,Data[Dist],0),MATCH(E$4,Data[#Headers],0))</f>
        <v>38462</v>
      </c>
      <c r="F165" s="22">
        <f>INDEX(Data[],MATCH($A165,Data[Dist],0),MATCH(F$4,Data[#Headers],0))</f>
        <v>39593</v>
      </c>
      <c r="G165" s="22">
        <f>INDEX(Data[],MATCH($A165,Data[Dist],0),MATCH(G$4,Data[#Headers],0))</f>
        <v>212200</v>
      </c>
      <c r="H165" s="22">
        <f>INDEX(Data[],MATCH($A165,Data[Dist],0),MATCH(H$4,Data[#Headers],0))</f>
        <v>2950114</v>
      </c>
      <c r="I165" s="22">
        <f>INDEX(Data[],MATCH($A165,Data[Dist],0),MATCH(I$4,Data[#Headers],0))</f>
        <v>3730586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75536</v>
      </c>
      <c r="D166" s="22">
        <f>INDEX(Data[],MATCH($A166,Data[Dist],0),MATCH(D$4,Data[#Headers],0))</f>
        <v>395168</v>
      </c>
      <c r="E166" s="22">
        <f>INDEX(Data[],MATCH($A166,Data[Dist],0),MATCH(E$4,Data[#Headers],0))</f>
        <v>45365</v>
      </c>
      <c r="F166" s="22">
        <f>INDEX(Data[],MATCH($A166,Data[Dist],0),MATCH(F$4,Data[#Headers],0))</f>
        <v>44906</v>
      </c>
      <c r="G166" s="22">
        <f>INDEX(Data[],MATCH($A166,Data[Dist],0),MATCH(G$4,Data[#Headers],0))</f>
        <v>205863</v>
      </c>
      <c r="H166" s="22">
        <f>INDEX(Data[],MATCH($A166,Data[Dist],0),MATCH(H$4,Data[#Headers],0))</f>
        <v>2284187</v>
      </c>
      <c r="I166" s="22">
        <f>INDEX(Data[],MATCH($A166,Data[Dist],0),MATCH(I$4,Data[#Headers],0))</f>
        <v>3051025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381273</v>
      </c>
      <c r="D167" s="22">
        <f>INDEX(Data[],MATCH($A167,Data[Dist],0),MATCH(D$4,Data[#Headers],0))</f>
        <v>1335540</v>
      </c>
      <c r="E167" s="22">
        <f>INDEX(Data[],MATCH($A167,Data[Dist],0),MATCH(E$4,Data[#Headers],0))</f>
        <v>147600</v>
      </c>
      <c r="F167" s="22">
        <f>INDEX(Data[],MATCH($A167,Data[Dist],0),MATCH(F$4,Data[#Headers],0))</f>
        <v>154922</v>
      </c>
      <c r="G167" s="22">
        <f>INDEX(Data[],MATCH($A167,Data[Dist],0),MATCH(G$4,Data[#Headers],0))</f>
        <v>779229</v>
      </c>
      <c r="H167" s="22">
        <f>INDEX(Data[],MATCH($A167,Data[Dist],0),MATCH(H$4,Data[#Headers],0))</f>
        <v>11078436</v>
      </c>
      <c r="I167" s="22">
        <f>INDEX(Data[],MATCH($A167,Data[Dist],0),MATCH(I$4,Data[#Headers],0))</f>
        <v>13877000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107907</v>
      </c>
      <c r="D168" s="22">
        <f>INDEX(Data[],MATCH($A168,Data[Dist],0),MATCH(D$4,Data[#Headers],0))</f>
        <v>309115</v>
      </c>
      <c r="E168" s="22">
        <f>INDEX(Data[],MATCH($A168,Data[Dist],0),MATCH(E$4,Data[#Headers],0))</f>
        <v>40738</v>
      </c>
      <c r="F168" s="22">
        <f>INDEX(Data[],MATCH($A168,Data[Dist],0),MATCH(F$4,Data[#Headers],0))</f>
        <v>35634</v>
      </c>
      <c r="G168" s="22">
        <f>INDEX(Data[],MATCH($A168,Data[Dist],0),MATCH(G$4,Data[#Headers],0))</f>
        <v>158373</v>
      </c>
      <c r="H168" s="22">
        <f>INDEX(Data[],MATCH($A168,Data[Dist],0),MATCH(H$4,Data[#Headers],0))</f>
        <v>2315234</v>
      </c>
      <c r="I168" s="22">
        <f>INDEX(Data[],MATCH($A168,Data[Dist],0),MATCH(I$4,Data[#Headers],0))</f>
        <v>2967001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161862</v>
      </c>
      <c r="D169" s="22">
        <f>INDEX(Data[],MATCH($A169,Data[Dist],0),MATCH(D$4,Data[#Headers],0))</f>
        <v>1572091</v>
      </c>
      <c r="E169" s="22">
        <f>INDEX(Data[],MATCH($A169,Data[Dist],0),MATCH(E$4,Data[#Headers],0))</f>
        <v>231974</v>
      </c>
      <c r="F169" s="22">
        <f>INDEX(Data[],MATCH($A169,Data[Dist],0),MATCH(F$4,Data[#Headers],0))</f>
        <v>183743</v>
      </c>
      <c r="G169" s="22">
        <f>INDEX(Data[],MATCH($A169,Data[Dist],0),MATCH(G$4,Data[#Headers],0))</f>
        <v>910549</v>
      </c>
      <c r="H169" s="22">
        <f>INDEX(Data[],MATCH($A169,Data[Dist],0),MATCH(H$4,Data[#Headers],0))</f>
        <v>10607324</v>
      </c>
      <c r="I169" s="22">
        <f>INDEX(Data[],MATCH($A169,Data[Dist],0),MATCH(I$4,Data[#Headers],0))</f>
        <v>13667543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97263</v>
      </c>
      <c r="D170" s="22">
        <f>INDEX(Data[],MATCH($A170,Data[Dist],0),MATCH(D$4,Data[#Headers],0))</f>
        <v>454658</v>
      </c>
      <c r="E170" s="22">
        <f>INDEX(Data[],MATCH($A170,Data[Dist],0),MATCH(E$4,Data[#Headers],0))</f>
        <v>48067</v>
      </c>
      <c r="F170" s="22">
        <f>INDEX(Data[],MATCH($A170,Data[Dist],0),MATCH(F$4,Data[#Headers],0))</f>
        <v>48875</v>
      </c>
      <c r="G170" s="22">
        <f>INDEX(Data[],MATCH($A170,Data[Dist],0),MATCH(G$4,Data[#Headers],0))</f>
        <v>256671</v>
      </c>
      <c r="H170" s="22">
        <f>INDEX(Data[],MATCH($A170,Data[Dist],0),MATCH(H$4,Data[#Headers],0))</f>
        <v>3551951</v>
      </c>
      <c r="I170" s="22">
        <f>INDEX(Data[],MATCH($A170,Data[Dist],0),MATCH(I$4,Data[#Headers],0))</f>
        <v>4457485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863260</v>
      </c>
      <c r="D171" s="22">
        <f>INDEX(Data[],MATCH($A171,Data[Dist],0),MATCH(D$4,Data[#Headers],0))</f>
        <v>4428588</v>
      </c>
      <c r="E171" s="22">
        <f>INDEX(Data[],MATCH($A171,Data[Dist],0),MATCH(E$4,Data[#Headers],0))</f>
        <v>491888</v>
      </c>
      <c r="F171" s="22">
        <f>INDEX(Data[],MATCH($A171,Data[Dist],0),MATCH(F$4,Data[#Headers],0))</f>
        <v>495307</v>
      </c>
      <c r="G171" s="22">
        <f>INDEX(Data[],MATCH($A171,Data[Dist],0),MATCH(G$4,Data[#Headers],0))</f>
        <v>2652199</v>
      </c>
      <c r="H171" s="22">
        <f>INDEX(Data[],MATCH($A171,Data[Dist],0),MATCH(H$4,Data[#Headers],0))</f>
        <v>40332066</v>
      </c>
      <c r="I171" s="22">
        <f>INDEX(Data[],MATCH($A171,Data[Dist],0),MATCH(I$4,Data[#Headers],0))</f>
        <v>49263308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165458</v>
      </c>
      <c r="D172" s="22">
        <f>INDEX(Data[],MATCH($A172,Data[Dist],0),MATCH(D$4,Data[#Headers],0))</f>
        <v>384415</v>
      </c>
      <c r="E172" s="22">
        <f>INDEX(Data[],MATCH($A172,Data[Dist],0),MATCH(E$4,Data[#Headers],0))</f>
        <v>38170</v>
      </c>
      <c r="F172" s="22">
        <f>INDEX(Data[],MATCH($A172,Data[Dist],0),MATCH(F$4,Data[#Headers],0))</f>
        <v>38503</v>
      </c>
      <c r="G172" s="22">
        <f>INDEX(Data[],MATCH($A172,Data[Dist],0),MATCH(G$4,Data[#Headers],0))</f>
        <v>228187</v>
      </c>
      <c r="H172" s="22">
        <f>INDEX(Data[],MATCH($A172,Data[Dist],0),MATCH(H$4,Data[#Headers],0))</f>
        <v>3593403</v>
      </c>
      <c r="I172" s="22">
        <f>INDEX(Data[],MATCH($A172,Data[Dist],0),MATCH(I$4,Data[#Headers],0))</f>
        <v>4448136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129489</v>
      </c>
      <c r="D173" s="22">
        <f>INDEX(Data[],MATCH($A173,Data[Dist],0),MATCH(D$4,Data[#Headers],0))</f>
        <v>348804</v>
      </c>
      <c r="E173" s="22">
        <f>INDEX(Data[],MATCH($A173,Data[Dist],0),MATCH(E$4,Data[#Headers],0))</f>
        <v>39692</v>
      </c>
      <c r="F173" s="22">
        <f>INDEX(Data[],MATCH($A173,Data[Dist],0),MATCH(F$4,Data[#Headers],0))</f>
        <v>38914</v>
      </c>
      <c r="G173" s="22">
        <f>INDEX(Data[],MATCH($A173,Data[Dist],0),MATCH(G$4,Data[#Headers],0))</f>
        <v>195023</v>
      </c>
      <c r="H173" s="22">
        <f>INDEX(Data[],MATCH($A173,Data[Dist],0),MATCH(H$4,Data[#Headers],0))</f>
        <v>2782214</v>
      </c>
      <c r="I173" s="22">
        <f>INDEX(Data[],MATCH($A173,Data[Dist],0),MATCH(I$4,Data[#Headers],0))</f>
        <v>3534136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68342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1677531</v>
      </c>
      <c r="I174" s="22">
        <f>INDEX(Data[],MATCH($A174,Data[Dist],0),MATCH(I$4,Data[#Headers],0))</f>
        <v>2187202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161862</v>
      </c>
      <c r="D175" s="22">
        <f>INDEX(Data[],MATCH($A175,Data[Dist],0),MATCH(D$4,Data[#Headers],0))</f>
        <v>473216</v>
      </c>
      <c r="E175" s="22">
        <f>INDEX(Data[],MATCH($A175,Data[Dist],0),MATCH(E$4,Data[#Headers],0))</f>
        <v>50579</v>
      </c>
      <c r="F175" s="22">
        <f>INDEX(Data[],MATCH($A175,Data[Dist],0),MATCH(F$4,Data[#Headers],0))</f>
        <v>54722</v>
      </c>
      <c r="G175" s="22">
        <f>INDEX(Data[],MATCH($A175,Data[Dist],0),MATCH(G$4,Data[#Headers],0))</f>
        <v>246792</v>
      </c>
      <c r="H175" s="22">
        <f>INDEX(Data[],MATCH($A175,Data[Dist],0),MATCH(H$4,Data[#Headers],0))</f>
        <v>3529226</v>
      </c>
      <c r="I175" s="22">
        <f>INDEX(Data[],MATCH($A175,Data[Dist],0),MATCH(I$4,Data[#Headers],0))</f>
        <v>4516397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21581</v>
      </c>
      <c r="D176" s="22">
        <f>INDEX(Data[],MATCH($A176,Data[Dist],0),MATCH(D$4,Data[#Headers],0))</f>
        <v>110884</v>
      </c>
      <c r="E176" s="22">
        <f>INDEX(Data[],MATCH($A176,Data[Dist],0),MATCH(E$4,Data[#Headers],0))</f>
        <v>2696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164198</v>
      </c>
      <c r="I176" s="22">
        <f>INDEX(Data[],MATCH($A176,Data[Dist],0),MATCH(I$4,Data[#Headers],0))</f>
        <v>366453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143877</v>
      </c>
      <c r="D177" s="22">
        <f>INDEX(Data[],MATCH($A177,Data[Dist],0),MATCH(D$4,Data[#Headers],0))</f>
        <v>279509</v>
      </c>
      <c r="E177" s="22">
        <f>INDEX(Data[],MATCH($A177,Data[Dist],0),MATCH(E$4,Data[#Headers],0))</f>
        <v>28521</v>
      </c>
      <c r="F177" s="22">
        <f>INDEX(Data[],MATCH($A177,Data[Dist],0),MATCH(F$4,Data[#Headers],0))</f>
        <v>28177</v>
      </c>
      <c r="G177" s="22">
        <f>INDEX(Data[],MATCH($A177,Data[Dist],0),MATCH(G$4,Data[#Headers],0))</f>
        <v>154253</v>
      </c>
      <c r="H177" s="22">
        <f>INDEX(Data[],MATCH($A177,Data[Dist],0),MATCH(H$4,Data[#Headers],0))</f>
        <v>1953857</v>
      </c>
      <c r="I177" s="22">
        <f>INDEX(Data[],MATCH($A177,Data[Dist],0),MATCH(I$4,Data[#Headers],0))</f>
        <v>2588194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100714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4176742</v>
      </c>
      <c r="I178" s="22">
        <f>INDEX(Data[],MATCH($A178,Data[Dist],0),MATCH(I$4,Data[#Headers],0))</f>
        <v>5021834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86326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2355819</v>
      </c>
      <c r="I179" s="22">
        <f>INDEX(Data[],MATCH($A179,Data[Dist],0),MATCH(I$4,Data[#Headers],0))</f>
        <v>3080519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133013</v>
      </c>
      <c r="D180" s="22">
        <f>INDEX(Data[],MATCH($A180,Data[Dist],0),MATCH(D$4,Data[#Headers],0))</f>
        <v>425423</v>
      </c>
      <c r="E180" s="22">
        <f>INDEX(Data[],MATCH($A180,Data[Dist],0),MATCH(E$4,Data[#Headers],0))</f>
        <v>38096</v>
      </c>
      <c r="F180" s="22">
        <f>INDEX(Data[],MATCH($A180,Data[Dist],0),MATCH(F$4,Data[#Headers],0))</f>
        <v>46279</v>
      </c>
      <c r="G180" s="22">
        <f>INDEX(Data[],MATCH($A180,Data[Dist],0),MATCH(G$4,Data[#Headers],0))</f>
        <v>227594</v>
      </c>
      <c r="H180" s="22">
        <f>INDEX(Data[],MATCH($A180,Data[Dist],0),MATCH(H$4,Data[#Headers],0))</f>
        <v>2305155</v>
      </c>
      <c r="I180" s="22">
        <f>INDEX(Data[],MATCH($A180,Data[Dist],0),MATCH(I$4,Data[#Headers],0))</f>
        <v>3175560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82730</v>
      </c>
      <c r="D181" s="22">
        <f>INDEX(Data[],MATCH($A181,Data[Dist],0),MATCH(D$4,Data[#Headers],0))</f>
        <v>378317</v>
      </c>
      <c r="E181" s="22">
        <f>INDEX(Data[],MATCH($A181,Data[Dist],0),MATCH(E$4,Data[#Headers],0))</f>
        <v>38271</v>
      </c>
      <c r="F181" s="22">
        <f>INDEX(Data[],MATCH($A181,Data[Dist],0),MATCH(F$4,Data[#Headers],0))</f>
        <v>39841</v>
      </c>
      <c r="G181" s="22">
        <f>INDEX(Data[],MATCH($A181,Data[Dist],0),MATCH(G$4,Data[#Headers],0))</f>
        <v>209163</v>
      </c>
      <c r="H181" s="22">
        <f>INDEX(Data[],MATCH($A181,Data[Dist],0),MATCH(H$4,Data[#Headers],0))</f>
        <v>2228549</v>
      </c>
      <c r="I181" s="22">
        <f>INDEX(Data[],MATCH($A181,Data[Dist],0),MATCH(I$4,Data[#Headers],0))</f>
        <v>2976871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269769</v>
      </c>
      <c r="D182" s="22">
        <f>INDEX(Data[],MATCH($A182,Data[Dist],0),MATCH(D$4,Data[#Headers],0))</f>
        <v>821098</v>
      </c>
      <c r="E182" s="22">
        <f>INDEX(Data[],MATCH($A182,Data[Dist],0),MATCH(E$4,Data[#Headers],0))</f>
        <v>98694</v>
      </c>
      <c r="F182" s="22">
        <f>INDEX(Data[],MATCH($A182,Data[Dist],0),MATCH(F$4,Data[#Headers],0))</f>
        <v>95770</v>
      </c>
      <c r="G182" s="22">
        <f>INDEX(Data[],MATCH($A182,Data[Dist],0),MATCH(G$4,Data[#Headers],0))</f>
        <v>439933</v>
      </c>
      <c r="H182" s="22">
        <f>INDEX(Data[],MATCH($A182,Data[Dist],0),MATCH(H$4,Data[#Headers],0))</f>
        <v>7793734</v>
      </c>
      <c r="I182" s="22">
        <f>INDEX(Data[],MATCH($A182,Data[Dist],0),MATCH(I$4,Data[#Headers],0))</f>
        <v>9518998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143877</v>
      </c>
      <c r="D183" s="22">
        <f>INDEX(Data[],MATCH($A183,Data[Dist],0),MATCH(D$4,Data[#Headers],0))</f>
        <v>428234</v>
      </c>
      <c r="E183" s="22">
        <f>INDEX(Data[],MATCH($A183,Data[Dist],0),MATCH(E$4,Data[#Headers],0))</f>
        <v>46435</v>
      </c>
      <c r="F183" s="22">
        <f>INDEX(Data[],MATCH($A183,Data[Dist],0),MATCH(F$4,Data[#Headers],0))</f>
        <v>47301</v>
      </c>
      <c r="G183" s="22">
        <f>INDEX(Data[],MATCH($A183,Data[Dist],0),MATCH(G$4,Data[#Headers],0))</f>
        <v>236181</v>
      </c>
      <c r="H183" s="22">
        <f>INDEX(Data[],MATCH($A183,Data[Dist],0),MATCH(H$4,Data[#Headers],0))</f>
        <v>2657420</v>
      </c>
      <c r="I183" s="22">
        <f>INDEX(Data[],MATCH($A183,Data[Dist],0),MATCH(I$4,Data[#Headers],0))</f>
        <v>3559448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64744</v>
      </c>
      <c r="D184" s="22">
        <f>INDEX(Data[],MATCH($A184,Data[Dist],0),MATCH(D$4,Data[#Headers],0))</f>
        <v>287167</v>
      </c>
      <c r="E184" s="22">
        <f>INDEX(Data[],MATCH($A184,Data[Dist],0),MATCH(E$4,Data[#Headers],0))</f>
        <v>24177</v>
      </c>
      <c r="F184" s="22">
        <f>INDEX(Data[],MATCH($A184,Data[Dist],0),MATCH(F$4,Data[#Headers],0))</f>
        <v>30501</v>
      </c>
      <c r="G184" s="22">
        <f>INDEX(Data[],MATCH($A184,Data[Dist],0),MATCH(G$4,Data[#Headers],0))</f>
        <v>152229</v>
      </c>
      <c r="H184" s="22">
        <f>INDEX(Data[],MATCH($A184,Data[Dist],0),MATCH(H$4,Data[#Headers],0))</f>
        <v>1249489</v>
      </c>
      <c r="I184" s="22">
        <f>INDEX(Data[],MATCH($A184,Data[Dist],0),MATCH(I$4,Data[#Headers],0))</f>
        <v>1808307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341707</v>
      </c>
      <c r="D185" s="22">
        <f>INDEX(Data[],MATCH($A185,Data[Dist],0),MATCH(D$4,Data[#Headers],0))</f>
        <v>1222903</v>
      </c>
      <c r="E185" s="22">
        <f>INDEX(Data[],MATCH($A185,Data[Dist],0),MATCH(E$4,Data[#Headers],0))</f>
        <v>149890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667457</v>
      </c>
      <c r="H185" s="22">
        <f>INDEX(Data[],MATCH($A185,Data[Dist],0),MATCH(H$4,Data[#Headers],0))</f>
        <v>11589467</v>
      </c>
      <c r="I185" s="22">
        <f>INDEX(Data[],MATCH($A185,Data[Dist],0),MATCH(I$4,Data[#Headers],0))</f>
        <v>14117967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809306</v>
      </c>
      <c r="D186" s="22">
        <f>INDEX(Data[],MATCH($A186,Data[Dist],0),MATCH(D$4,Data[#Headers],0))</f>
        <v>3208498</v>
      </c>
      <c r="E186" s="22">
        <f>INDEX(Data[],MATCH($A186,Data[Dist],0),MATCH(E$4,Data[#Headers],0))</f>
        <v>491158</v>
      </c>
      <c r="F186" s="22">
        <f>INDEX(Data[],MATCH($A186,Data[Dist],0),MATCH(F$4,Data[#Headers],0))</f>
        <v>359557</v>
      </c>
      <c r="G186" s="22">
        <f>INDEX(Data[],MATCH($A186,Data[Dist],0),MATCH(G$4,Data[#Headers],0))</f>
        <v>1861346</v>
      </c>
      <c r="H186" s="22">
        <f>INDEX(Data[],MATCH($A186,Data[Dist],0),MATCH(H$4,Data[#Headers],0))</f>
        <v>35416776</v>
      </c>
      <c r="I186" s="22">
        <f>INDEX(Data[],MATCH($A186,Data[Dist],0),MATCH(I$4,Data[#Headers],0))</f>
        <v>42146641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82730</v>
      </c>
      <c r="D187" s="22">
        <f>INDEX(Data[],MATCH($A187,Data[Dist],0),MATCH(D$4,Data[#Headers],0))</f>
        <v>318430</v>
      </c>
      <c r="E187" s="22">
        <f>INDEX(Data[],MATCH($A187,Data[Dist],0),MATCH(E$4,Data[#Headers],0))</f>
        <v>34968</v>
      </c>
      <c r="F187" s="22">
        <f>INDEX(Data[],MATCH($A187,Data[Dist],0),MATCH(F$4,Data[#Headers],0))</f>
        <v>30908</v>
      </c>
      <c r="G187" s="22">
        <f>INDEX(Data[],MATCH($A187,Data[Dist],0),MATCH(G$4,Data[#Headers],0))</f>
        <v>179876</v>
      </c>
      <c r="H187" s="22">
        <f>INDEX(Data[],MATCH($A187,Data[Dist],0),MATCH(H$4,Data[#Headers],0))</f>
        <v>2516651</v>
      </c>
      <c r="I187" s="22">
        <f>INDEX(Data[],MATCH($A187,Data[Dist],0),MATCH(I$4,Data[#Headers],0))</f>
        <v>3163563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481987</v>
      </c>
      <c r="D188" s="22">
        <f>INDEX(Data[],MATCH($A188,Data[Dist],0),MATCH(D$4,Data[#Headers],0))</f>
        <v>2148373</v>
      </c>
      <c r="E188" s="22">
        <f>INDEX(Data[],MATCH($A188,Data[Dist],0),MATCH(E$4,Data[#Headers],0))</f>
        <v>287685</v>
      </c>
      <c r="F188" s="22">
        <f>INDEX(Data[],MATCH($A188,Data[Dist],0),MATCH(F$4,Data[#Headers],0))</f>
        <v>254556</v>
      </c>
      <c r="G188" s="22">
        <f>INDEX(Data[],MATCH($A188,Data[Dist],0),MATCH(G$4,Data[#Headers],0))</f>
        <v>1235590</v>
      </c>
      <c r="H188" s="22">
        <f>INDEX(Data[],MATCH($A188,Data[Dist],0),MATCH(H$4,Data[#Headers],0))</f>
        <v>18586747</v>
      </c>
      <c r="I188" s="22">
        <f>INDEX(Data[],MATCH($A188,Data[Dist],0),MATCH(I$4,Data[#Headers],0))</f>
        <v>22994938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197831</v>
      </c>
      <c r="D189" s="22">
        <f>INDEX(Data[],MATCH($A189,Data[Dist],0),MATCH(D$4,Data[#Headers],0))</f>
        <v>915293</v>
      </c>
      <c r="E189" s="22">
        <f>INDEX(Data[],MATCH($A189,Data[Dist],0),MATCH(E$4,Data[#Headers],0))</f>
        <v>105984</v>
      </c>
      <c r="F189" s="22">
        <f>INDEX(Data[],MATCH($A189,Data[Dist],0),MATCH(F$4,Data[#Headers],0))</f>
        <v>109069</v>
      </c>
      <c r="G189" s="22">
        <f>INDEX(Data[],MATCH($A189,Data[Dist],0),MATCH(G$4,Data[#Headers],0))</f>
        <v>522907</v>
      </c>
      <c r="H189" s="22">
        <f>INDEX(Data[],MATCH($A189,Data[Dist],0),MATCH(H$4,Data[#Headers],0))</f>
        <v>6912513</v>
      </c>
      <c r="I189" s="22">
        <f>INDEX(Data[],MATCH($A189,Data[Dist],0),MATCH(I$4,Data[#Headers],0))</f>
        <v>8763597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517290</v>
      </c>
      <c r="E190" s="22">
        <f>INDEX(Data[],MATCH($A190,Data[Dist],0),MATCH(E$4,Data[#Headers],0))</f>
        <v>54417</v>
      </c>
      <c r="F190" s="22">
        <f>INDEX(Data[],MATCH($A190,Data[Dist],0),MATCH(F$4,Data[#Headers],0))</f>
        <v>51411</v>
      </c>
      <c r="G190" s="22">
        <f>INDEX(Data[],MATCH($A190,Data[Dist],0),MATCH(G$4,Data[#Headers],0))</f>
        <v>287459</v>
      </c>
      <c r="H190" s="22">
        <f>INDEX(Data[],MATCH($A190,Data[Dist],0),MATCH(H$4,Data[#Headers],0))</f>
        <v>3790658</v>
      </c>
      <c r="I190" s="22">
        <f>INDEX(Data[],MATCH($A190,Data[Dist],0),MATCH(I$4,Data[#Headers],0))</f>
        <v>4701235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82730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114495</v>
      </c>
      <c r="H191" s="22">
        <f>INDEX(Data[],MATCH($A191,Data[Dist],0),MATCH(H$4,Data[#Headers],0))</f>
        <v>1941126</v>
      </c>
      <c r="I191" s="22">
        <f>INDEX(Data[],MATCH($A191,Data[Dist],0),MATCH(I$4,Data[#Headers],0))</f>
        <v>2424318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79132</v>
      </c>
      <c r="D192" s="22">
        <f>INDEX(Data[],MATCH($A192,Data[Dist],0),MATCH(D$4,Data[#Headers],0))</f>
        <v>341140</v>
      </c>
      <c r="E192" s="22">
        <f>INDEX(Data[],MATCH($A192,Data[Dist],0),MATCH(E$4,Data[#Headers],0))</f>
        <v>36345</v>
      </c>
      <c r="F192" s="22">
        <f>INDEX(Data[],MATCH($A192,Data[Dist],0),MATCH(F$4,Data[#Headers],0))</f>
        <v>34210</v>
      </c>
      <c r="G192" s="22">
        <f>INDEX(Data[],MATCH($A192,Data[Dist],0),MATCH(G$4,Data[#Headers],0))</f>
        <v>178689</v>
      </c>
      <c r="H192" s="22">
        <f>INDEX(Data[],MATCH($A192,Data[Dist],0),MATCH(H$4,Data[#Headers],0))</f>
        <v>2312131</v>
      </c>
      <c r="I192" s="22">
        <f>INDEX(Data[],MATCH($A192,Data[Dist],0),MATCH(I$4,Data[#Headers],0))</f>
        <v>2981647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223082</v>
      </c>
      <c r="D193" s="22">
        <f>INDEX(Data[],MATCH($A193,Data[Dist],0),MATCH(D$4,Data[#Headers],0))</f>
        <v>812443</v>
      </c>
      <c r="E193" s="22">
        <f>INDEX(Data[],MATCH($A193,Data[Dist],0),MATCH(E$4,Data[#Headers],0))</f>
        <v>91585</v>
      </c>
      <c r="F193" s="22">
        <f>INDEX(Data[],MATCH($A193,Data[Dist],0),MATCH(F$4,Data[#Headers],0))</f>
        <v>88677</v>
      </c>
      <c r="G193" s="22">
        <f>INDEX(Data[],MATCH($A193,Data[Dist],0),MATCH(G$4,Data[#Headers],0))</f>
        <v>445134</v>
      </c>
      <c r="H193" s="22">
        <f>INDEX(Data[],MATCH($A193,Data[Dist],0),MATCH(H$4,Data[#Headers],0))</f>
        <v>6454933</v>
      </c>
      <c r="I193" s="22">
        <f>INDEX(Data[],MATCH($A193,Data[Dist],0),MATCH(I$4,Data[#Headers],0))</f>
        <v>8115854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151070</v>
      </c>
      <c r="D194" s="22">
        <f>INDEX(Data[],MATCH($A194,Data[Dist],0),MATCH(D$4,Data[#Headers],0))</f>
        <v>467396</v>
      </c>
      <c r="E194" s="22">
        <f>INDEX(Data[],MATCH($A194,Data[Dist],0),MATCH(E$4,Data[#Headers],0))</f>
        <v>55088</v>
      </c>
      <c r="F194" s="22">
        <f>INDEX(Data[],MATCH($A194,Data[Dist],0),MATCH(F$4,Data[#Headers],0))</f>
        <v>46892</v>
      </c>
      <c r="G194" s="22">
        <f>INDEX(Data[],MATCH($A194,Data[Dist],0),MATCH(G$4,Data[#Headers],0))</f>
        <v>273905</v>
      </c>
      <c r="H194" s="22">
        <f>INDEX(Data[],MATCH($A194,Data[Dist],0),MATCH(H$4,Data[#Headers],0))</f>
        <v>3926863</v>
      </c>
      <c r="I194" s="22">
        <f>INDEX(Data[],MATCH($A194,Data[Dist],0),MATCH(I$4,Data[#Headers],0))</f>
        <v>4921214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154668</v>
      </c>
      <c r="D195" s="22">
        <f>INDEX(Data[],MATCH($A195,Data[Dist],0),MATCH(D$4,Data[#Headers],0))</f>
        <v>505158</v>
      </c>
      <c r="E195" s="22">
        <f>INDEX(Data[],MATCH($A195,Data[Dist],0),MATCH(E$4,Data[#Headers],0))</f>
        <v>62171</v>
      </c>
      <c r="F195" s="22">
        <f>INDEX(Data[],MATCH($A195,Data[Dist],0),MATCH(F$4,Data[#Headers],0))</f>
        <v>61028</v>
      </c>
      <c r="G195" s="22">
        <f>INDEX(Data[],MATCH($A195,Data[Dist],0),MATCH(G$4,Data[#Headers],0))</f>
        <v>277057</v>
      </c>
      <c r="H195" s="22">
        <f>INDEX(Data[],MATCH($A195,Data[Dist],0),MATCH(H$4,Data[#Headers],0))</f>
        <v>4240868</v>
      </c>
      <c r="I195" s="22">
        <f>INDEX(Data[],MATCH($A195,Data[Dist],0),MATCH(I$4,Data[#Headers],0))</f>
        <v>5300950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136683</v>
      </c>
      <c r="D196" s="22">
        <f>INDEX(Data[],MATCH($A196,Data[Dist],0),MATCH(D$4,Data[#Headers],0))</f>
        <v>279192</v>
      </c>
      <c r="E196" s="22">
        <f>INDEX(Data[],MATCH($A196,Data[Dist],0),MATCH(E$4,Data[#Headers],0))</f>
        <v>35849</v>
      </c>
      <c r="F196" s="22">
        <f>INDEX(Data[],MATCH($A196,Data[Dist],0),MATCH(F$4,Data[#Headers],0))</f>
        <v>27508</v>
      </c>
      <c r="G196" s="22">
        <f>INDEX(Data[],MATCH($A196,Data[Dist],0),MATCH(G$4,Data[#Headers],0))</f>
        <v>165502</v>
      </c>
      <c r="H196" s="22">
        <f>INDEX(Data[],MATCH($A196,Data[Dist],0),MATCH(H$4,Data[#Headers],0))</f>
        <v>1711340</v>
      </c>
      <c r="I196" s="22">
        <f>INDEX(Data[],MATCH($A196,Data[Dist],0),MATCH(I$4,Data[#Headers],0))</f>
        <v>2356074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190637</v>
      </c>
      <c r="D197" s="22">
        <f>INDEX(Data[],MATCH($A197,Data[Dist],0),MATCH(D$4,Data[#Headers],0))</f>
        <v>597264</v>
      </c>
      <c r="E197" s="22">
        <f>INDEX(Data[],MATCH($A197,Data[Dist],0),MATCH(E$4,Data[#Headers],0))</f>
        <v>63736</v>
      </c>
      <c r="F197" s="22">
        <f>INDEX(Data[],MATCH($A197,Data[Dist],0),MATCH(F$4,Data[#Headers],0))</f>
        <v>58881</v>
      </c>
      <c r="G197" s="22">
        <f>INDEX(Data[],MATCH($A197,Data[Dist],0),MATCH(G$4,Data[#Headers],0))</f>
        <v>332908</v>
      </c>
      <c r="H197" s="22">
        <f>INDEX(Data[],MATCH($A197,Data[Dist],0),MATCH(H$4,Data[#Headers],0))</f>
        <v>4774497</v>
      </c>
      <c r="I197" s="22">
        <f>INDEX(Data[],MATCH($A197,Data[Dist],0),MATCH(I$4,Data[#Headers],0))</f>
        <v>6017923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57551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1827288</v>
      </c>
      <c r="I198" s="22">
        <f>INDEX(Data[],MATCH($A198,Data[Dist],0),MATCH(I$4,Data[#Headers],0))</f>
        <v>2312924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25179</v>
      </c>
      <c r="D199" s="22">
        <f>INDEX(Data[],MATCH($A199,Data[Dist],0),MATCH(D$4,Data[#Headers],0))</f>
        <v>142853</v>
      </c>
      <c r="E199" s="22">
        <f>INDEX(Data[],MATCH($A199,Data[Dist],0),MATCH(E$4,Data[#Headers],0))</f>
        <v>16699</v>
      </c>
      <c r="F199" s="22">
        <f>INDEX(Data[],MATCH($A199,Data[Dist],0),MATCH(F$4,Data[#Headers],0))</f>
        <v>13192</v>
      </c>
      <c r="G199" s="22">
        <f>INDEX(Data[],MATCH($A199,Data[Dist],0),MATCH(G$4,Data[#Headers],0))</f>
        <v>78302</v>
      </c>
      <c r="H199" s="22">
        <f>INDEX(Data[],MATCH($A199,Data[Dist],0),MATCH(H$4,Data[#Headers],0))</f>
        <v>1305032</v>
      </c>
      <c r="I199" s="22">
        <f>INDEX(Data[],MATCH($A199,Data[Dist],0),MATCH(I$4,Data[#Headers],0))</f>
        <v>1581257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28775</v>
      </c>
      <c r="D200" s="22">
        <f>INDEX(Data[],MATCH($A200,Data[Dist],0),MATCH(D$4,Data[#Headers],0))</f>
        <v>130186</v>
      </c>
      <c r="E200" s="22">
        <f>INDEX(Data[],MATCH($A200,Data[Dist],0),MATCH(E$4,Data[#Headers],0))</f>
        <v>18852</v>
      </c>
      <c r="F200" s="22">
        <f>INDEX(Data[],MATCH($A200,Data[Dist],0),MATCH(F$4,Data[#Headers],0))</f>
        <v>14262</v>
      </c>
      <c r="G200" s="22">
        <f>INDEX(Data[],MATCH($A200,Data[Dist],0),MATCH(G$4,Data[#Headers],0))</f>
        <v>71246</v>
      </c>
      <c r="H200" s="22">
        <f>INDEX(Data[],MATCH($A200,Data[Dist],0),MATCH(H$4,Data[#Headers],0))</f>
        <v>1015538</v>
      </c>
      <c r="I200" s="22">
        <f>INDEX(Data[],MATCH($A200,Data[Dist],0),MATCH(I$4,Data[#Headers],0))</f>
        <v>1278859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61148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970824</v>
      </c>
      <c r="I201" s="22">
        <f>INDEX(Data[],MATCH($A201,Data[Dist],0),MATCH(I$4,Data[#Headers],0))</f>
        <v>1277127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158264</v>
      </c>
      <c r="D202" s="22">
        <f>INDEX(Data[],MATCH($A202,Data[Dist],0),MATCH(D$4,Data[#Headers],0))</f>
        <v>415680</v>
      </c>
      <c r="E202" s="22">
        <f>INDEX(Data[],MATCH($A202,Data[Dist],0),MATCH(E$4,Data[#Headers],0))</f>
        <v>48208</v>
      </c>
      <c r="F202" s="22">
        <f>INDEX(Data[],MATCH($A202,Data[Dist],0),MATCH(F$4,Data[#Headers],0))</f>
        <v>51516</v>
      </c>
      <c r="G202" s="22">
        <f>INDEX(Data[],MATCH($A202,Data[Dist],0),MATCH(G$4,Data[#Headers],0))</f>
        <v>206920</v>
      </c>
      <c r="H202" s="22">
        <f>INDEX(Data[],MATCH($A202,Data[Dist],0),MATCH(H$4,Data[#Headers],0))</f>
        <v>2434936</v>
      </c>
      <c r="I202" s="22">
        <f>INDEX(Data[],MATCH($A202,Data[Dist],0),MATCH(I$4,Data[#Headers],0))</f>
        <v>3315524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269769</v>
      </c>
      <c r="D203" s="22">
        <f>INDEX(Data[],MATCH($A203,Data[Dist],0),MATCH(D$4,Data[#Headers],0))</f>
        <v>1134628</v>
      </c>
      <c r="E203" s="22">
        <f>INDEX(Data[],MATCH($A203,Data[Dist],0),MATCH(E$4,Data[#Headers],0))</f>
        <v>150626</v>
      </c>
      <c r="F203" s="22">
        <f>INDEX(Data[],MATCH($A203,Data[Dist],0),MATCH(F$4,Data[#Headers],0))</f>
        <v>135080</v>
      </c>
      <c r="G203" s="22">
        <f>INDEX(Data[],MATCH($A203,Data[Dist],0),MATCH(G$4,Data[#Headers],0))</f>
        <v>648712</v>
      </c>
      <c r="H203" s="22">
        <f>INDEX(Data[],MATCH($A203,Data[Dist],0),MATCH(H$4,Data[#Headers],0))</f>
        <v>10195534</v>
      </c>
      <c r="I203" s="22">
        <f>INDEX(Data[],MATCH($A203,Data[Dist],0),MATCH(I$4,Data[#Headers],0))</f>
        <v>12534349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169056</v>
      </c>
      <c r="D204" s="22">
        <f>INDEX(Data[],MATCH($A204,Data[Dist],0),MATCH(D$4,Data[#Headers],0))</f>
        <v>702600</v>
      </c>
      <c r="E204" s="22">
        <f>INDEX(Data[],MATCH($A204,Data[Dist],0),MATCH(E$4,Data[#Headers],0))</f>
        <v>86256</v>
      </c>
      <c r="F204" s="22">
        <f>INDEX(Data[],MATCH($A204,Data[Dist],0),MATCH(F$4,Data[#Headers],0))</f>
        <v>79365</v>
      </c>
      <c r="G204" s="22">
        <f>INDEX(Data[],MATCH($A204,Data[Dist],0),MATCH(G$4,Data[#Headers],0))</f>
        <v>391796</v>
      </c>
      <c r="H204" s="22">
        <f>INDEX(Data[],MATCH($A204,Data[Dist],0),MATCH(H$4,Data[#Headers],0))</f>
        <v>5891759</v>
      </c>
      <c r="I204" s="22">
        <f>INDEX(Data[],MATCH($A204,Data[Dist],0),MATCH(I$4,Data[#Headers],0))</f>
        <v>7320832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43163</v>
      </c>
      <c r="D205" s="22">
        <f>INDEX(Data[],MATCH($A205,Data[Dist],0),MATCH(D$4,Data[#Headers],0))</f>
        <v>163862</v>
      </c>
      <c r="E205" s="22">
        <f>INDEX(Data[],MATCH($A205,Data[Dist],0),MATCH(E$4,Data[#Headers],0))</f>
        <v>20028</v>
      </c>
      <c r="F205" s="22">
        <f>INDEX(Data[],MATCH($A205,Data[Dist],0),MATCH(F$4,Data[#Headers],0))</f>
        <v>16428</v>
      </c>
      <c r="G205" s="22">
        <f>INDEX(Data[],MATCH($A205,Data[Dist],0),MATCH(G$4,Data[#Headers],0))</f>
        <v>78575</v>
      </c>
      <c r="H205" s="22">
        <f>INDEX(Data[],MATCH($A205,Data[Dist],0),MATCH(H$4,Data[#Headers],0))</f>
        <v>1247846</v>
      </c>
      <c r="I205" s="22">
        <f>INDEX(Data[],MATCH($A205,Data[Dist],0),MATCH(I$4,Data[#Headers],0))</f>
        <v>1569902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931456</v>
      </c>
      <c r="D206" s="22">
        <f>INDEX(Data[],MATCH($A206,Data[Dist],0),MATCH(D$4,Data[#Headers],0))</f>
        <v>2854264</v>
      </c>
      <c r="E206" s="22">
        <f>INDEX(Data[],MATCH($A206,Data[Dist],0),MATCH(E$4,Data[#Headers],0))</f>
        <v>381287</v>
      </c>
      <c r="F206" s="22">
        <f>INDEX(Data[],MATCH($A206,Data[Dist],0),MATCH(F$4,Data[#Headers],0))</f>
        <v>312430</v>
      </c>
      <c r="G206" s="22">
        <f>INDEX(Data[],MATCH($A206,Data[Dist],0),MATCH(G$4,Data[#Headers],0))</f>
        <v>1640295</v>
      </c>
      <c r="H206" s="22">
        <f>INDEX(Data[],MATCH($A206,Data[Dist],0),MATCH(H$4,Data[#Headers],0))</f>
        <v>27008170</v>
      </c>
      <c r="I206" s="22">
        <f>INDEX(Data[],MATCH($A206,Data[Dist],0),MATCH(I$4,Data[#Headers],0))</f>
        <v>33127902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136683</v>
      </c>
      <c r="D207" s="22">
        <f>INDEX(Data[],MATCH($A207,Data[Dist],0),MATCH(D$4,Data[#Headers],0))</f>
        <v>361678</v>
      </c>
      <c r="E207" s="22">
        <f>INDEX(Data[],MATCH($A207,Data[Dist],0),MATCH(E$4,Data[#Headers],0))</f>
        <v>36647</v>
      </c>
      <c r="F207" s="22">
        <f>INDEX(Data[],MATCH($A207,Data[Dist],0),MATCH(F$4,Data[#Headers],0))</f>
        <v>41073</v>
      </c>
      <c r="G207" s="22">
        <f>INDEX(Data[],MATCH($A207,Data[Dist],0),MATCH(G$4,Data[#Headers],0))</f>
        <v>207906</v>
      </c>
      <c r="H207" s="22">
        <f>INDEX(Data[],MATCH($A207,Data[Dist],0),MATCH(H$4,Data[#Headers],0))</f>
        <v>2979728</v>
      </c>
      <c r="I207" s="22">
        <f>INDEX(Data[],MATCH($A207,Data[Dist],0),MATCH(I$4,Data[#Headers],0))</f>
        <v>3763715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248188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7823003</v>
      </c>
      <c r="I208" s="22">
        <f>INDEX(Data[],MATCH($A208,Data[Dist],0),MATCH(I$4,Data[#Headers],0))</f>
        <v>9724512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136683</v>
      </c>
      <c r="D209" s="22">
        <f>INDEX(Data[],MATCH($A209,Data[Dist],0),MATCH(D$4,Data[#Headers],0))</f>
        <v>295741</v>
      </c>
      <c r="E209" s="22">
        <f>INDEX(Data[],MATCH($A209,Data[Dist],0),MATCH(E$4,Data[#Headers],0))</f>
        <v>37925</v>
      </c>
      <c r="F209" s="22">
        <f>INDEX(Data[],MATCH($A209,Data[Dist],0),MATCH(F$4,Data[#Headers],0))</f>
        <v>31718</v>
      </c>
      <c r="G209" s="22">
        <f>INDEX(Data[],MATCH($A209,Data[Dist],0),MATCH(G$4,Data[#Headers],0))</f>
        <v>163784</v>
      </c>
      <c r="H209" s="22">
        <f>INDEX(Data[],MATCH($A209,Data[Dist],0),MATCH(H$4,Data[#Headers],0))</f>
        <v>1711132</v>
      </c>
      <c r="I209" s="22">
        <f>INDEX(Data[],MATCH($A209,Data[Dist],0),MATCH(I$4,Data[#Headers],0))</f>
        <v>2376983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169056</v>
      </c>
      <c r="D210" s="22">
        <f>INDEX(Data[],MATCH($A210,Data[Dist],0),MATCH(D$4,Data[#Headers],0))</f>
        <v>580192</v>
      </c>
      <c r="E210" s="22">
        <f>INDEX(Data[],MATCH($A210,Data[Dist],0),MATCH(E$4,Data[#Headers],0))</f>
        <v>53858</v>
      </c>
      <c r="F210" s="22">
        <f>INDEX(Data[],MATCH($A210,Data[Dist],0),MATCH(F$4,Data[#Headers],0))</f>
        <v>64419</v>
      </c>
      <c r="G210" s="22">
        <f>INDEX(Data[],MATCH($A210,Data[Dist],0),MATCH(G$4,Data[#Headers],0))</f>
        <v>323972</v>
      </c>
      <c r="H210" s="22">
        <f>INDEX(Data[],MATCH($A210,Data[Dist],0),MATCH(H$4,Data[#Headers],0))</f>
        <v>3814906</v>
      </c>
      <c r="I210" s="22">
        <f>INDEX(Data[],MATCH($A210,Data[Dist],0),MATCH(I$4,Data[#Headers],0))</f>
        <v>5006403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71938</v>
      </c>
      <c r="D211" s="22">
        <f>INDEX(Data[],MATCH($A211,Data[Dist],0),MATCH(D$4,Data[#Headers],0))</f>
        <v>321952</v>
      </c>
      <c r="E211" s="22">
        <f>INDEX(Data[],MATCH($A211,Data[Dist],0),MATCH(E$4,Data[#Headers],0))</f>
        <v>38451</v>
      </c>
      <c r="F211" s="22">
        <f>INDEX(Data[],MATCH($A211,Data[Dist],0),MATCH(F$4,Data[#Headers],0))</f>
        <v>34052</v>
      </c>
      <c r="G211" s="22">
        <f>INDEX(Data[],MATCH($A211,Data[Dist],0),MATCH(G$4,Data[#Headers],0))</f>
        <v>175268</v>
      </c>
      <c r="H211" s="22">
        <f>INDEX(Data[],MATCH($A211,Data[Dist],0),MATCH(H$4,Data[#Headers],0))</f>
        <v>2955849</v>
      </c>
      <c r="I211" s="22">
        <f>INDEX(Data[],MATCH($A211,Data[Dist],0),MATCH(I$4,Data[#Headers],0))</f>
        <v>3597510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258978</v>
      </c>
      <c r="D212" s="22">
        <f>INDEX(Data[],MATCH($A212,Data[Dist],0),MATCH(D$4,Data[#Headers],0))</f>
        <v>1796185</v>
      </c>
      <c r="E212" s="22">
        <f>INDEX(Data[],MATCH($A212,Data[Dist],0),MATCH(E$4,Data[#Headers],0))</f>
        <v>233120</v>
      </c>
      <c r="F212" s="22">
        <f>INDEX(Data[],MATCH($A212,Data[Dist],0),MATCH(F$4,Data[#Headers],0))</f>
        <v>200074</v>
      </c>
      <c r="G212" s="22">
        <f>INDEX(Data[],MATCH($A212,Data[Dist],0),MATCH(G$4,Data[#Headers],0))</f>
        <v>1029023</v>
      </c>
      <c r="H212" s="22">
        <f>INDEX(Data[],MATCH($A212,Data[Dist],0),MATCH(H$4,Data[#Headers],0))</f>
        <v>17710183</v>
      </c>
      <c r="I212" s="22">
        <f>INDEX(Data[],MATCH($A212,Data[Dist],0),MATCH(I$4,Data[#Headers],0))</f>
        <v>21227563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194233</v>
      </c>
      <c r="D213" s="22">
        <f>INDEX(Data[],MATCH($A213,Data[Dist],0),MATCH(D$4,Data[#Headers],0))</f>
        <v>503417</v>
      </c>
      <c r="E213" s="22">
        <f>INDEX(Data[],MATCH($A213,Data[Dist],0),MATCH(E$4,Data[#Headers],0))</f>
        <v>52149</v>
      </c>
      <c r="F213" s="22">
        <f>INDEX(Data[],MATCH($A213,Data[Dist],0),MATCH(F$4,Data[#Headers],0))</f>
        <v>56523</v>
      </c>
      <c r="G213" s="22">
        <f>INDEX(Data[],MATCH($A213,Data[Dist],0),MATCH(G$4,Data[#Headers],0))</f>
        <v>269712</v>
      </c>
      <c r="H213" s="22">
        <f>INDEX(Data[],MATCH($A213,Data[Dist],0),MATCH(H$4,Data[#Headers],0))</f>
        <v>3535546</v>
      </c>
      <c r="I213" s="22">
        <f>INDEX(Data[],MATCH($A213,Data[Dist],0),MATCH(I$4,Data[#Headers],0))</f>
        <v>4611580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165458</v>
      </c>
      <c r="D214" s="22">
        <f>INDEX(Data[],MATCH($A214,Data[Dist],0),MATCH(D$4,Data[#Headers],0))</f>
        <v>350096</v>
      </c>
      <c r="E214" s="22">
        <f>INDEX(Data[],MATCH($A214,Data[Dist],0),MATCH(E$4,Data[#Headers],0))</f>
        <v>42362</v>
      </c>
      <c r="F214" s="22">
        <f>INDEX(Data[],MATCH($A214,Data[Dist],0),MATCH(F$4,Data[#Headers],0))</f>
        <v>39482</v>
      </c>
      <c r="G214" s="22">
        <f>INDEX(Data[],MATCH($A214,Data[Dist],0),MATCH(G$4,Data[#Headers],0))</f>
        <v>182738</v>
      </c>
      <c r="H214" s="22">
        <f>INDEX(Data[],MATCH($A214,Data[Dist],0),MATCH(H$4,Data[#Headers],0))</f>
        <v>2478973</v>
      </c>
      <c r="I214" s="22">
        <f>INDEX(Data[],MATCH($A214,Data[Dist],0),MATCH(I$4,Data[#Headers],0))</f>
        <v>3259109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197174</v>
      </c>
      <c r="D215" s="22">
        <f>INDEX(Data[],MATCH($A215,Data[Dist],0),MATCH(D$4,Data[#Headers],0))</f>
        <v>692673</v>
      </c>
      <c r="E215" s="22">
        <f>INDEX(Data[],MATCH($A215,Data[Dist],0),MATCH(E$4,Data[#Headers],0))</f>
        <v>76141</v>
      </c>
      <c r="F215" s="22">
        <f>INDEX(Data[],MATCH($A215,Data[Dist],0),MATCH(F$4,Data[#Headers],0))</f>
        <v>75888</v>
      </c>
      <c r="G215" s="22">
        <f>INDEX(Data[],MATCH($A215,Data[Dist],0),MATCH(G$4,Data[#Headers],0))</f>
        <v>383418</v>
      </c>
      <c r="H215" s="22">
        <f>INDEX(Data[],MATCH($A215,Data[Dist],0),MATCH(H$4,Data[#Headers],0))</f>
        <v>6078444</v>
      </c>
      <c r="I215" s="22">
        <f>INDEX(Data[],MATCH($A215,Data[Dist],0),MATCH(I$4,Data[#Headers],0))</f>
        <v>7503738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111505</v>
      </c>
      <c r="D216" s="22">
        <f>INDEX(Data[],MATCH($A216,Data[Dist],0),MATCH(D$4,Data[#Headers],0))</f>
        <v>316186</v>
      </c>
      <c r="E216" s="22">
        <f>INDEX(Data[],MATCH($A216,Data[Dist],0),MATCH(E$4,Data[#Headers],0))</f>
        <v>39708</v>
      </c>
      <c r="F216" s="22">
        <f>INDEX(Data[],MATCH($A216,Data[Dist],0),MATCH(F$4,Data[#Headers],0))</f>
        <v>34071</v>
      </c>
      <c r="G216" s="22">
        <f>INDEX(Data[],MATCH($A216,Data[Dist],0),MATCH(G$4,Data[#Headers],0))</f>
        <v>169927</v>
      </c>
      <c r="H216" s="22">
        <f>INDEX(Data[],MATCH($A216,Data[Dist],0),MATCH(H$4,Data[#Headers],0))</f>
        <v>2092265</v>
      </c>
      <c r="I216" s="22">
        <f>INDEX(Data[],MATCH($A216,Data[Dist],0),MATCH(I$4,Data[#Headers],0))</f>
        <v>2763662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115101</v>
      </c>
      <c r="D217" s="22">
        <f>INDEX(Data[],MATCH($A217,Data[Dist],0),MATCH(D$4,Data[#Headers],0))</f>
        <v>358163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204670</v>
      </c>
      <c r="H217" s="22">
        <f>INDEX(Data[],MATCH($A217,Data[Dist],0),MATCH(H$4,Data[#Headers],0))</f>
        <v>2781490</v>
      </c>
      <c r="I217" s="22">
        <f>INDEX(Data[],MATCH($A217,Data[Dist],0),MATCH(I$4,Data[#Headers],0))</f>
        <v>3534583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79132</v>
      </c>
      <c r="D218" s="22">
        <f>INDEX(Data[],MATCH($A218,Data[Dist],0),MATCH(D$4,Data[#Headers],0))</f>
        <v>169676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18990</v>
      </c>
      <c r="G218" s="22">
        <f>INDEX(Data[],MATCH($A218,Data[Dist],0),MATCH(G$4,Data[#Headers],0))</f>
        <v>92783</v>
      </c>
      <c r="H218" s="22">
        <f>INDEX(Data[],MATCH($A218,Data[Dist],0),MATCH(H$4,Data[#Headers],0))</f>
        <v>589018</v>
      </c>
      <c r="I218" s="22">
        <f>INDEX(Data[],MATCH($A218,Data[Dist],0),MATCH(I$4,Data[#Headers],0))</f>
        <v>966788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327320</v>
      </c>
      <c r="D219" s="22">
        <f>INDEX(Data[],MATCH($A219,Data[Dist],0),MATCH(D$4,Data[#Headers],0))</f>
        <v>1100164</v>
      </c>
      <c r="E219" s="22">
        <f>INDEX(Data[],MATCH($A219,Data[Dist],0),MATCH(E$4,Data[#Headers],0))</f>
        <v>114288</v>
      </c>
      <c r="F219" s="22">
        <f>INDEX(Data[],MATCH($A219,Data[Dist],0),MATCH(F$4,Data[#Headers],0))</f>
        <v>115085</v>
      </c>
      <c r="G219" s="22">
        <f>INDEX(Data[],MATCH($A219,Data[Dist],0),MATCH(G$4,Data[#Headers],0))</f>
        <v>662151</v>
      </c>
      <c r="H219" s="22">
        <f>INDEX(Data[],MATCH($A219,Data[Dist],0),MATCH(H$4,Data[#Headers],0))</f>
        <v>10283587</v>
      </c>
      <c r="I219" s="22">
        <f>INDEX(Data[],MATCH($A219,Data[Dist],0),MATCH(I$4,Data[#Headers],0))</f>
        <v>12602595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550183</v>
      </c>
      <c r="D220" s="22">
        <f>INDEX(Data[],MATCH($A220,Data[Dist],0),MATCH(D$4,Data[#Headers],0))</f>
        <v>1875798</v>
      </c>
      <c r="E220" s="22">
        <f>INDEX(Data[],MATCH($A220,Data[Dist],0),MATCH(E$4,Data[#Headers],0))</f>
        <v>204621</v>
      </c>
      <c r="F220" s="22">
        <f>INDEX(Data[],MATCH($A220,Data[Dist],0),MATCH(F$4,Data[#Headers],0))</f>
        <v>210456</v>
      </c>
      <c r="G220" s="22">
        <f>INDEX(Data[],MATCH($A220,Data[Dist],0),MATCH(G$4,Data[#Headers],0))</f>
        <v>1071994</v>
      </c>
      <c r="H220" s="22">
        <f>INDEX(Data[],MATCH($A220,Data[Dist],0),MATCH(H$4,Data[#Headers],0))</f>
        <v>14718228</v>
      </c>
      <c r="I220" s="22">
        <f>INDEX(Data[],MATCH($A220,Data[Dist],0),MATCH(I$4,Data[#Headers],0))</f>
        <v>18631280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122295</v>
      </c>
      <c r="D221" s="22">
        <f>INDEX(Data[],MATCH($A221,Data[Dist],0),MATCH(D$4,Data[#Headers],0))</f>
        <v>297959</v>
      </c>
      <c r="E221" s="22">
        <f>INDEX(Data[],MATCH($A221,Data[Dist],0),MATCH(E$4,Data[#Headers],0))</f>
        <v>30422</v>
      </c>
      <c r="F221" s="22">
        <f>INDEX(Data[],MATCH($A221,Data[Dist],0),MATCH(F$4,Data[#Headers],0))</f>
        <v>31929</v>
      </c>
      <c r="G221" s="22">
        <f>INDEX(Data[],MATCH($A221,Data[Dist],0),MATCH(G$4,Data[#Headers],0))</f>
        <v>152037</v>
      </c>
      <c r="H221" s="22">
        <f>INDEX(Data[],MATCH($A221,Data[Dist],0),MATCH(H$4,Data[#Headers],0))</f>
        <v>1917499</v>
      </c>
      <c r="I221" s="22">
        <f>INDEX(Data[],MATCH($A221,Data[Dist],0),MATCH(I$4,Data[#Headers],0))</f>
        <v>2552141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147474</v>
      </c>
      <c r="D222" s="22">
        <f>INDEX(Data[],MATCH($A222,Data[Dist],0),MATCH(D$4,Data[#Headers],0))</f>
        <v>309822</v>
      </c>
      <c r="E222" s="22">
        <f>INDEX(Data[],MATCH($A222,Data[Dist],0),MATCH(E$4,Data[#Headers],0))</f>
        <v>31089</v>
      </c>
      <c r="F222" s="22">
        <f>INDEX(Data[],MATCH($A222,Data[Dist],0),MATCH(F$4,Data[#Headers],0))</f>
        <v>35468</v>
      </c>
      <c r="G222" s="22">
        <f>INDEX(Data[],MATCH($A222,Data[Dist],0),MATCH(G$4,Data[#Headers],0))</f>
        <v>175861</v>
      </c>
      <c r="H222" s="22">
        <f>INDEX(Data[],MATCH($A222,Data[Dist],0),MATCH(H$4,Data[#Headers],0))</f>
        <v>2247167</v>
      </c>
      <c r="I222" s="22">
        <f>INDEX(Data[],MATCH($A222,Data[Dist],0),MATCH(I$4,Data[#Headers],0))</f>
        <v>2946881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446017</v>
      </c>
      <c r="D223" s="22">
        <f>INDEX(Data[],MATCH($A223,Data[Dist],0),MATCH(D$4,Data[#Headers],0))</f>
        <v>1996079</v>
      </c>
      <c r="E223" s="22">
        <f>INDEX(Data[],MATCH($A223,Data[Dist],0),MATCH(E$4,Data[#Headers],0))</f>
        <v>210923</v>
      </c>
      <c r="F223" s="22">
        <f>INDEX(Data[],MATCH($A223,Data[Dist],0),MATCH(F$4,Data[#Headers],0))</f>
        <v>210125</v>
      </c>
      <c r="G223" s="22">
        <f>INDEX(Data[],MATCH($A223,Data[Dist],0),MATCH(G$4,Data[#Headers],0))</f>
        <v>1113533</v>
      </c>
      <c r="H223" s="22">
        <f>INDEX(Data[],MATCH($A223,Data[Dist],0),MATCH(H$4,Data[#Headers],0))</f>
        <v>19656308</v>
      </c>
      <c r="I223" s="22">
        <f>INDEX(Data[],MATCH($A223,Data[Dist],0),MATCH(I$4,Data[#Headers],0))</f>
        <v>23632985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133086</v>
      </c>
      <c r="D224" s="22">
        <f>INDEX(Data[],MATCH($A224,Data[Dist],0),MATCH(D$4,Data[#Headers],0))</f>
        <v>428436</v>
      </c>
      <c r="E224" s="22">
        <f>INDEX(Data[],MATCH($A224,Data[Dist],0),MATCH(E$4,Data[#Headers],0))</f>
        <v>43992</v>
      </c>
      <c r="F224" s="22">
        <f>INDEX(Data[],MATCH($A224,Data[Dist],0),MATCH(F$4,Data[#Headers],0))</f>
        <v>46481</v>
      </c>
      <c r="G224" s="22">
        <f>INDEX(Data[],MATCH($A224,Data[Dist],0),MATCH(G$4,Data[#Headers],0))</f>
        <v>240327</v>
      </c>
      <c r="H224" s="22">
        <f>INDEX(Data[],MATCH($A224,Data[Dist],0),MATCH(H$4,Data[#Headers],0))</f>
        <v>3005125</v>
      </c>
      <c r="I224" s="22">
        <f>INDEX(Data[],MATCH($A224,Data[Dist],0),MATCH(I$4,Data[#Headers],0))</f>
        <v>3897447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143877</v>
      </c>
      <c r="D225" s="22">
        <f>INDEX(Data[],MATCH($A225,Data[Dist],0),MATCH(D$4,Data[#Headers],0))</f>
        <v>642531</v>
      </c>
      <c r="E225" s="22">
        <f>INDEX(Data[],MATCH($A225,Data[Dist],0),MATCH(E$4,Data[#Headers],0))</f>
        <v>69059</v>
      </c>
      <c r="F225" s="22">
        <f>INDEX(Data[],MATCH($A225,Data[Dist],0),MATCH(F$4,Data[#Headers],0))</f>
        <v>74371</v>
      </c>
      <c r="G225" s="22">
        <f>INDEX(Data[],MATCH($A225,Data[Dist],0),MATCH(G$4,Data[#Headers],0))</f>
        <v>339117</v>
      </c>
      <c r="H225" s="22">
        <f>INDEX(Data[],MATCH($A225,Data[Dist],0),MATCH(H$4,Data[#Headers],0))</f>
        <v>4273197</v>
      </c>
      <c r="I225" s="22">
        <f>INDEX(Data[],MATCH($A225,Data[Dist],0),MATCH(I$4,Data[#Headers],0))</f>
        <v>5542152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104311</v>
      </c>
      <c r="D226" s="22">
        <f>INDEX(Data[],MATCH($A226,Data[Dist],0),MATCH(D$4,Data[#Headers],0))</f>
        <v>833772</v>
      </c>
      <c r="E226" s="22">
        <f>INDEX(Data[],MATCH($A226,Data[Dist],0),MATCH(E$4,Data[#Headers],0))</f>
        <v>97644</v>
      </c>
      <c r="F226" s="22">
        <f>INDEX(Data[],MATCH($A226,Data[Dist],0),MATCH(F$4,Data[#Headers],0))</f>
        <v>95667</v>
      </c>
      <c r="G226" s="22">
        <f>INDEX(Data[],MATCH($A226,Data[Dist],0),MATCH(G$4,Data[#Headers],0))</f>
        <v>463041</v>
      </c>
      <c r="H226" s="22">
        <f>INDEX(Data[],MATCH($A226,Data[Dist],0),MATCH(H$4,Data[#Headers],0))</f>
        <v>8391554</v>
      </c>
      <c r="I226" s="22">
        <f>INDEX(Data[],MATCH($A226,Data[Dist],0),MATCH(I$4,Data[#Headers],0))</f>
        <v>9985989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129489</v>
      </c>
      <c r="D227" s="22">
        <f>INDEX(Data[],MATCH($A227,Data[Dist],0),MATCH(D$4,Data[#Headers],0))</f>
        <v>393755</v>
      </c>
      <c r="E227" s="22">
        <f>INDEX(Data[],MATCH($A227,Data[Dist],0),MATCH(E$4,Data[#Headers],0))</f>
        <v>42394</v>
      </c>
      <c r="F227" s="22">
        <f>INDEX(Data[],MATCH($A227,Data[Dist],0),MATCH(F$4,Data[#Headers],0))</f>
        <v>42864</v>
      </c>
      <c r="G227" s="22">
        <f>INDEX(Data[],MATCH($A227,Data[Dist],0),MATCH(G$4,Data[#Headers],0))</f>
        <v>213499</v>
      </c>
      <c r="H227" s="22">
        <f>INDEX(Data[],MATCH($A227,Data[Dist],0),MATCH(H$4,Data[#Headers],0))</f>
        <v>2532358</v>
      </c>
      <c r="I227" s="22">
        <f>INDEX(Data[],MATCH($A227,Data[Dist],0),MATCH(I$4,Data[#Headers],0))</f>
        <v>3354359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261992</v>
      </c>
      <c r="D228" s="22">
        <f>INDEX(Data[],MATCH($A228,Data[Dist],0),MATCH(D$4,Data[#Headers],0))</f>
        <v>651916</v>
      </c>
      <c r="E228" s="22">
        <f>INDEX(Data[],MATCH($A228,Data[Dist],0),MATCH(E$4,Data[#Headers],0))</f>
        <v>72672</v>
      </c>
      <c r="F228" s="22">
        <f>INDEX(Data[],MATCH($A228,Data[Dist],0),MATCH(F$4,Data[#Headers],0))</f>
        <v>74200</v>
      </c>
      <c r="G228" s="22">
        <f>INDEX(Data[],MATCH($A228,Data[Dist],0),MATCH(G$4,Data[#Headers],0))</f>
        <v>360589</v>
      </c>
      <c r="H228" s="22">
        <f>INDEX(Data[],MATCH($A228,Data[Dist],0),MATCH(H$4,Data[#Headers],0))</f>
        <v>-1076880</v>
      </c>
      <c r="I228" s="22">
        <f>INDEX(Data[],MATCH($A228,Data[Dist],0),MATCH(I$4,Data[#Headers],0))</f>
        <v>344489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46760</v>
      </c>
      <c r="D229" s="22">
        <f>INDEX(Data[],MATCH($A229,Data[Dist],0),MATCH(D$4,Data[#Headers],0))</f>
        <v>166640</v>
      </c>
      <c r="E229" s="22">
        <f>INDEX(Data[],MATCH($A229,Data[Dist],0),MATCH(E$4,Data[#Headers],0))</f>
        <v>16846</v>
      </c>
      <c r="F229" s="22">
        <f>INDEX(Data[],MATCH($A229,Data[Dist],0),MATCH(F$4,Data[#Headers],0))</f>
        <v>17206</v>
      </c>
      <c r="G229" s="22">
        <f>INDEX(Data[],MATCH($A229,Data[Dist],0),MATCH(G$4,Data[#Headers],0))</f>
        <v>76700</v>
      </c>
      <c r="H229" s="22">
        <f>INDEX(Data[],MATCH($A229,Data[Dist],0),MATCH(H$4,Data[#Headers],0))</f>
        <v>1096248</v>
      </c>
      <c r="I229" s="22">
        <f>INDEX(Data[],MATCH($A229,Data[Dist],0),MATCH(I$4,Data[#Headers],0))</f>
        <v>1420400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46833</v>
      </c>
      <c r="D230" s="22">
        <f>INDEX(Data[],MATCH($A230,Data[Dist],0),MATCH(D$4,Data[#Headers],0))</f>
        <v>130639</v>
      </c>
      <c r="E230" s="22">
        <f>INDEX(Data[],MATCH($A230,Data[Dist],0),MATCH(E$4,Data[#Headers],0))</f>
        <v>10260</v>
      </c>
      <c r="F230" s="22">
        <f>INDEX(Data[],MATCH($A230,Data[Dist],0),MATCH(F$4,Data[#Headers],0))</f>
        <v>14544</v>
      </c>
      <c r="G230" s="22">
        <f>INDEX(Data[],MATCH($A230,Data[Dist],0),MATCH(G$4,Data[#Headers],0))</f>
        <v>59377</v>
      </c>
      <c r="H230" s="22">
        <f>INDEX(Data[],MATCH($A230,Data[Dist],0),MATCH(H$4,Data[#Headers],0))</f>
        <v>550807</v>
      </c>
      <c r="I230" s="22">
        <f>INDEX(Data[],MATCH($A230,Data[Dist],0),MATCH(I$4,Data[#Headers],0))</f>
        <v>812460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230203</v>
      </c>
      <c r="D231" s="22">
        <f>INDEX(Data[],MATCH($A231,Data[Dist],0),MATCH(D$4,Data[#Headers],0))</f>
        <v>550428</v>
      </c>
      <c r="E231" s="22">
        <f>INDEX(Data[],MATCH($A231,Data[Dist],0),MATCH(E$4,Data[#Headers],0))</f>
        <v>59303</v>
      </c>
      <c r="F231" s="22">
        <f>INDEX(Data[],MATCH($A231,Data[Dist],0),MATCH(F$4,Data[#Headers],0))</f>
        <v>62549</v>
      </c>
      <c r="G231" s="22">
        <f>INDEX(Data[],MATCH($A231,Data[Dist],0),MATCH(G$4,Data[#Headers],0))</f>
        <v>309660</v>
      </c>
      <c r="H231" s="22">
        <f>INDEX(Data[],MATCH($A231,Data[Dist],0),MATCH(H$4,Data[#Headers],0))</f>
        <v>4269904</v>
      </c>
      <c r="I231" s="22">
        <f>INDEX(Data[],MATCH($A231,Data[Dist],0),MATCH(I$4,Data[#Headers],0))</f>
        <v>5482047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460405</v>
      </c>
      <c r="D232" s="22">
        <f>INDEX(Data[],MATCH($A232,Data[Dist],0),MATCH(D$4,Data[#Headers],0))</f>
        <v>1363254</v>
      </c>
      <c r="E232" s="22">
        <f>INDEX(Data[],MATCH($A232,Data[Dist],0),MATCH(E$4,Data[#Headers],0))</f>
        <v>177467</v>
      </c>
      <c r="F232" s="22">
        <f>INDEX(Data[],MATCH($A232,Data[Dist],0),MATCH(F$4,Data[#Headers],0))</f>
        <v>159687</v>
      </c>
      <c r="G232" s="22">
        <f>INDEX(Data[],MATCH($A232,Data[Dist],0),MATCH(G$4,Data[#Headers],0))</f>
        <v>783662</v>
      </c>
      <c r="H232" s="22">
        <f>INDEX(Data[],MATCH($A232,Data[Dist],0),MATCH(H$4,Data[#Headers],0))</f>
        <v>12616228</v>
      </c>
      <c r="I232" s="22">
        <f>INDEX(Data[],MATCH($A232,Data[Dist],0),MATCH(I$4,Data[#Headers],0))</f>
        <v>15560703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827290</v>
      </c>
      <c r="D233" s="22">
        <f>INDEX(Data[],MATCH($A233,Data[Dist],0),MATCH(D$4,Data[#Headers],0))</f>
        <v>2870352</v>
      </c>
      <c r="E233" s="22">
        <f>INDEX(Data[],MATCH($A233,Data[Dist],0),MATCH(E$4,Data[#Headers],0))</f>
        <v>409367</v>
      </c>
      <c r="F233" s="22">
        <f>INDEX(Data[],MATCH($A233,Data[Dist],0),MATCH(F$4,Data[#Headers],0))</f>
        <v>325408</v>
      </c>
      <c r="G233" s="22">
        <f>INDEX(Data[],MATCH($A233,Data[Dist],0),MATCH(G$4,Data[#Headers],0))</f>
        <v>1669951</v>
      </c>
      <c r="H233" s="22">
        <f>INDEX(Data[],MATCH($A233,Data[Dist],0),MATCH(H$4,Data[#Headers],0))</f>
        <v>32088017</v>
      </c>
      <c r="I233" s="22">
        <f>INDEX(Data[],MATCH($A233,Data[Dist],0),MATCH(I$4,Data[#Headers],0))</f>
        <v>38190385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151070</v>
      </c>
      <c r="D234" s="22">
        <f>INDEX(Data[],MATCH($A234,Data[Dist],0),MATCH(D$4,Data[#Headers],0))</f>
        <v>420150</v>
      </c>
      <c r="E234" s="22">
        <f>INDEX(Data[],MATCH($A234,Data[Dist],0),MATCH(E$4,Data[#Headers],0))</f>
        <v>44446</v>
      </c>
      <c r="F234" s="22">
        <f>INDEX(Data[],MATCH($A234,Data[Dist],0),MATCH(F$4,Data[#Headers],0))</f>
        <v>41933</v>
      </c>
      <c r="G234" s="22">
        <f>INDEX(Data[],MATCH($A234,Data[Dist],0),MATCH(G$4,Data[#Headers],0))</f>
        <v>241661</v>
      </c>
      <c r="H234" s="22">
        <f>INDEX(Data[],MATCH($A234,Data[Dist],0),MATCH(H$4,Data[#Headers],0))</f>
        <v>2687508</v>
      </c>
      <c r="I234" s="22">
        <f>INDEX(Data[],MATCH($A234,Data[Dist],0),MATCH(I$4,Data[#Headers],0))</f>
        <v>3586768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35969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879299</v>
      </c>
      <c r="I235" s="22">
        <f>INDEX(Data[],MATCH($A235,Data[Dist],0),MATCH(I$4,Data[#Headers],0))</f>
        <v>1144147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100714</v>
      </c>
      <c r="D236" s="22">
        <f>INDEX(Data[],MATCH($A236,Data[Dist],0),MATCH(D$4,Data[#Headers],0))</f>
        <v>377522</v>
      </c>
      <c r="E236" s="22">
        <f>INDEX(Data[],MATCH($A236,Data[Dist],0),MATCH(E$4,Data[#Headers],0))</f>
        <v>38215</v>
      </c>
      <c r="F236" s="22">
        <f>INDEX(Data[],MATCH($A236,Data[Dist],0),MATCH(F$4,Data[#Headers],0))</f>
        <v>44342</v>
      </c>
      <c r="G236" s="22">
        <f>INDEX(Data[],MATCH($A236,Data[Dist],0),MATCH(G$4,Data[#Headers],0))</f>
        <v>206613</v>
      </c>
      <c r="H236" s="22">
        <f>INDEX(Data[],MATCH($A236,Data[Dist],0),MATCH(H$4,Data[#Headers],0))</f>
        <v>1089458</v>
      </c>
      <c r="I236" s="22">
        <f>INDEX(Data[],MATCH($A236,Data[Dist],0),MATCH(I$4,Data[#Headers],0))</f>
        <v>1856864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136683</v>
      </c>
      <c r="D237" s="22">
        <f>INDEX(Data[],MATCH($A237,Data[Dist],0),MATCH(D$4,Data[#Headers],0))</f>
        <v>368400</v>
      </c>
      <c r="E237" s="22">
        <f>INDEX(Data[],MATCH($A237,Data[Dist],0),MATCH(E$4,Data[#Headers],0))</f>
        <v>42814</v>
      </c>
      <c r="F237" s="22">
        <f>INDEX(Data[],MATCH($A237,Data[Dist],0),MATCH(F$4,Data[#Headers],0))</f>
        <v>41416</v>
      </c>
      <c r="G237" s="22">
        <f>INDEX(Data[],MATCH($A237,Data[Dist],0),MATCH(G$4,Data[#Headers],0))</f>
        <v>208113</v>
      </c>
      <c r="H237" s="22">
        <f>INDEX(Data[],MATCH($A237,Data[Dist],0),MATCH(H$4,Data[#Headers],0))</f>
        <v>2633174</v>
      </c>
      <c r="I237" s="22">
        <f>INDEX(Data[],MATCH($A237,Data[Dist],0),MATCH(I$4,Data[#Headers],0))</f>
        <v>3430600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424509</v>
      </c>
      <c r="D238" s="22">
        <f>INDEX(Data[],MATCH($A238,Data[Dist],0),MATCH(D$4,Data[#Headers],0))</f>
        <v>1265529</v>
      </c>
      <c r="E238" s="22">
        <f>INDEX(Data[],MATCH($A238,Data[Dist],0),MATCH(E$4,Data[#Headers],0))</f>
        <v>147049</v>
      </c>
      <c r="F238" s="22">
        <f>INDEX(Data[],MATCH($A238,Data[Dist],0),MATCH(F$4,Data[#Headers],0))</f>
        <v>136502</v>
      </c>
      <c r="G238" s="22">
        <f>INDEX(Data[],MATCH($A238,Data[Dist],0),MATCH(G$4,Data[#Headers],0))</f>
        <v>746731</v>
      </c>
      <c r="H238" s="22">
        <f>INDEX(Data[],MATCH($A238,Data[Dist],0),MATCH(H$4,Data[#Headers],0))</f>
        <v>9628617</v>
      </c>
      <c r="I238" s="22">
        <f>INDEX(Data[],MATCH($A238,Data[Dist],0),MATCH(I$4,Data[#Headers],0))</f>
        <v>12348937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298544</v>
      </c>
      <c r="D239" s="22">
        <f>INDEX(Data[],MATCH($A239,Data[Dist],0),MATCH(D$4,Data[#Headers],0))</f>
        <v>1149320</v>
      </c>
      <c r="E239" s="22">
        <f>INDEX(Data[],MATCH($A239,Data[Dist],0),MATCH(E$4,Data[#Headers],0))</f>
        <v>168511</v>
      </c>
      <c r="F239" s="22">
        <f>INDEX(Data[],MATCH($A239,Data[Dist],0),MATCH(F$4,Data[#Headers],0))</f>
        <v>125360</v>
      </c>
      <c r="G239" s="22">
        <f>INDEX(Data[],MATCH($A239,Data[Dist],0),MATCH(G$4,Data[#Headers],0))</f>
        <v>634749</v>
      </c>
      <c r="H239" s="22">
        <f>INDEX(Data[],MATCH($A239,Data[Dist],0),MATCH(H$4,Data[#Headers],0))</f>
        <v>11941887</v>
      </c>
      <c r="I239" s="22">
        <f>INDEX(Data[],MATCH($A239,Data[Dist],0),MATCH(I$4,Data[#Headers],0))</f>
        <v>14318371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643775</v>
      </c>
      <c r="D240" s="22">
        <f>INDEX(Data[],MATCH($A240,Data[Dist],0),MATCH(D$4,Data[#Headers],0))</f>
        <v>3044730</v>
      </c>
      <c r="E240" s="22">
        <f>INDEX(Data[],MATCH($A240,Data[Dist],0),MATCH(E$4,Data[#Headers],0))</f>
        <v>323620</v>
      </c>
      <c r="F240" s="22">
        <f>INDEX(Data[],MATCH($A240,Data[Dist],0),MATCH(F$4,Data[#Headers],0))</f>
        <v>350889</v>
      </c>
      <c r="G240" s="22">
        <f>INDEX(Data[],MATCH($A240,Data[Dist],0),MATCH(G$4,Data[#Headers],0))</f>
        <v>1830593</v>
      </c>
      <c r="H240" s="22">
        <f>INDEX(Data[],MATCH($A240,Data[Dist],0),MATCH(H$4,Data[#Headers],0))</f>
        <v>25421510</v>
      </c>
      <c r="I240" s="22">
        <f>INDEX(Data[],MATCH($A240,Data[Dist],0),MATCH(I$4,Data[#Headers],0))</f>
        <v>31615117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107907</v>
      </c>
      <c r="D241" s="22">
        <f>INDEX(Data[],MATCH($A241,Data[Dist],0),MATCH(D$4,Data[#Headers],0))</f>
        <v>404645</v>
      </c>
      <c r="E241" s="22">
        <f>INDEX(Data[],MATCH($A241,Data[Dist],0),MATCH(E$4,Data[#Headers],0))</f>
        <v>53299</v>
      </c>
      <c r="F241" s="22">
        <f>INDEX(Data[],MATCH($A241,Data[Dist],0),MATCH(F$4,Data[#Headers],0))</f>
        <v>42696</v>
      </c>
      <c r="G241" s="22">
        <f>INDEX(Data[],MATCH($A241,Data[Dist],0),MATCH(G$4,Data[#Headers],0))</f>
        <v>228055</v>
      </c>
      <c r="H241" s="22">
        <f>INDEX(Data[],MATCH($A241,Data[Dist],0),MATCH(H$4,Data[#Headers],0))</f>
        <v>3615379</v>
      </c>
      <c r="I241" s="22">
        <f>INDEX(Data[],MATCH($A241,Data[Dist],0),MATCH(I$4,Data[#Headers],0))</f>
        <v>4451981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151070</v>
      </c>
      <c r="D242" s="22">
        <f>INDEX(Data[],MATCH($A242,Data[Dist],0),MATCH(D$4,Data[#Headers],0))</f>
        <v>476850</v>
      </c>
      <c r="E242" s="22">
        <f>INDEX(Data[],MATCH($A242,Data[Dist],0),MATCH(E$4,Data[#Headers],0))</f>
        <v>44656</v>
      </c>
      <c r="F242" s="22">
        <f>INDEX(Data[],MATCH($A242,Data[Dist],0),MATCH(F$4,Data[#Headers],0))</f>
        <v>59383</v>
      </c>
      <c r="G242" s="22">
        <f>INDEX(Data[],MATCH($A242,Data[Dist],0),MATCH(G$4,Data[#Headers],0))</f>
        <v>230421</v>
      </c>
      <c r="H242" s="22">
        <f>INDEX(Data[],MATCH($A242,Data[Dist],0),MATCH(H$4,Data[#Headers],0))</f>
        <v>1288371</v>
      </c>
      <c r="I242" s="22">
        <f>INDEX(Data[],MATCH($A242,Data[Dist],0),MATCH(I$4,Data[#Headers],0))</f>
        <v>2250751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61148</v>
      </c>
      <c r="D243" s="22">
        <f>INDEX(Data[],MATCH($A243,Data[Dist],0),MATCH(D$4,Data[#Headers],0))</f>
        <v>473416</v>
      </c>
      <c r="E243" s="22">
        <f>INDEX(Data[],MATCH($A243,Data[Dist],0),MATCH(E$4,Data[#Headers],0))</f>
        <v>71995</v>
      </c>
      <c r="F243" s="22">
        <f>INDEX(Data[],MATCH($A243,Data[Dist],0),MATCH(F$4,Data[#Headers],0))</f>
        <v>46905</v>
      </c>
      <c r="G243" s="22">
        <f>INDEX(Data[],MATCH($A243,Data[Dist],0),MATCH(G$4,Data[#Headers],0))</f>
        <v>258395</v>
      </c>
      <c r="H243" s="22">
        <f>INDEX(Data[],MATCH($A243,Data[Dist],0),MATCH(H$4,Data[#Headers],0))</f>
        <v>4591938</v>
      </c>
      <c r="I243" s="22">
        <f>INDEX(Data[],MATCH($A243,Data[Dist],0),MATCH(I$4,Data[#Headers],0))</f>
        <v>5503797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190637</v>
      </c>
      <c r="D244" s="22">
        <f>INDEX(Data[],MATCH($A244,Data[Dist],0),MATCH(D$4,Data[#Headers],0))</f>
        <v>628671</v>
      </c>
      <c r="E244" s="22">
        <f>INDEX(Data[],MATCH($A244,Data[Dist],0),MATCH(E$4,Data[#Headers],0))</f>
        <v>69663</v>
      </c>
      <c r="F244" s="22">
        <f>INDEX(Data[],MATCH($A244,Data[Dist],0),MATCH(F$4,Data[#Headers],0))</f>
        <v>67781</v>
      </c>
      <c r="G244" s="22">
        <f>INDEX(Data[],MATCH($A244,Data[Dist],0),MATCH(G$4,Data[#Headers],0))</f>
        <v>362502</v>
      </c>
      <c r="H244" s="22">
        <f>INDEX(Data[],MATCH($A244,Data[Dist],0),MATCH(H$4,Data[#Headers],0))</f>
        <v>5342447</v>
      </c>
      <c r="I244" s="22">
        <f>INDEX(Data[],MATCH($A244,Data[Dist],0),MATCH(I$4,Data[#Headers],0))</f>
        <v>6661701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100714</v>
      </c>
      <c r="D245" s="22">
        <f>INDEX(Data[],MATCH($A245,Data[Dist],0),MATCH(D$4,Data[#Headers],0))</f>
        <v>392236</v>
      </c>
      <c r="E245" s="22">
        <f>INDEX(Data[],MATCH($A245,Data[Dist],0),MATCH(E$4,Data[#Headers],0))</f>
        <v>41859</v>
      </c>
      <c r="F245" s="22">
        <f>INDEX(Data[],MATCH($A245,Data[Dist],0),MATCH(F$4,Data[#Headers],0))</f>
        <v>46954</v>
      </c>
      <c r="G245" s="22">
        <f>INDEX(Data[],MATCH($A245,Data[Dist],0),MATCH(G$4,Data[#Headers],0))</f>
        <v>200960</v>
      </c>
      <c r="H245" s="22">
        <f>INDEX(Data[],MATCH($A245,Data[Dist],0),MATCH(H$4,Data[#Headers],0))</f>
        <v>1634095</v>
      </c>
      <c r="I245" s="22">
        <f>INDEX(Data[],MATCH($A245,Data[Dist],0),MATCH(I$4,Data[#Headers],0))</f>
        <v>2416818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201427</v>
      </c>
      <c r="D246" s="22">
        <f>INDEX(Data[],MATCH($A246,Data[Dist],0),MATCH(D$4,Data[#Headers],0))</f>
        <v>657007</v>
      </c>
      <c r="E246" s="22">
        <f>INDEX(Data[],MATCH($A246,Data[Dist],0),MATCH(E$4,Data[#Headers],0))</f>
        <v>87613</v>
      </c>
      <c r="F246" s="22">
        <f>INDEX(Data[],MATCH($A246,Data[Dist],0),MATCH(F$4,Data[#Headers],0))</f>
        <v>72821</v>
      </c>
      <c r="G246" s="22">
        <f>INDEX(Data[],MATCH($A246,Data[Dist],0),MATCH(G$4,Data[#Headers],0))</f>
        <v>361846</v>
      </c>
      <c r="H246" s="22">
        <f>INDEX(Data[],MATCH($A246,Data[Dist],0),MATCH(H$4,Data[#Headers],0))</f>
        <v>5423561</v>
      </c>
      <c r="I246" s="22">
        <f>INDEX(Data[],MATCH($A246,Data[Dist],0),MATCH(I$4,Data[#Headers],0))</f>
        <v>6804275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97117</v>
      </c>
      <c r="D247" s="22">
        <f>INDEX(Data[],MATCH($A247,Data[Dist],0),MATCH(D$4,Data[#Headers],0))</f>
        <v>204761</v>
      </c>
      <c r="E247" s="22">
        <f>INDEX(Data[],MATCH($A247,Data[Dist],0),MATCH(E$4,Data[#Headers],0))</f>
        <v>19614</v>
      </c>
      <c r="F247" s="22">
        <f>INDEX(Data[],MATCH($A247,Data[Dist],0),MATCH(F$4,Data[#Headers],0))</f>
        <v>20873</v>
      </c>
      <c r="G247" s="22">
        <f>INDEX(Data[],MATCH($A247,Data[Dist],0),MATCH(G$4,Data[#Headers],0))</f>
        <v>108983</v>
      </c>
      <c r="H247" s="22">
        <f>INDEX(Data[],MATCH($A247,Data[Dist],0),MATCH(H$4,Data[#Headers],0))</f>
        <v>762870</v>
      </c>
      <c r="I247" s="22">
        <f>INDEX(Data[],MATCH($A247,Data[Dist],0),MATCH(I$4,Data[#Headers],0))</f>
        <v>1214218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75536</v>
      </c>
      <c r="D248" s="22">
        <f>INDEX(Data[],MATCH($A248,Data[Dist],0),MATCH(D$4,Data[#Headers],0))</f>
        <v>261689</v>
      </c>
      <c r="E248" s="22">
        <f>INDEX(Data[],MATCH($A248,Data[Dist],0),MATCH(E$4,Data[#Headers],0))</f>
        <v>23285</v>
      </c>
      <c r="F248" s="22">
        <f>INDEX(Data[],MATCH($A248,Data[Dist],0),MATCH(F$4,Data[#Headers],0))</f>
        <v>31829</v>
      </c>
      <c r="G248" s="22">
        <f>INDEX(Data[],MATCH($A248,Data[Dist],0),MATCH(G$4,Data[#Headers],0))</f>
        <v>116450</v>
      </c>
      <c r="H248" s="22">
        <f>INDEX(Data[],MATCH($A248,Data[Dist],0),MATCH(H$4,Data[#Headers],0))</f>
        <v>756583</v>
      </c>
      <c r="I248" s="22">
        <f>INDEX(Data[],MATCH($A248,Data[Dist],0),MATCH(I$4,Data[#Headers],0))</f>
        <v>1265372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284157</v>
      </c>
      <c r="D249" s="22">
        <f>INDEX(Data[],MATCH($A249,Data[Dist],0),MATCH(D$4,Data[#Headers],0))</f>
        <v>524766</v>
      </c>
      <c r="E249" s="22">
        <f>INDEX(Data[],MATCH($A249,Data[Dist],0),MATCH(E$4,Data[#Headers],0))</f>
        <v>72800</v>
      </c>
      <c r="F249" s="22">
        <f>INDEX(Data[],MATCH($A249,Data[Dist],0),MATCH(F$4,Data[#Headers],0))</f>
        <v>55721</v>
      </c>
      <c r="G249" s="22">
        <f>INDEX(Data[],MATCH($A249,Data[Dist],0),MATCH(G$4,Data[#Headers],0))</f>
        <v>288938</v>
      </c>
      <c r="H249" s="22">
        <f>INDEX(Data[],MATCH($A249,Data[Dist],0),MATCH(H$4,Data[#Headers],0))</f>
        <v>4280948</v>
      </c>
      <c r="I249" s="22">
        <f>INDEX(Data[],MATCH($A249,Data[Dist],0),MATCH(I$4,Data[#Headers],0))</f>
        <v>5507330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212218</v>
      </c>
      <c r="D250" s="22">
        <f>INDEX(Data[],MATCH($A250,Data[Dist],0),MATCH(D$4,Data[#Headers],0))</f>
        <v>595001</v>
      </c>
      <c r="E250" s="22">
        <f>INDEX(Data[],MATCH($A250,Data[Dist],0),MATCH(E$4,Data[#Headers],0))</f>
        <v>68233</v>
      </c>
      <c r="F250" s="22">
        <f>INDEX(Data[],MATCH($A250,Data[Dist],0),MATCH(F$4,Data[#Headers],0))</f>
        <v>73709</v>
      </c>
      <c r="G250" s="22">
        <f>INDEX(Data[],MATCH($A250,Data[Dist],0),MATCH(G$4,Data[#Headers],0))</f>
        <v>342560</v>
      </c>
      <c r="H250" s="22">
        <f>INDEX(Data[],MATCH($A250,Data[Dist],0),MATCH(H$4,Data[#Headers],0))</f>
        <v>4680778</v>
      </c>
      <c r="I250" s="22">
        <f>INDEX(Data[],MATCH($A250,Data[Dist],0),MATCH(I$4,Data[#Headers],0))</f>
        <v>5972499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86326</v>
      </c>
      <c r="D251" s="22">
        <f>INDEX(Data[],MATCH($A251,Data[Dist],0),MATCH(D$4,Data[#Headers],0))</f>
        <v>259700</v>
      </c>
      <c r="E251" s="22">
        <f>INDEX(Data[],MATCH($A251,Data[Dist],0),MATCH(E$4,Data[#Headers],0))</f>
        <v>27734</v>
      </c>
      <c r="F251" s="22">
        <f>INDEX(Data[],MATCH($A251,Data[Dist],0),MATCH(F$4,Data[#Headers],0))</f>
        <v>29318</v>
      </c>
      <c r="G251" s="22">
        <f>INDEX(Data[],MATCH($A251,Data[Dist],0),MATCH(G$4,Data[#Headers],0))</f>
        <v>140326</v>
      </c>
      <c r="H251" s="22">
        <f>INDEX(Data[],MATCH($A251,Data[Dist],0),MATCH(H$4,Data[#Headers],0))</f>
        <v>1702749</v>
      </c>
      <c r="I251" s="22">
        <f>INDEX(Data[],MATCH($A251,Data[Dist],0),MATCH(I$4,Data[#Headers],0))</f>
        <v>2246153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14388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1102193</v>
      </c>
      <c r="I252" s="22">
        <f>INDEX(Data[],MATCH($A252,Data[Dist],0),MATCH(I$4,Data[#Headers],0))</f>
        <v>1383376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129489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2268129</v>
      </c>
      <c r="I253" s="22">
        <f>INDEX(Data[],MATCH($A253,Data[Dist],0),MATCH(I$4,Data[#Headers],0))</f>
        <v>3040578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190564</v>
      </c>
      <c r="D254" s="22">
        <f>INDEX(Data[],MATCH($A254,Data[Dist],0),MATCH(D$4,Data[#Headers],0))</f>
        <v>739599</v>
      </c>
      <c r="E254" s="22">
        <f>INDEX(Data[],MATCH($A254,Data[Dist],0),MATCH(E$4,Data[#Headers],0))</f>
        <v>94875</v>
      </c>
      <c r="F254" s="22">
        <f>INDEX(Data[],MATCH($A254,Data[Dist],0),MATCH(F$4,Data[#Headers],0))</f>
        <v>79443</v>
      </c>
      <c r="G254" s="22">
        <f>INDEX(Data[],MATCH($A254,Data[Dist],0),MATCH(G$4,Data[#Headers],0))</f>
        <v>388819</v>
      </c>
      <c r="H254" s="22">
        <f>INDEX(Data[],MATCH($A254,Data[Dist],0),MATCH(H$4,Data[#Headers],0))</f>
        <v>2154489</v>
      </c>
      <c r="I254" s="22">
        <f>INDEX(Data[],MATCH($A254,Data[Dist],0),MATCH(I$4,Data[#Headers],0))</f>
        <v>3647789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75536</v>
      </c>
      <c r="D255" s="22">
        <f>INDEX(Data[],MATCH($A255,Data[Dist],0),MATCH(D$4,Data[#Headers],0))</f>
        <v>244019</v>
      </c>
      <c r="E255" s="22">
        <f>INDEX(Data[],MATCH($A255,Data[Dist],0),MATCH(E$4,Data[#Headers],0))</f>
        <v>24213</v>
      </c>
      <c r="F255" s="22">
        <f>INDEX(Data[],MATCH($A255,Data[Dist],0),MATCH(F$4,Data[#Headers],0))</f>
        <v>27473</v>
      </c>
      <c r="G255" s="22">
        <f>INDEX(Data[],MATCH($A255,Data[Dist],0),MATCH(G$4,Data[#Headers],0))</f>
        <v>129156</v>
      </c>
      <c r="H255" s="22">
        <f>INDEX(Data[],MATCH($A255,Data[Dist],0),MATCH(H$4,Data[#Headers],0))</f>
        <v>1516781</v>
      </c>
      <c r="I255" s="22">
        <f>INDEX(Data[],MATCH($A255,Data[Dist],0),MATCH(I$4,Data[#Headers],0))</f>
        <v>2017178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43163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899622</v>
      </c>
      <c r="I256" s="22">
        <f>INDEX(Data[],MATCH($A256,Data[Dist],0),MATCH(I$4,Data[#Headers],0))</f>
        <v>1196284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248188</v>
      </c>
      <c r="D257" s="22">
        <f>INDEX(Data[],MATCH($A257,Data[Dist],0),MATCH(D$4,Data[#Headers],0))</f>
        <v>872798</v>
      </c>
      <c r="E257" s="22">
        <f>INDEX(Data[],MATCH($A257,Data[Dist],0),MATCH(E$4,Data[#Headers],0))</f>
        <v>103032</v>
      </c>
      <c r="F257" s="22">
        <f>INDEX(Data[],MATCH($A257,Data[Dist],0),MATCH(F$4,Data[#Headers],0))</f>
        <v>105351</v>
      </c>
      <c r="G257" s="22">
        <f>INDEX(Data[],MATCH($A257,Data[Dist],0),MATCH(G$4,Data[#Headers],0))</f>
        <v>484984</v>
      </c>
      <c r="H257" s="22">
        <f>INDEX(Data[],MATCH($A257,Data[Dist],0),MATCH(H$4,Data[#Headers],0))</f>
        <v>5595589</v>
      </c>
      <c r="I257" s="22">
        <f>INDEX(Data[],MATCH($A257,Data[Dist],0),MATCH(I$4,Data[#Headers],0))</f>
        <v>7409942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39639</v>
      </c>
      <c r="D258" s="22">
        <f>INDEX(Data[],MATCH($A258,Data[Dist],0),MATCH(D$4,Data[#Headers],0))</f>
        <v>197720</v>
      </c>
      <c r="E258" s="22">
        <f>INDEX(Data[],MATCH($A258,Data[Dist],0),MATCH(E$4,Data[#Headers],0))</f>
        <v>22353</v>
      </c>
      <c r="F258" s="22">
        <f>INDEX(Data[],MATCH($A258,Data[Dist],0),MATCH(F$4,Data[#Headers],0))</f>
        <v>21808</v>
      </c>
      <c r="G258" s="22">
        <f>INDEX(Data[],MATCH($A258,Data[Dist],0),MATCH(G$4,Data[#Headers],0))</f>
        <v>90949</v>
      </c>
      <c r="H258" s="22">
        <f>INDEX(Data[],MATCH($A258,Data[Dist],0),MATCH(H$4,Data[#Headers],0))</f>
        <v>1137040</v>
      </c>
      <c r="I258" s="22">
        <f>INDEX(Data[],MATCH($A258,Data[Dist],0),MATCH(I$4,Data[#Headers],0))</f>
        <v>1509509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187040</v>
      </c>
      <c r="D259" s="22">
        <f>INDEX(Data[],MATCH($A259,Data[Dist],0),MATCH(D$4,Data[#Headers],0))</f>
        <v>494897</v>
      </c>
      <c r="E259" s="22">
        <f>INDEX(Data[],MATCH($A259,Data[Dist],0),MATCH(E$4,Data[#Headers],0))</f>
        <v>46778</v>
      </c>
      <c r="F259" s="22">
        <f>INDEX(Data[],MATCH($A259,Data[Dist],0),MATCH(F$4,Data[#Headers],0))</f>
        <v>56733</v>
      </c>
      <c r="G259" s="22">
        <f>INDEX(Data[],MATCH($A259,Data[Dist],0),MATCH(G$4,Data[#Headers],0))</f>
        <v>253669</v>
      </c>
      <c r="H259" s="22">
        <f>INDEX(Data[],MATCH($A259,Data[Dist],0),MATCH(H$4,Data[#Headers],0))</f>
        <v>3018353</v>
      </c>
      <c r="I259" s="22">
        <f>INDEX(Data[],MATCH($A259,Data[Dist],0),MATCH(I$4,Data[#Headers],0))</f>
        <v>4057470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284157</v>
      </c>
      <c r="D260" s="22">
        <f>INDEX(Data[],MATCH($A260,Data[Dist],0),MATCH(D$4,Data[#Headers],0))</f>
        <v>657359</v>
      </c>
      <c r="E260" s="22">
        <f>INDEX(Data[],MATCH($A260,Data[Dist],0),MATCH(E$4,Data[#Headers],0))</f>
        <v>81455</v>
      </c>
      <c r="F260" s="22">
        <f>INDEX(Data[],MATCH($A260,Data[Dist],0),MATCH(F$4,Data[#Headers],0))</f>
        <v>69837</v>
      </c>
      <c r="G260" s="22">
        <f>INDEX(Data[],MATCH($A260,Data[Dist],0),MATCH(G$4,Data[#Headers],0))</f>
        <v>382581</v>
      </c>
      <c r="H260" s="22">
        <f>INDEX(Data[],MATCH($A260,Data[Dist],0),MATCH(H$4,Data[#Headers],0))</f>
        <v>5770463</v>
      </c>
      <c r="I260" s="22">
        <f>INDEX(Data[],MATCH($A260,Data[Dist],0),MATCH(I$4,Data[#Headers],0))</f>
        <v>7245852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215815</v>
      </c>
      <c r="D261" s="22">
        <f>INDEX(Data[],MATCH($A261,Data[Dist],0),MATCH(D$4,Data[#Headers],0))</f>
        <v>674095</v>
      </c>
      <c r="E261" s="22">
        <f>INDEX(Data[],MATCH($A261,Data[Dist],0),MATCH(E$4,Data[#Headers],0))</f>
        <v>85540</v>
      </c>
      <c r="F261" s="22">
        <f>INDEX(Data[],MATCH($A261,Data[Dist],0),MATCH(F$4,Data[#Headers],0))</f>
        <v>73061</v>
      </c>
      <c r="G261" s="22">
        <f>INDEX(Data[],MATCH($A261,Data[Dist],0),MATCH(G$4,Data[#Headers],0))</f>
        <v>360798</v>
      </c>
      <c r="H261" s="22">
        <f>INDEX(Data[],MATCH($A261,Data[Dist],0),MATCH(H$4,Data[#Headers],0))</f>
        <v>5281990</v>
      </c>
      <c r="I261" s="22">
        <f>INDEX(Data[],MATCH($A261,Data[Dist],0),MATCH(I$4,Data[#Headers],0))</f>
        <v>6691299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169056</v>
      </c>
      <c r="D262" s="22">
        <f>INDEX(Data[],MATCH($A262,Data[Dist],0),MATCH(D$4,Data[#Headers],0))</f>
        <v>465636</v>
      </c>
      <c r="E262" s="22">
        <f>INDEX(Data[],MATCH($A262,Data[Dist],0),MATCH(E$4,Data[#Headers],0))</f>
        <v>54508</v>
      </c>
      <c r="F262" s="22">
        <f>INDEX(Data[],MATCH($A262,Data[Dist],0),MATCH(F$4,Data[#Headers],0))</f>
        <v>47640</v>
      </c>
      <c r="G262" s="22">
        <f>INDEX(Data[],MATCH($A262,Data[Dist],0),MATCH(G$4,Data[#Headers],0))</f>
        <v>250656</v>
      </c>
      <c r="H262" s="22">
        <f>INDEX(Data[],MATCH($A262,Data[Dist],0),MATCH(H$4,Data[#Headers],0))</f>
        <v>3211960</v>
      </c>
      <c r="I262" s="22">
        <f>INDEX(Data[],MATCH($A262,Data[Dist],0),MATCH(I$4,Data[#Headers],0))</f>
        <v>4199456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82730</v>
      </c>
      <c r="D263" s="22">
        <f>INDEX(Data[],MATCH($A263,Data[Dist],0),MATCH(D$4,Data[#Headers],0))</f>
        <v>255635</v>
      </c>
      <c r="E263" s="22">
        <f>INDEX(Data[],MATCH($A263,Data[Dist],0),MATCH(E$4,Data[#Headers],0))</f>
        <v>28852</v>
      </c>
      <c r="F263" s="22">
        <f>INDEX(Data[],MATCH($A263,Data[Dist],0),MATCH(F$4,Data[#Headers],0))</f>
        <v>27080</v>
      </c>
      <c r="G263" s="22">
        <f>INDEX(Data[],MATCH($A263,Data[Dist],0),MATCH(G$4,Data[#Headers],0))</f>
        <v>129086</v>
      </c>
      <c r="H263" s="22">
        <f>INDEX(Data[],MATCH($A263,Data[Dist],0),MATCH(H$4,Data[#Headers],0))</f>
        <v>1779620</v>
      </c>
      <c r="I263" s="22">
        <f>INDEX(Data[],MATCH($A263,Data[Dist],0),MATCH(I$4,Data[#Headers],0))</f>
        <v>2303003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79132</v>
      </c>
      <c r="D264" s="22">
        <f>INDEX(Data[],MATCH($A264,Data[Dist],0),MATCH(D$4,Data[#Headers],0))</f>
        <v>364904</v>
      </c>
      <c r="E264" s="22">
        <f>INDEX(Data[],MATCH($A264,Data[Dist],0),MATCH(E$4,Data[#Headers],0))</f>
        <v>39987</v>
      </c>
      <c r="F264" s="22">
        <f>INDEX(Data[],MATCH($A264,Data[Dist],0),MATCH(F$4,Data[#Headers],0))</f>
        <v>38352</v>
      </c>
      <c r="G264" s="22">
        <f>INDEX(Data[],MATCH($A264,Data[Dist],0),MATCH(G$4,Data[#Headers],0))</f>
        <v>192128</v>
      </c>
      <c r="H264" s="22">
        <f>INDEX(Data[],MATCH($A264,Data[Dist],0),MATCH(H$4,Data[#Headers],0))</f>
        <v>2890196</v>
      </c>
      <c r="I264" s="22">
        <f>INDEX(Data[],MATCH($A264,Data[Dist],0),MATCH(I$4,Data[#Headers],0))</f>
        <v>3604699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424436</v>
      </c>
      <c r="D265" s="22">
        <f>INDEX(Data[],MATCH($A265,Data[Dist],0),MATCH(D$4,Data[#Headers],0))</f>
        <v>887615</v>
      </c>
      <c r="E265" s="22">
        <f>INDEX(Data[],MATCH($A265,Data[Dist],0),MATCH(E$4,Data[#Headers],0))</f>
        <v>119364</v>
      </c>
      <c r="F265" s="22">
        <f>INDEX(Data[],MATCH($A265,Data[Dist],0),MATCH(F$4,Data[#Headers],0))</f>
        <v>113291</v>
      </c>
      <c r="G265" s="22">
        <f>INDEX(Data[],MATCH($A265,Data[Dist],0),MATCH(G$4,Data[#Headers],0))</f>
        <v>495261</v>
      </c>
      <c r="H265" s="22">
        <f>INDEX(Data[],MATCH($A265,Data[Dist],0),MATCH(H$4,Data[#Headers],0))</f>
        <v>7259985</v>
      </c>
      <c r="I265" s="22">
        <f>INDEX(Data[],MATCH($A265,Data[Dist],0),MATCH(I$4,Data[#Headers],0))</f>
        <v>9299952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2301857</v>
      </c>
      <c r="D266" s="22">
        <f>INDEX(Data[],MATCH($A266,Data[Dist],0),MATCH(D$4,Data[#Headers],0))</f>
        <v>8940677</v>
      </c>
      <c r="E266" s="22">
        <f>INDEX(Data[],MATCH($A266,Data[Dist],0),MATCH(E$4,Data[#Headers],0))</f>
        <v>1319738</v>
      </c>
      <c r="F266" s="22">
        <f>INDEX(Data[],MATCH($A266,Data[Dist],0),MATCH(F$4,Data[#Headers],0))</f>
        <v>1062546</v>
      </c>
      <c r="G266" s="22">
        <f>INDEX(Data[],MATCH($A266,Data[Dist],0),MATCH(G$4,Data[#Headers],0))</f>
        <v>5171542</v>
      </c>
      <c r="H266" s="22">
        <f>INDEX(Data[],MATCH($A266,Data[Dist],0),MATCH(H$4,Data[#Headers],0))</f>
        <v>101767641</v>
      </c>
      <c r="I266" s="22">
        <f>INDEX(Data[],MATCH($A266,Data[Dist],0),MATCH(I$4,Data[#Headers],0))</f>
        <v>120564001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79132</v>
      </c>
      <c r="D267" s="22">
        <f>INDEX(Data[],MATCH($A267,Data[Dist],0),MATCH(D$4,Data[#Headers],0))</f>
        <v>349487</v>
      </c>
      <c r="E267" s="22">
        <f>INDEX(Data[],MATCH($A267,Data[Dist],0),MATCH(E$4,Data[#Headers],0))</f>
        <v>36630</v>
      </c>
      <c r="F267" s="22">
        <f>INDEX(Data[],MATCH($A267,Data[Dist],0),MATCH(F$4,Data[#Headers],0))</f>
        <v>40014</v>
      </c>
      <c r="G267" s="22">
        <f>INDEX(Data[],MATCH($A267,Data[Dist],0),MATCH(G$4,Data[#Headers],0))</f>
        <v>164104</v>
      </c>
      <c r="H267" s="22">
        <f>INDEX(Data[],MATCH($A267,Data[Dist],0),MATCH(H$4,Data[#Headers],0))</f>
        <v>1823269</v>
      </c>
      <c r="I267" s="22">
        <f>INDEX(Data[],MATCH($A267,Data[Dist],0),MATCH(I$4,Data[#Headers],0))</f>
        <v>2492636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158264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3785981</v>
      </c>
      <c r="I268" s="22">
        <f>INDEX(Data[],MATCH($A268,Data[Dist],0),MATCH(I$4,Data[#Headers],0))</f>
        <v>5040640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154668</v>
      </c>
      <c r="D269" s="22">
        <f>INDEX(Data[],MATCH($A269,Data[Dist],0),MATCH(D$4,Data[#Headers],0))</f>
        <v>841333</v>
      </c>
      <c r="E269" s="22">
        <f>INDEX(Data[],MATCH($A269,Data[Dist],0),MATCH(E$4,Data[#Headers],0))</f>
        <v>81070</v>
      </c>
      <c r="F269" s="22">
        <f>INDEX(Data[],MATCH($A269,Data[Dist],0),MATCH(F$4,Data[#Headers],0))</f>
        <v>87589</v>
      </c>
      <c r="G269" s="22">
        <f>INDEX(Data[],MATCH($A269,Data[Dist],0),MATCH(G$4,Data[#Headers],0))</f>
        <v>493620</v>
      </c>
      <c r="H269" s="22">
        <f>INDEX(Data[],MATCH($A269,Data[Dist],0),MATCH(H$4,Data[#Headers],0))</f>
        <v>6711172</v>
      </c>
      <c r="I269" s="22">
        <f>INDEX(Data[],MATCH($A269,Data[Dist],0),MATCH(I$4,Data[#Headers],0))</f>
        <v>8369452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79132</v>
      </c>
      <c r="D270" s="22">
        <f>INDEX(Data[],MATCH($A270,Data[Dist],0),MATCH(D$4,Data[#Headers],0))</f>
        <v>339172</v>
      </c>
      <c r="E270" s="22">
        <f>INDEX(Data[],MATCH($A270,Data[Dist],0),MATCH(E$4,Data[#Headers],0))</f>
        <v>34956</v>
      </c>
      <c r="F270" s="22">
        <f>INDEX(Data[],MATCH($A270,Data[Dist],0),MATCH(F$4,Data[#Headers],0))</f>
        <v>35982</v>
      </c>
      <c r="G270" s="22">
        <f>INDEX(Data[],MATCH($A270,Data[Dist],0),MATCH(G$4,Data[#Headers],0))</f>
        <v>187381</v>
      </c>
      <c r="H270" s="22">
        <f>INDEX(Data[],MATCH($A270,Data[Dist],0),MATCH(H$4,Data[#Headers],0))</f>
        <v>3135185</v>
      </c>
      <c r="I270" s="22">
        <f>INDEX(Data[],MATCH($A270,Data[Dist],0),MATCH(I$4,Data[#Headers],0))</f>
        <v>3811808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136683</v>
      </c>
      <c r="D271" s="22">
        <f>INDEX(Data[],MATCH($A271,Data[Dist],0),MATCH(D$4,Data[#Headers],0))</f>
        <v>428852</v>
      </c>
      <c r="E271" s="22">
        <f>INDEX(Data[],MATCH($A271,Data[Dist],0),MATCH(E$4,Data[#Headers],0))</f>
        <v>48454</v>
      </c>
      <c r="F271" s="22">
        <f>INDEX(Data[],MATCH($A271,Data[Dist],0),MATCH(F$4,Data[#Headers],0))</f>
        <v>50621</v>
      </c>
      <c r="G271" s="22">
        <f>INDEX(Data[],MATCH($A271,Data[Dist],0),MATCH(G$4,Data[#Headers],0))</f>
        <v>217965</v>
      </c>
      <c r="H271" s="22">
        <f>INDEX(Data[],MATCH($A271,Data[Dist],0),MATCH(H$4,Data[#Headers],0))</f>
        <v>2536972</v>
      </c>
      <c r="I271" s="22">
        <f>INDEX(Data[],MATCH($A271,Data[Dist],0),MATCH(I$4,Data[#Headers],0))</f>
        <v>3419547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57551</v>
      </c>
      <c r="D272" s="22">
        <f>INDEX(Data[],MATCH($A272,Data[Dist],0),MATCH(D$4,Data[#Headers],0))</f>
        <v>358033</v>
      </c>
      <c r="E272" s="22">
        <f>INDEX(Data[],MATCH($A272,Data[Dist],0),MATCH(E$4,Data[#Headers],0))</f>
        <v>43387</v>
      </c>
      <c r="F272" s="22">
        <f>INDEX(Data[],MATCH($A272,Data[Dist],0),MATCH(F$4,Data[#Headers],0))</f>
        <v>41589</v>
      </c>
      <c r="G272" s="22">
        <f>INDEX(Data[],MATCH($A272,Data[Dist],0),MATCH(G$4,Data[#Headers],0))</f>
        <v>182948</v>
      </c>
      <c r="H272" s="22">
        <f>INDEX(Data[],MATCH($A272,Data[Dist],0),MATCH(H$4,Data[#Headers],0))</f>
        <v>2066212</v>
      </c>
      <c r="I272" s="22">
        <f>INDEX(Data[],MATCH($A272,Data[Dist],0),MATCH(I$4,Data[#Headers],0))</f>
        <v>2749720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17985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1129722</v>
      </c>
      <c r="I273" s="22">
        <f>INDEX(Data[],MATCH($A273,Data[Dist],0),MATCH(I$4,Data[#Headers],0))</f>
        <v>1404238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291351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9560058</v>
      </c>
      <c r="I274" s="22">
        <f>INDEX(Data[],MATCH($A274,Data[Dist],0),MATCH(I$4,Data[#Headers],0))</f>
        <v>11572838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165458</v>
      </c>
      <c r="D275" s="22">
        <f>INDEX(Data[],MATCH($A275,Data[Dist],0),MATCH(D$4,Data[#Headers],0))</f>
        <v>327621</v>
      </c>
      <c r="E275" s="22">
        <f>INDEX(Data[],MATCH($A275,Data[Dist],0),MATCH(E$4,Data[#Headers],0))</f>
        <v>29102</v>
      </c>
      <c r="F275" s="22">
        <f>INDEX(Data[],MATCH($A275,Data[Dist],0),MATCH(F$4,Data[#Headers],0))</f>
        <v>37685</v>
      </c>
      <c r="G275" s="22">
        <f>INDEX(Data[],MATCH($A275,Data[Dist],0),MATCH(G$4,Data[#Headers],0))</f>
        <v>178524</v>
      </c>
      <c r="H275" s="22">
        <f>INDEX(Data[],MATCH($A275,Data[Dist],0),MATCH(H$4,Data[#Headers],0))</f>
        <v>2552709</v>
      </c>
      <c r="I275" s="22">
        <f>INDEX(Data[],MATCH($A275,Data[Dist],0),MATCH(I$4,Data[#Headers],0))</f>
        <v>3291099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910166</v>
      </c>
      <c r="D276" s="22">
        <f>INDEX(Data[],MATCH($A276,Data[Dist],0),MATCH(D$4,Data[#Headers],0))</f>
        <v>4051281</v>
      </c>
      <c r="E276" s="22">
        <f>INDEX(Data[],MATCH($A276,Data[Dist],0),MATCH(E$4,Data[#Headers],0))</f>
        <v>462865</v>
      </c>
      <c r="F276" s="22">
        <f>INDEX(Data[],MATCH($A276,Data[Dist],0),MATCH(F$4,Data[#Headers],0))</f>
        <v>463487</v>
      </c>
      <c r="G276" s="22">
        <f>INDEX(Data[],MATCH($A276,Data[Dist],0),MATCH(G$4,Data[#Headers],0))</f>
        <v>2412248</v>
      </c>
      <c r="H276" s="22">
        <f>INDEX(Data[],MATCH($A276,Data[Dist],0),MATCH(H$4,Data[#Headers],0))</f>
        <v>39175393</v>
      </c>
      <c r="I276" s="22">
        <f>INDEX(Data[],MATCH($A276,Data[Dist],0),MATCH(I$4,Data[#Headers],0))</f>
        <v>47475440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561119</v>
      </c>
      <c r="D277" s="22">
        <f>INDEX(Data[],MATCH($A277,Data[Dist],0),MATCH(D$4,Data[#Headers],0))</f>
        <v>1236793</v>
      </c>
      <c r="E277" s="22">
        <f>INDEX(Data[],MATCH($A277,Data[Dist],0),MATCH(E$4,Data[#Headers],0))</f>
        <v>146917</v>
      </c>
      <c r="F277" s="22">
        <f>INDEX(Data[],MATCH($A277,Data[Dist],0),MATCH(F$4,Data[#Headers],0))</f>
        <v>148846</v>
      </c>
      <c r="G277" s="22">
        <f>INDEX(Data[],MATCH($A277,Data[Dist],0),MATCH(G$4,Data[#Headers],0))</f>
        <v>687179</v>
      </c>
      <c r="H277" s="22">
        <f>INDEX(Data[],MATCH($A277,Data[Dist],0),MATCH(H$4,Data[#Headers],0))</f>
        <v>10845363</v>
      </c>
      <c r="I277" s="22">
        <f>INDEX(Data[],MATCH($A277,Data[Dist],0),MATCH(I$4,Data[#Headers],0))</f>
        <v>13626217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248188</v>
      </c>
      <c r="D278" s="22">
        <f>INDEX(Data[],MATCH($A278,Data[Dist],0),MATCH(D$4,Data[#Headers],0))</f>
        <v>723972</v>
      </c>
      <c r="E278" s="22">
        <f>INDEX(Data[],MATCH($A278,Data[Dist],0),MATCH(E$4,Data[#Headers],0))</f>
        <v>82479</v>
      </c>
      <c r="F278" s="22">
        <f>INDEX(Data[],MATCH($A278,Data[Dist],0),MATCH(F$4,Data[#Headers],0))</f>
        <v>85651</v>
      </c>
      <c r="G278" s="22">
        <f>INDEX(Data[],MATCH($A278,Data[Dist],0),MATCH(G$4,Data[#Headers],0))</f>
        <v>405619</v>
      </c>
      <c r="H278" s="22">
        <f>INDEX(Data[],MATCH($A278,Data[Dist],0),MATCH(H$4,Data[#Headers],0))</f>
        <v>1178531</v>
      </c>
      <c r="I278" s="22">
        <f>INDEX(Data[],MATCH($A278,Data[Dist],0),MATCH(I$4,Data[#Headers],0))</f>
        <v>2724440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89923</v>
      </c>
      <c r="D279" s="22">
        <f>INDEX(Data[],MATCH($A279,Data[Dist],0),MATCH(D$4,Data[#Headers],0))</f>
        <v>269577</v>
      </c>
      <c r="E279" s="22">
        <f>INDEX(Data[],MATCH($A279,Data[Dist],0),MATCH(E$4,Data[#Headers],0))</f>
        <v>24353</v>
      </c>
      <c r="F279" s="22">
        <f>INDEX(Data[],MATCH($A279,Data[Dist],0),MATCH(F$4,Data[#Headers],0))</f>
        <v>26082</v>
      </c>
      <c r="G279" s="22">
        <f>INDEX(Data[],MATCH($A279,Data[Dist],0),MATCH(G$4,Data[#Headers],0))</f>
        <v>141024</v>
      </c>
      <c r="H279" s="22">
        <f>INDEX(Data[],MATCH($A279,Data[Dist],0),MATCH(H$4,Data[#Headers],0))</f>
        <v>2111503</v>
      </c>
      <c r="I279" s="22">
        <f>INDEX(Data[],MATCH($A279,Data[Dist],0),MATCH(I$4,Data[#Headers],0))</f>
        <v>2662462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46760</v>
      </c>
      <c r="D280" s="22">
        <f>INDEX(Data[],MATCH($A280,Data[Dist],0),MATCH(D$4,Data[#Headers],0))</f>
        <v>133127</v>
      </c>
      <c r="E280" s="22">
        <f>INDEX(Data[],MATCH($A280,Data[Dist],0),MATCH(E$4,Data[#Headers],0))</f>
        <v>13473</v>
      </c>
      <c r="F280" s="22">
        <f>INDEX(Data[],MATCH($A280,Data[Dist],0),MATCH(F$4,Data[#Headers],0))</f>
        <v>16399</v>
      </c>
      <c r="G280" s="22">
        <f>INDEX(Data[],MATCH($A280,Data[Dist],0),MATCH(G$4,Data[#Headers],0))</f>
        <v>65311</v>
      </c>
      <c r="H280" s="22">
        <f>INDEX(Data[],MATCH($A280,Data[Dist],0),MATCH(H$4,Data[#Headers],0))</f>
        <v>1062199</v>
      </c>
      <c r="I280" s="22">
        <f>INDEX(Data[],MATCH($A280,Data[Dist],0),MATCH(I$4,Data[#Headers],0))</f>
        <v>1337269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122295</v>
      </c>
      <c r="D281" s="22">
        <f>INDEX(Data[],MATCH($A281,Data[Dist],0),MATCH(D$4,Data[#Headers],0))</f>
        <v>411900</v>
      </c>
      <c r="E281" s="22">
        <f>INDEX(Data[],MATCH($A281,Data[Dist],0),MATCH(E$4,Data[#Headers],0))</f>
        <v>50598</v>
      </c>
      <c r="F281" s="22">
        <f>INDEX(Data[],MATCH($A281,Data[Dist],0),MATCH(F$4,Data[#Headers],0))</f>
        <v>45742</v>
      </c>
      <c r="G281" s="22">
        <f>INDEX(Data[],MATCH($A281,Data[Dist],0),MATCH(G$4,Data[#Headers],0))</f>
        <v>212723</v>
      </c>
      <c r="H281" s="22">
        <f>INDEX(Data[],MATCH($A281,Data[Dist],0),MATCH(H$4,Data[#Headers],0))</f>
        <v>3157627</v>
      </c>
      <c r="I281" s="22">
        <f>INDEX(Data[],MATCH($A281,Data[Dist],0),MATCH(I$4,Data[#Headers],0))</f>
        <v>4000885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575506</v>
      </c>
      <c r="D282" s="22">
        <f>INDEX(Data[],MATCH($A282,Data[Dist],0),MATCH(D$4,Data[#Headers],0))</f>
        <v>1579188</v>
      </c>
      <c r="E282" s="22">
        <f>INDEX(Data[],MATCH($A282,Data[Dist],0),MATCH(E$4,Data[#Headers],0))</f>
        <v>230783</v>
      </c>
      <c r="F282" s="22">
        <f>INDEX(Data[],MATCH($A282,Data[Dist],0),MATCH(F$4,Data[#Headers],0))</f>
        <v>181861</v>
      </c>
      <c r="G282" s="22">
        <f>INDEX(Data[],MATCH($A282,Data[Dist],0),MATCH(G$4,Data[#Headers],0))</f>
        <v>908839</v>
      </c>
      <c r="H282" s="22">
        <f>INDEX(Data[],MATCH($A282,Data[Dist],0),MATCH(H$4,Data[#Headers],0))</f>
        <v>17843687</v>
      </c>
      <c r="I282" s="22">
        <f>INDEX(Data[],MATCH($A282,Data[Dist],0),MATCH(I$4,Data[#Headers],0))</f>
        <v>21319864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28775</v>
      </c>
      <c r="D283" s="22">
        <f>INDEX(Data[],MATCH($A283,Data[Dist],0),MATCH(D$4,Data[#Headers],0))</f>
        <v>80589</v>
      </c>
      <c r="E283" s="22">
        <f>INDEX(Data[],MATCH($A283,Data[Dist],0),MATCH(E$4,Data[#Headers],0))</f>
        <v>9002</v>
      </c>
      <c r="F283" s="22">
        <f>INDEX(Data[],MATCH($A283,Data[Dist],0),MATCH(F$4,Data[#Headers],0))</f>
        <v>7914</v>
      </c>
      <c r="G283" s="22">
        <f>INDEX(Data[],MATCH($A283,Data[Dist],0),MATCH(G$4,Data[#Headers],0))</f>
        <v>47009</v>
      </c>
      <c r="H283" s="22">
        <f>INDEX(Data[],MATCH($A283,Data[Dist],0),MATCH(H$4,Data[#Headers],0))</f>
        <v>641798</v>
      </c>
      <c r="I283" s="22">
        <f>INDEX(Data[],MATCH($A283,Data[Dist],0),MATCH(I$4,Data[#Headers],0))</f>
        <v>815087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169056</v>
      </c>
      <c r="D284" s="22">
        <f>INDEX(Data[],MATCH($A284,Data[Dist],0),MATCH(D$4,Data[#Headers],0))</f>
        <v>606110</v>
      </c>
      <c r="E284" s="22">
        <f>INDEX(Data[],MATCH($A284,Data[Dist],0),MATCH(E$4,Data[#Headers],0))</f>
        <v>66123</v>
      </c>
      <c r="F284" s="22">
        <f>INDEX(Data[],MATCH($A284,Data[Dist],0),MATCH(F$4,Data[#Headers],0))</f>
        <v>59898</v>
      </c>
      <c r="G284" s="22">
        <f>INDEX(Data[],MATCH($A284,Data[Dist],0),MATCH(G$4,Data[#Headers],0))</f>
        <v>333257</v>
      </c>
      <c r="H284" s="22">
        <f>INDEX(Data[],MATCH($A284,Data[Dist],0),MATCH(H$4,Data[#Headers],0))</f>
        <v>4198577</v>
      </c>
      <c r="I284" s="22">
        <f>INDEX(Data[],MATCH($A284,Data[Dist],0),MATCH(I$4,Data[#Headers],0))</f>
        <v>5433021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169056</v>
      </c>
      <c r="D285" s="22">
        <f>INDEX(Data[],MATCH($A285,Data[Dist],0),MATCH(D$4,Data[#Headers],0))</f>
        <v>497782</v>
      </c>
      <c r="E285" s="22">
        <f>INDEX(Data[],MATCH($A285,Data[Dist],0),MATCH(E$4,Data[#Headers],0))</f>
        <v>51230</v>
      </c>
      <c r="F285" s="22">
        <f>INDEX(Data[],MATCH($A285,Data[Dist],0),MATCH(F$4,Data[#Headers],0))</f>
        <v>54852</v>
      </c>
      <c r="G285" s="22">
        <f>INDEX(Data[],MATCH($A285,Data[Dist],0),MATCH(G$4,Data[#Headers],0))</f>
        <v>272519</v>
      </c>
      <c r="H285" s="22">
        <f>INDEX(Data[],MATCH($A285,Data[Dist],0),MATCH(H$4,Data[#Headers],0))</f>
        <v>3703463</v>
      </c>
      <c r="I285" s="22">
        <f>INDEX(Data[],MATCH($A285,Data[Dist],0),MATCH(I$4,Data[#Headers],0))</f>
        <v>4748902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125893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4668890</v>
      </c>
      <c r="I286" s="22">
        <f>INDEX(Data[],MATCH($A286,Data[Dist],0),MATCH(I$4,Data[#Headers],0))</f>
        <v>5751320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382178</v>
      </c>
      <c r="E287" s="22">
        <f>INDEX(Data[],MATCH($A287,Data[Dist],0),MATCH(E$4,Data[#Headers],0))</f>
        <v>42193</v>
      </c>
      <c r="F287" s="22">
        <f>INDEX(Data[],MATCH($A287,Data[Dist],0),MATCH(F$4,Data[#Headers],0))</f>
        <v>40260</v>
      </c>
      <c r="G287" s="22">
        <f>INDEX(Data[],MATCH($A287,Data[Dist],0),MATCH(G$4,Data[#Headers],0))</f>
        <v>212613</v>
      </c>
      <c r="H287" s="22">
        <f>INDEX(Data[],MATCH($A287,Data[Dist],0),MATCH(H$4,Data[#Headers],0))</f>
        <v>2625711</v>
      </c>
      <c r="I287" s="22">
        <f>INDEX(Data[],MATCH($A287,Data[Dist],0),MATCH(I$4,Data[#Headers],0))</f>
        <v>3302955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186967</v>
      </c>
      <c r="D288" s="22">
        <f>INDEX(Data[],MATCH($A288,Data[Dist],0),MATCH(D$4,Data[#Headers],0))</f>
        <v>413955</v>
      </c>
      <c r="E288" s="22">
        <f>INDEX(Data[],MATCH($A288,Data[Dist],0),MATCH(E$4,Data[#Headers],0))</f>
        <v>45614</v>
      </c>
      <c r="F288" s="22">
        <f>INDEX(Data[],MATCH($A288,Data[Dist],0),MATCH(F$4,Data[#Headers],0))</f>
        <v>46390</v>
      </c>
      <c r="G288" s="22">
        <f>INDEX(Data[],MATCH($A288,Data[Dist],0),MATCH(G$4,Data[#Headers],0))</f>
        <v>231399</v>
      </c>
      <c r="H288" s="22">
        <f>INDEX(Data[],MATCH($A288,Data[Dist],0),MATCH(H$4,Data[#Headers],0))</f>
        <v>3428862</v>
      </c>
      <c r="I288" s="22">
        <f>INDEX(Data[],MATCH($A288,Data[Dist],0),MATCH(I$4,Data[#Headers],0))</f>
        <v>4353187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32373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1369991</v>
      </c>
      <c r="I289" s="22">
        <f>INDEX(Data[],MATCH($A289,Data[Dist],0),MATCH(I$4,Data[#Headers],0))</f>
        <v>1739523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61148</v>
      </c>
      <c r="D290" s="22">
        <f>INDEX(Data[],MATCH($A290,Data[Dist],0),MATCH(D$4,Data[#Headers],0))</f>
        <v>269891</v>
      </c>
      <c r="E290" s="22">
        <f>INDEX(Data[],MATCH($A290,Data[Dist],0),MATCH(E$4,Data[#Headers],0))</f>
        <v>28868</v>
      </c>
      <c r="F290" s="22">
        <f>INDEX(Data[],MATCH($A290,Data[Dist],0),MATCH(F$4,Data[#Headers],0))</f>
        <v>27933</v>
      </c>
      <c r="G290" s="22">
        <f>INDEX(Data[],MATCH($A290,Data[Dist],0),MATCH(G$4,Data[#Headers],0))</f>
        <v>139765</v>
      </c>
      <c r="H290" s="22">
        <f>INDEX(Data[],MATCH($A290,Data[Dist],0),MATCH(H$4,Data[#Headers],0))</f>
        <v>2244492</v>
      </c>
      <c r="I290" s="22">
        <f>INDEX(Data[],MATCH($A290,Data[Dist],0),MATCH(I$4,Data[#Headers],0))</f>
        <v>2772097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79132</v>
      </c>
      <c r="D291" s="22">
        <f>INDEX(Data[],MATCH($A291,Data[Dist],0),MATCH(D$4,Data[#Headers],0))</f>
        <v>233008</v>
      </c>
      <c r="E291" s="22">
        <f>INDEX(Data[],MATCH($A291,Data[Dist],0),MATCH(E$4,Data[#Headers],0))</f>
        <v>19659</v>
      </c>
      <c r="F291" s="22">
        <f>INDEX(Data[],MATCH($A291,Data[Dist],0),MATCH(F$4,Data[#Headers],0))</f>
        <v>26693</v>
      </c>
      <c r="G291" s="22">
        <f>INDEX(Data[],MATCH($A291,Data[Dist],0),MATCH(G$4,Data[#Headers],0))</f>
        <v>121732</v>
      </c>
      <c r="H291" s="22">
        <f>INDEX(Data[],MATCH($A291,Data[Dist],0),MATCH(H$4,Data[#Headers],0))</f>
        <v>1414989</v>
      </c>
      <c r="I291" s="22">
        <f>INDEX(Data[],MATCH($A291,Data[Dist],0),MATCH(I$4,Data[#Headers],0))</f>
        <v>1895213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39567</v>
      </c>
      <c r="D292" s="22">
        <f>INDEX(Data[],MATCH($A292,Data[Dist],0),MATCH(D$4,Data[#Headers],0))</f>
        <v>213997</v>
      </c>
      <c r="E292" s="22">
        <f>INDEX(Data[],MATCH($A292,Data[Dist],0),MATCH(E$4,Data[#Headers],0))</f>
        <v>26076</v>
      </c>
      <c r="F292" s="22">
        <f>INDEX(Data[],MATCH($A292,Data[Dist],0),MATCH(F$4,Data[#Headers],0))</f>
        <v>22403</v>
      </c>
      <c r="G292" s="22">
        <f>INDEX(Data[],MATCH($A292,Data[Dist],0),MATCH(G$4,Data[#Headers],0))</f>
        <v>110312</v>
      </c>
      <c r="H292" s="22">
        <f>INDEX(Data[],MATCH($A292,Data[Dist],0),MATCH(H$4,Data[#Headers],0))</f>
        <v>1759645</v>
      </c>
      <c r="I292" s="22">
        <f>INDEX(Data[],MATCH($A292,Data[Dist],0),MATCH(I$4,Data[#Headers],0))</f>
        <v>2172000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17985</v>
      </c>
      <c r="D293" s="22">
        <f>INDEX(Data[],MATCH($A293,Data[Dist],0),MATCH(D$4,Data[#Headers],0))</f>
        <v>110817</v>
      </c>
      <c r="E293" s="22">
        <f>INDEX(Data[],MATCH($A293,Data[Dist],0),MATCH(E$4,Data[#Headers],0))</f>
        <v>10904</v>
      </c>
      <c r="F293" s="22">
        <f>INDEX(Data[],MATCH($A293,Data[Dist],0),MATCH(F$4,Data[#Headers],0))</f>
        <v>10960</v>
      </c>
      <c r="G293" s="22">
        <f>INDEX(Data[],MATCH($A293,Data[Dist],0),MATCH(G$4,Data[#Headers],0))</f>
        <v>55502</v>
      </c>
      <c r="H293" s="22">
        <f>INDEX(Data[],MATCH($A293,Data[Dist],0),MATCH(H$4,Data[#Headers],0))</f>
        <v>565845</v>
      </c>
      <c r="I293" s="22">
        <f>INDEX(Data[],MATCH($A293,Data[Dist],0),MATCH(I$4,Data[#Headers],0))</f>
        <v>772013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122295</v>
      </c>
      <c r="D294" s="22">
        <f>INDEX(Data[],MATCH($A294,Data[Dist],0),MATCH(D$4,Data[#Headers],0))</f>
        <v>430301</v>
      </c>
      <c r="E294" s="22">
        <f>INDEX(Data[],MATCH($A294,Data[Dist],0),MATCH(E$4,Data[#Headers],0))</f>
        <v>49237</v>
      </c>
      <c r="F294" s="22">
        <f>INDEX(Data[],MATCH($A294,Data[Dist],0),MATCH(F$4,Data[#Headers],0))</f>
        <v>44641</v>
      </c>
      <c r="G294" s="22">
        <f>INDEX(Data[],MATCH($A294,Data[Dist],0),MATCH(G$4,Data[#Headers],0))</f>
        <v>253460</v>
      </c>
      <c r="H294" s="22">
        <f>INDEX(Data[],MATCH($A294,Data[Dist],0),MATCH(H$4,Data[#Headers],0))</f>
        <v>3543577</v>
      </c>
      <c r="I294" s="22">
        <f>INDEX(Data[],MATCH($A294,Data[Dist],0),MATCH(I$4,Data[#Headers],0))</f>
        <v>4443511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229109</v>
      </c>
      <c r="D295" s="22">
        <f>INDEX(Data[],MATCH($A295,Data[Dist],0),MATCH(D$4,Data[#Headers],0))</f>
        <v>213289</v>
      </c>
      <c r="E295" s="22">
        <f>INDEX(Data[],MATCH($A295,Data[Dist],0),MATCH(E$4,Data[#Headers],0))</f>
        <v>28723</v>
      </c>
      <c r="F295" s="22">
        <f>INDEX(Data[],MATCH($A295,Data[Dist],0),MATCH(F$4,Data[#Headers],0))</f>
        <v>18576</v>
      </c>
      <c r="G295" s="22">
        <f>INDEX(Data[],MATCH($A295,Data[Dist],0),MATCH(G$4,Data[#Headers],0))</f>
        <v>137481</v>
      </c>
      <c r="H295" s="22">
        <f>INDEX(Data[],MATCH($A295,Data[Dist],0),MATCH(H$4,Data[#Headers],0))</f>
        <v>857888</v>
      </c>
      <c r="I295" s="22">
        <f>INDEX(Data[],MATCH($A295,Data[Dist],0),MATCH(I$4,Data[#Headers],0))</f>
        <v>1485066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517956</v>
      </c>
      <c r="D296" s="22">
        <f>INDEX(Data[],MATCH($A296,Data[Dist],0),MATCH(D$4,Data[#Headers],0))</f>
        <v>2114868</v>
      </c>
      <c r="E296" s="22">
        <f>INDEX(Data[],MATCH($A296,Data[Dist],0),MATCH(E$4,Data[#Headers],0))</f>
        <v>241182</v>
      </c>
      <c r="F296" s="22">
        <f>INDEX(Data[],MATCH($A296,Data[Dist],0),MATCH(F$4,Data[#Headers],0))</f>
        <v>248794</v>
      </c>
      <c r="G296" s="22">
        <f>INDEX(Data[],MATCH($A296,Data[Dist],0),MATCH(G$4,Data[#Headers],0))</f>
        <v>1175668</v>
      </c>
      <c r="H296" s="22">
        <f>INDEX(Data[],MATCH($A296,Data[Dist],0),MATCH(H$4,Data[#Headers],0))</f>
        <v>16388979</v>
      </c>
      <c r="I296" s="22">
        <f>INDEX(Data[],MATCH($A296,Data[Dist],0),MATCH(I$4,Data[#Headers],0))</f>
        <v>20687447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194233</v>
      </c>
      <c r="D297" s="22">
        <f>INDEX(Data[],MATCH($A297,Data[Dist],0),MATCH(D$4,Data[#Headers],0))</f>
        <v>582576</v>
      </c>
      <c r="E297" s="22">
        <f>INDEX(Data[],MATCH($A297,Data[Dist],0),MATCH(E$4,Data[#Headers],0))</f>
        <v>70374</v>
      </c>
      <c r="F297" s="22">
        <f>INDEX(Data[],MATCH($A297,Data[Dist],0),MATCH(F$4,Data[#Headers],0))</f>
        <v>57961</v>
      </c>
      <c r="G297" s="22">
        <f>INDEX(Data[],MATCH($A297,Data[Dist],0),MATCH(G$4,Data[#Headers],0))</f>
        <v>328021</v>
      </c>
      <c r="H297" s="22">
        <f>INDEX(Data[],MATCH($A297,Data[Dist],0),MATCH(H$4,Data[#Headers],0))</f>
        <v>4636155</v>
      </c>
      <c r="I297" s="22">
        <f>INDEX(Data[],MATCH($A297,Data[Dist],0),MATCH(I$4,Data[#Headers],0))</f>
        <v>5869320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151070</v>
      </c>
      <c r="D298" s="22">
        <f>INDEX(Data[],MATCH($A298,Data[Dist],0),MATCH(D$4,Data[#Headers],0))</f>
        <v>497357</v>
      </c>
      <c r="E298" s="22">
        <f>INDEX(Data[],MATCH($A298,Data[Dist],0),MATCH(E$4,Data[#Headers],0))</f>
        <v>54419</v>
      </c>
      <c r="F298" s="22">
        <f>INDEX(Data[],MATCH($A298,Data[Dist],0),MATCH(F$4,Data[#Headers],0))</f>
        <v>51636</v>
      </c>
      <c r="G298" s="22">
        <f>INDEX(Data[],MATCH($A298,Data[Dist],0),MATCH(G$4,Data[#Headers],0))</f>
        <v>272030</v>
      </c>
      <c r="H298" s="22">
        <f>INDEX(Data[],MATCH($A298,Data[Dist],0),MATCH(H$4,Data[#Headers],0))</f>
        <v>3843450</v>
      </c>
      <c r="I298" s="22">
        <f>INDEX(Data[],MATCH($A298,Data[Dist],0),MATCH(I$4,Data[#Headers],0))</f>
        <v>4869962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43163</v>
      </c>
      <c r="D299" s="22">
        <f>INDEX(Data[],MATCH($A299,Data[Dist],0),MATCH(D$4,Data[#Headers],0))</f>
        <v>179770</v>
      </c>
      <c r="E299" s="22">
        <f>INDEX(Data[],MATCH($A299,Data[Dist],0),MATCH(E$4,Data[#Headers],0))</f>
        <v>22017</v>
      </c>
      <c r="F299" s="22">
        <f>INDEX(Data[],MATCH($A299,Data[Dist],0),MATCH(F$4,Data[#Headers],0))</f>
        <v>19368</v>
      </c>
      <c r="G299" s="22">
        <f>INDEX(Data[],MATCH($A299,Data[Dist],0),MATCH(G$4,Data[#Headers],0))</f>
        <v>98926</v>
      </c>
      <c r="H299" s="22">
        <f>INDEX(Data[],MATCH($A299,Data[Dist],0),MATCH(H$4,Data[#Headers],0))</f>
        <v>1315892</v>
      </c>
      <c r="I299" s="22">
        <f>INDEX(Data[],MATCH($A299,Data[Dist],0),MATCH(I$4,Data[#Headers],0))</f>
        <v>1679136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304936</v>
      </c>
      <c r="D300" s="22">
        <f>INDEX(Data[],MATCH($A300,Data[Dist],0),MATCH(D$4,Data[#Headers],0))</f>
        <v>993245</v>
      </c>
      <c r="E300" s="22">
        <f>INDEX(Data[],MATCH($A300,Data[Dist],0),MATCH(E$4,Data[#Headers],0))</f>
        <v>108844</v>
      </c>
      <c r="F300" s="22">
        <f>INDEX(Data[],MATCH($A300,Data[Dist],0),MATCH(F$4,Data[#Headers],0))</f>
        <v>111784</v>
      </c>
      <c r="G300" s="22">
        <f>INDEX(Data[],MATCH($A300,Data[Dist],0),MATCH(G$4,Data[#Headers],0))</f>
        <v>540151</v>
      </c>
      <c r="H300" s="22">
        <f>INDEX(Data[],MATCH($A300,Data[Dist],0),MATCH(H$4,Data[#Headers],0))</f>
        <v>8176442</v>
      </c>
      <c r="I300" s="22">
        <f>INDEX(Data[],MATCH($A300,Data[Dist],0),MATCH(I$4,Data[#Headers],0))</f>
        <v>10235402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104311</v>
      </c>
      <c r="D301" s="22">
        <f>INDEX(Data[],MATCH($A301,Data[Dist],0),MATCH(D$4,Data[#Headers],0))</f>
        <v>332320</v>
      </c>
      <c r="E301" s="22">
        <f>INDEX(Data[],MATCH($A301,Data[Dist],0),MATCH(E$4,Data[#Headers],0))</f>
        <v>35956</v>
      </c>
      <c r="F301" s="22">
        <f>INDEX(Data[],MATCH($A301,Data[Dist],0),MATCH(F$4,Data[#Headers],0))</f>
        <v>35628</v>
      </c>
      <c r="G301" s="22">
        <f>INDEX(Data[],MATCH($A301,Data[Dist],0),MATCH(G$4,Data[#Headers],0))</f>
        <v>166968</v>
      </c>
      <c r="H301" s="22">
        <f>INDEX(Data[],MATCH($A301,Data[Dist],0),MATCH(H$4,Data[#Headers],0))</f>
        <v>2458306</v>
      </c>
      <c r="I301" s="22">
        <f>INDEX(Data[],MATCH($A301,Data[Dist],0),MATCH(I$4,Data[#Headers],0))</f>
        <v>3133489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158264</v>
      </c>
      <c r="D302" s="22">
        <f>INDEX(Data[],MATCH($A302,Data[Dist],0),MATCH(D$4,Data[#Headers],0))</f>
        <v>518583</v>
      </c>
      <c r="E302" s="22">
        <f>INDEX(Data[],MATCH($A302,Data[Dist],0),MATCH(E$4,Data[#Headers],0))</f>
        <v>59757</v>
      </c>
      <c r="F302" s="22">
        <f>INDEX(Data[],MATCH($A302,Data[Dist],0),MATCH(F$4,Data[#Headers],0))</f>
        <v>55059</v>
      </c>
      <c r="G302" s="22">
        <f>INDEX(Data[],MATCH($A302,Data[Dist],0),MATCH(G$4,Data[#Headers],0))</f>
        <v>274683</v>
      </c>
      <c r="H302" s="22">
        <f>INDEX(Data[],MATCH($A302,Data[Dist],0),MATCH(H$4,Data[#Headers],0))</f>
        <v>3403290</v>
      </c>
      <c r="I302" s="22">
        <f>INDEX(Data[],MATCH($A302,Data[Dist],0),MATCH(I$4,Data[#Headers],0))</f>
        <v>4469636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104311</v>
      </c>
      <c r="D303" s="22">
        <f>INDEX(Data[],MATCH($A303,Data[Dist],0),MATCH(D$4,Data[#Headers],0))</f>
        <v>366984</v>
      </c>
      <c r="E303" s="22">
        <f>INDEX(Data[],MATCH($A303,Data[Dist],0),MATCH(E$4,Data[#Headers],0))</f>
        <v>45720</v>
      </c>
      <c r="F303" s="22">
        <f>INDEX(Data[],MATCH($A303,Data[Dist],0),MATCH(F$4,Data[#Headers],0))</f>
        <v>38133</v>
      </c>
      <c r="G303" s="22">
        <f>INDEX(Data[],MATCH($A303,Data[Dist],0),MATCH(G$4,Data[#Headers],0))</f>
        <v>195330</v>
      </c>
      <c r="H303" s="22">
        <f>INDEX(Data[],MATCH($A303,Data[Dist],0),MATCH(H$4,Data[#Headers],0))</f>
        <v>2883115</v>
      </c>
      <c r="I303" s="22">
        <f>INDEX(Data[],MATCH($A303,Data[Dist],0),MATCH(I$4,Data[#Headers],0))</f>
        <v>3633593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122295</v>
      </c>
      <c r="D304" s="22">
        <f>INDEX(Data[],MATCH($A304,Data[Dist],0),MATCH(D$4,Data[#Headers],0))</f>
        <v>453970</v>
      </c>
      <c r="E304" s="22">
        <f>INDEX(Data[],MATCH($A304,Data[Dist],0),MATCH(E$4,Data[#Headers],0))</f>
        <v>49765</v>
      </c>
      <c r="F304" s="22">
        <f>INDEX(Data[],MATCH($A304,Data[Dist],0),MATCH(F$4,Data[#Headers],0))</f>
        <v>47159</v>
      </c>
      <c r="G304" s="22">
        <f>INDEX(Data[],MATCH($A304,Data[Dist],0),MATCH(G$4,Data[#Headers],0))</f>
        <v>236251</v>
      </c>
      <c r="H304" s="22">
        <f>INDEX(Data[],MATCH($A304,Data[Dist],0),MATCH(H$4,Data[#Headers],0))</f>
        <v>3654424</v>
      </c>
      <c r="I304" s="22">
        <f>INDEX(Data[],MATCH($A304,Data[Dist],0),MATCH(I$4,Data[#Headers],0))</f>
        <v>4563864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309335</v>
      </c>
      <c r="D305" s="22">
        <f>INDEX(Data[],MATCH($A305,Data[Dist],0),MATCH(D$4,Data[#Headers],0))</f>
        <v>1035750</v>
      </c>
      <c r="E305" s="22">
        <f>INDEX(Data[],MATCH($A305,Data[Dist],0),MATCH(E$4,Data[#Headers],0))</f>
        <v>127486</v>
      </c>
      <c r="F305" s="22">
        <f>INDEX(Data[],MATCH($A305,Data[Dist],0),MATCH(F$4,Data[#Headers],0))</f>
        <v>114843</v>
      </c>
      <c r="G305" s="22">
        <f>INDEX(Data[],MATCH($A305,Data[Dist],0),MATCH(G$4,Data[#Headers],0))</f>
        <v>580842</v>
      </c>
      <c r="H305" s="22">
        <f>INDEX(Data[],MATCH($A305,Data[Dist],0),MATCH(H$4,Data[#Headers],0))</f>
        <v>9325095</v>
      </c>
      <c r="I305" s="22">
        <f>INDEX(Data[],MATCH($A305,Data[Dist],0),MATCH(I$4,Data[#Headers],0))</f>
        <v>11493351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1521496</v>
      </c>
      <c r="D306" s="22">
        <f>INDEX(Data[],MATCH($A306,Data[Dist],0),MATCH(D$4,Data[#Headers],0))</f>
        <v>6484883</v>
      </c>
      <c r="E306" s="22">
        <f>INDEX(Data[],MATCH($A306,Data[Dist],0),MATCH(E$4,Data[#Headers],0))</f>
        <v>896078</v>
      </c>
      <c r="F306" s="22">
        <f>INDEX(Data[],MATCH($A306,Data[Dist],0),MATCH(F$4,Data[#Headers],0))</f>
        <v>708157</v>
      </c>
      <c r="G306" s="22">
        <f>INDEX(Data[],MATCH($A306,Data[Dist],0),MATCH(G$4,Data[#Headers],0))</f>
        <v>3709427</v>
      </c>
      <c r="H306" s="22">
        <f>INDEX(Data[],MATCH($A306,Data[Dist],0),MATCH(H$4,Data[#Headers],0))</f>
        <v>70561674</v>
      </c>
      <c r="I306" s="22">
        <f>INDEX(Data[],MATCH($A306,Data[Dist],0),MATCH(I$4,Data[#Headers],0))</f>
        <v>83881715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302141</v>
      </c>
      <c r="D307" s="22">
        <f>INDEX(Data[],MATCH($A307,Data[Dist],0),MATCH(D$4,Data[#Headers],0))</f>
        <v>6619395</v>
      </c>
      <c r="E307" s="22">
        <f>INDEX(Data[],MATCH($A307,Data[Dist],0),MATCH(E$4,Data[#Headers],0))</f>
        <v>871775</v>
      </c>
      <c r="F307" s="22">
        <f>INDEX(Data[],MATCH($A307,Data[Dist],0),MATCH(F$4,Data[#Headers],0))</f>
        <v>688976</v>
      </c>
      <c r="G307" s="22">
        <f>INDEX(Data[],MATCH($A307,Data[Dist],0),MATCH(G$4,Data[#Headers],0))</f>
        <v>4186990</v>
      </c>
      <c r="H307" s="22">
        <f>INDEX(Data[],MATCH($A307,Data[Dist],0),MATCH(H$4,Data[#Headers],0))</f>
        <v>56140520</v>
      </c>
      <c r="I307" s="22">
        <f>INDEX(Data[],MATCH($A307,Data[Dist],0),MATCH(I$4,Data[#Headers],0))</f>
        <v>68809797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352498</v>
      </c>
      <c r="D308" s="22">
        <f>INDEX(Data[],MATCH($A308,Data[Dist],0),MATCH(D$4,Data[#Headers],0))</f>
        <v>1402018</v>
      </c>
      <c r="E308" s="22">
        <f>INDEX(Data[],MATCH($A308,Data[Dist],0),MATCH(E$4,Data[#Headers],0))</f>
        <v>134584</v>
      </c>
      <c r="F308" s="22">
        <f>INDEX(Data[],MATCH($A308,Data[Dist],0),MATCH(F$4,Data[#Headers],0))</f>
        <v>155860</v>
      </c>
      <c r="G308" s="22">
        <f>INDEX(Data[],MATCH($A308,Data[Dist],0),MATCH(G$4,Data[#Headers],0))</f>
        <v>739714</v>
      </c>
      <c r="H308" s="22">
        <f>INDEX(Data[],MATCH($A308,Data[Dist],0),MATCH(H$4,Data[#Headers],0))</f>
        <v>10912844</v>
      </c>
      <c r="I308" s="22">
        <f>INDEX(Data[],MATCH($A308,Data[Dist],0),MATCH(I$4,Data[#Headers],0))</f>
        <v>13697518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129489</v>
      </c>
      <c r="D309" s="22">
        <f>INDEX(Data[],MATCH($A309,Data[Dist],0),MATCH(D$4,Data[#Headers],0))</f>
        <v>417130</v>
      </c>
      <c r="E309" s="22">
        <f>INDEX(Data[],MATCH($A309,Data[Dist],0),MATCH(E$4,Data[#Headers],0))</f>
        <v>46826</v>
      </c>
      <c r="F309" s="22">
        <f>INDEX(Data[],MATCH($A309,Data[Dist],0),MATCH(F$4,Data[#Headers],0))</f>
        <v>46490</v>
      </c>
      <c r="G309" s="22">
        <f>INDEX(Data[],MATCH($A309,Data[Dist],0),MATCH(G$4,Data[#Headers],0))</f>
        <v>200784</v>
      </c>
      <c r="H309" s="22">
        <f>INDEX(Data[],MATCH($A309,Data[Dist],0),MATCH(H$4,Data[#Headers],0))</f>
        <v>2459443</v>
      </c>
      <c r="I309" s="22">
        <f>INDEX(Data[],MATCH($A309,Data[Dist],0),MATCH(I$4,Data[#Headers],0))</f>
        <v>3300162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406452</v>
      </c>
      <c r="D310" s="22">
        <f>INDEX(Data[],MATCH($A310,Data[Dist],0),MATCH(D$4,Data[#Headers],0))</f>
        <v>1107649</v>
      </c>
      <c r="E310" s="22">
        <f>INDEX(Data[],MATCH($A310,Data[Dist],0),MATCH(E$4,Data[#Headers],0))</f>
        <v>135424</v>
      </c>
      <c r="F310" s="22">
        <f>INDEX(Data[],MATCH($A310,Data[Dist],0),MATCH(F$4,Data[#Headers],0))</f>
        <v>122357</v>
      </c>
      <c r="G310" s="22">
        <f>INDEX(Data[],MATCH($A310,Data[Dist],0),MATCH(G$4,Data[#Headers],0))</f>
        <v>607382</v>
      </c>
      <c r="H310" s="22">
        <f>INDEX(Data[],MATCH($A310,Data[Dist],0),MATCH(H$4,Data[#Headers],0))</f>
        <v>9836733</v>
      </c>
      <c r="I310" s="22">
        <f>INDEX(Data[],MATCH($A310,Data[Dist],0),MATCH(I$4,Data[#Headers],0))</f>
        <v>12215997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97117</v>
      </c>
      <c r="D311" s="22">
        <f>INDEX(Data[],MATCH($A311,Data[Dist],0),MATCH(D$4,Data[#Headers],0))</f>
        <v>214486</v>
      </c>
      <c r="E311" s="22">
        <f>INDEX(Data[],MATCH($A311,Data[Dist],0),MATCH(E$4,Data[#Headers],0))</f>
        <v>20462</v>
      </c>
      <c r="F311" s="22">
        <f>INDEX(Data[],MATCH($A311,Data[Dist],0),MATCH(F$4,Data[#Headers],0))</f>
        <v>22884</v>
      </c>
      <c r="G311" s="22">
        <f>INDEX(Data[],MATCH($A311,Data[Dist],0),MATCH(G$4,Data[#Headers],0))</f>
        <v>107164</v>
      </c>
      <c r="H311" s="22">
        <f>INDEX(Data[],MATCH($A311,Data[Dist],0),MATCH(H$4,Data[#Headers],0))</f>
        <v>1079146</v>
      </c>
      <c r="I311" s="22">
        <f>INDEX(Data[],MATCH($A311,Data[Dist],0),MATCH(I$4,Data[#Headers],0))</f>
        <v>1541259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176249</v>
      </c>
      <c r="D312" s="22">
        <f>INDEX(Data[],MATCH($A312,Data[Dist],0),MATCH(D$4,Data[#Headers],0))</f>
        <v>466321</v>
      </c>
      <c r="E312" s="22">
        <f>INDEX(Data[],MATCH($A312,Data[Dist],0),MATCH(E$4,Data[#Headers],0))</f>
        <v>50954</v>
      </c>
      <c r="F312" s="22">
        <f>INDEX(Data[],MATCH($A312,Data[Dist],0),MATCH(F$4,Data[#Headers],0))</f>
        <v>49680</v>
      </c>
      <c r="G312" s="22">
        <f>INDEX(Data[],MATCH($A312,Data[Dist],0),MATCH(G$4,Data[#Headers],0))</f>
        <v>264560</v>
      </c>
      <c r="H312" s="22">
        <f>INDEX(Data[],MATCH($A312,Data[Dist],0),MATCH(H$4,Data[#Headers],0))</f>
        <v>3277039</v>
      </c>
      <c r="I312" s="22">
        <f>INDEX(Data[],MATCH($A312,Data[Dist],0),MATCH(I$4,Data[#Headers],0))</f>
        <v>4284803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172652</v>
      </c>
      <c r="D313" s="22">
        <f>INDEX(Data[],MATCH($A313,Data[Dist],0),MATCH(D$4,Data[#Headers],0))</f>
        <v>336832</v>
      </c>
      <c r="E313" s="22">
        <f>INDEX(Data[],MATCH($A313,Data[Dist],0),MATCH(E$4,Data[#Headers],0))</f>
        <v>54426</v>
      </c>
      <c r="F313" s="22">
        <f>INDEX(Data[],MATCH($A313,Data[Dist],0),MATCH(F$4,Data[#Headers],0))</f>
        <v>43232</v>
      </c>
      <c r="G313" s="22">
        <f>INDEX(Data[],MATCH($A313,Data[Dist],0),MATCH(G$4,Data[#Headers],0))</f>
        <v>156264</v>
      </c>
      <c r="H313" s="22">
        <f>INDEX(Data[],MATCH($A313,Data[Dist],0),MATCH(H$4,Data[#Headers],0))</f>
        <v>2198830</v>
      </c>
      <c r="I313" s="22">
        <f>INDEX(Data[],MATCH($A313,Data[Dist],0),MATCH(I$4,Data[#Headers],0))</f>
        <v>2962236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35969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16944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1078349</v>
      </c>
      <c r="I314" s="22">
        <f>INDEX(Data[],MATCH($A314,Data[Dist],0),MATCH(I$4,Data[#Headers],0))</f>
        <v>1414130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219412</v>
      </c>
      <c r="D315" s="22">
        <f>INDEX(Data[],MATCH($A315,Data[Dist],0),MATCH(D$4,Data[#Headers],0))</f>
        <v>868070</v>
      </c>
      <c r="E315" s="22">
        <f>INDEX(Data[],MATCH($A315,Data[Dist],0),MATCH(E$4,Data[#Headers],0))</f>
        <v>95334</v>
      </c>
      <c r="F315" s="22">
        <f>INDEX(Data[],MATCH($A315,Data[Dist],0),MATCH(F$4,Data[#Headers],0))</f>
        <v>96398</v>
      </c>
      <c r="G315" s="22">
        <f>INDEX(Data[],MATCH($A315,Data[Dist],0),MATCH(G$4,Data[#Headers],0))</f>
        <v>488454</v>
      </c>
      <c r="H315" s="22">
        <f>INDEX(Data[],MATCH($A315,Data[Dist],0),MATCH(H$4,Data[#Headers],0))</f>
        <v>6622321</v>
      </c>
      <c r="I315" s="22">
        <f>INDEX(Data[],MATCH($A315,Data[Dist],0),MATCH(I$4,Data[#Headers],0))</f>
        <v>8389989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1424378</v>
      </c>
      <c r="D316" s="22">
        <f>INDEX(Data[],MATCH($A316,Data[Dist],0),MATCH(D$4,Data[#Headers],0))</f>
        <v>5234729</v>
      </c>
      <c r="E316" s="22">
        <f>INDEX(Data[],MATCH($A316,Data[Dist],0),MATCH(E$4,Data[#Headers],0))</f>
        <v>587683</v>
      </c>
      <c r="F316" s="22">
        <f>INDEX(Data[],MATCH($A316,Data[Dist],0),MATCH(F$4,Data[#Headers],0))</f>
        <v>596239</v>
      </c>
      <c r="G316" s="22">
        <f>INDEX(Data[],MATCH($A316,Data[Dist],0),MATCH(G$4,Data[#Headers],0))</f>
        <v>3078832</v>
      </c>
      <c r="H316" s="22">
        <f>INDEX(Data[],MATCH($A316,Data[Dist],0),MATCH(H$4,Data[#Headers],0))</f>
        <v>35608818</v>
      </c>
      <c r="I316" s="22">
        <f>INDEX(Data[],MATCH($A316,Data[Dist],0),MATCH(I$4,Data[#Headers],0))</f>
        <v>46530679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974764</v>
      </c>
      <c r="D317" s="22">
        <f>INDEX(Data[],MATCH($A317,Data[Dist],0),MATCH(D$4,Data[#Headers],0))</f>
        <v>1967929</v>
      </c>
      <c r="E317" s="22">
        <f>INDEX(Data[],MATCH($A317,Data[Dist],0),MATCH(E$4,Data[#Headers],0))</f>
        <v>226461</v>
      </c>
      <c r="F317" s="22">
        <f>INDEX(Data[],MATCH($A317,Data[Dist],0),MATCH(F$4,Data[#Headers],0))</f>
        <v>218915</v>
      </c>
      <c r="G317" s="22">
        <f>INDEX(Data[],MATCH($A317,Data[Dist],0),MATCH(G$4,Data[#Headers],0))</f>
        <v>1116221</v>
      </c>
      <c r="H317" s="22">
        <f>INDEX(Data[],MATCH($A317,Data[Dist],0),MATCH(H$4,Data[#Headers],0))</f>
        <v>14293299</v>
      </c>
      <c r="I317" s="22">
        <f>INDEX(Data[],MATCH($A317,Data[Dist],0),MATCH(I$4,Data[#Headers],0))</f>
        <v>18797589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68342</v>
      </c>
      <c r="D318" s="22">
        <f>INDEX(Data[],MATCH($A318,Data[Dist],0),MATCH(D$4,Data[#Headers],0))</f>
        <v>216362</v>
      </c>
      <c r="E318" s="22">
        <f>INDEX(Data[],MATCH($A318,Data[Dist],0),MATCH(E$4,Data[#Headers],0))</f>
        <v>20321</v>
      </c>
      <c r="F318" s="22">
        <f>INDEX(Data[],MATCH($A318,Data[Dist],0),MATCH(F$4,Data[#Headers],0))</f>
        <v>23674</v>
      </c>
      <c r="G318" s="22">
        <f>INDEX(Data[],MATCH($A318,Data[Dist],0),MATCH(G$4,Data[#Headers],0))</f>
        <v>118579</v>
      </c>
      <c r="H318" s="22">
        <f>INDEX(Data[],MATCH($A318,Data[Dist],0),MATCH(H$4,Data[#Headers],0))</f>
        <v>1229505</v>
      </c>
      <c r="I318" s="22">
        <f>INDEX(Data[],MATCH($A318,Data[Dist],0),MATCH(I$4,Data[#Headers],0))</f>
        <v>1676783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305592</v>
      </c>
      <c r="D319" s="22">
        <f>INDEX(Data[],MATCH($A319,Data[Dist],0),MATCH(D$4,Data[#Headers],0))</f>
        <v>797122</v>
      </c>
      <c r="E319" s="22">
        <f>INDEX(Data[],MATCH($A319,Data[Dist],0),MATCH(E$4,Data[#Headers],0))</f>
        <v>109135</v>
      </c>
      <c r="F319" s="22">
        <f>INDEX(Data[],MATCH($A319,Data[Dist],0),MATCH(F$4,Data[#Headers],0))</f>
        <v>83556</v>
      </c>
      <c r="G319" s="22">
        <f>INDEX(Data[],MATCH($A319,Data[Dist],0),MATCH(G$4,Data[#Headers],0))</f>
        <v>443737</v>
      </c>
      <c r="H319" s="22">
        <f>INDEX(Data[],MATCH($A319,Data[Dist],0),MATCH(H$4,Data[#Headers],0))</f>
        <v>7408090</v>
      </c>
      <c r="I319" s="22">
        <f>INDEX(Data[],MATCH($A319,Data[Dist],0),MATCH(I$4,Data[#Headers],0))</f>
        <v>9147232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223009</v>
      </c>
      <c r="D320" s="22">
        <f>INDEX(Data[],MATCH($A320,Data[Dist],0),MATCH(D$4,Data[#Headers],0))</f>
        <v>551455</v>
      </c>
      <c r="E320" s="22">
        <f>INDEX(Data[],MATCH($A320,Data[Dist],0),MATCH(E$4,Data[#Headers],0))</f>
        <v>63556</v>
      </c>
      <c r="F320" s="22">
        <f>INDEX(Data[],MATCH($A320,Data[Dist],0),MATCH(F$4,Data[#Headers],0))</f>
        <v>62042</v>
      </c>
      <c r="G320" s="22">
        <f>INDEX(Data[],MATCH($A320,Data[Dist],0),MATCH(G$4,Data[#Headers],0))</f>
        <v>328335</v>
      </c>
      <c r="H320" s="22">
        <f>INDEX(Data[],MATCH($A320,Data[Dist],0),MATCH(H$4,Data[#Headers],0))</f>
        <v>3730018</v>
      </c>
      <c r="I320" s="22">
        <f>INDEX(Data[],MATCH($A320,Data[Dist],0),MATCH(I$4,Data[#Headers],0))</f>
        <v>4958415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172652</v>
      </c>
      <c r="D321" s="22">
        <f>INDEX(Data[],MATCH($A321,Data[Dist],0),MATCH(D$4,Data[#Headers],0))</f>
        <v>506163</v>
      </c>
      <c r="E321" s="22">
        <f>INDEX(Data[],MATCH($A321,Data[Dist],0),MATCH(E$4,Data[#Headers],0))</f>
        <v>60993</v>
      </c>
      <c r="F321" s="22">
        <f>INDEX(Data[],MATCH($A321,Data[Dist],0),MATCH(F$4,Data[#Headers],0))</f>
        <v>49929</v>
      </c>
      <c r="G321" s="22">
        <f>INDEX(Data[],MATCH($A321,Data[Dist],0),MATCH(G$4,Data[#Headers],0))</f>
        <v>284597</v>
      </c>
      <c r="H321" s="22">
        <f>INDEX(Data[],MATCH($A321,Data[Dist],0),MATCH(H$4,Data[#Headers],0))</f>
        <v>4051583</v>
      </c>
      <c r="I321" s="22">
        <f>INDEX(Data[],MATCH($A321,Data[Dist],0),MATCH(I$4,Data[#Headers],0))</f>
        <v>5125917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169056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46049</v>
      </c>
      <c r="F322" s="22">
        <f>INDEX(Data[],MATCH($A322,Data[Dist],0),MATCH(F$4,Data[#Headers],0))</f>
        <v>42973</v>
      </c>
      <c r="G322" s="22">
        <f>INDEX(Data[],MATCH($A322,Data[Dist],0),MATCH(G$4,Data[#Headers],0))</f>
        <v>219984</v>
      </c>
      <c r="H322" s="22">
        <f>INDEX(Data[],MATCH($A322,Data[Dist],0),MATCH(H$4,Data[#Headers],0))</f>
        <v>2922818</v>
      </c>
      <c r="I322" s="22">
        <f>INDEX(Data[],MATCH($A322,Data[Dist],0),MATCH(I$4,Data[#Headers],0))</f>
        <v>3805494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172652</v>
      </c>
      <c r="D323" s="22">
        <f>INDEX(Data[],MATCH($A323,Data[Dist],0),MATCH(D$4,Data[#Headers],0))</f>
        <v>559986</v>
      </c>
      <c r="E323" s="22">
        <f>INDEX(Data[],MATCH($A323,Data[Dist],0),MATCH(E$4,Data[#Headers],0))</f>
        <v>66448</v>
      </c>
      <c r="F323" s="22">
        <f>INDEX(Data[],MATCH($A323,Data[Dist],0),MATCH(F$4,Data[#Headers],0))</f>
        <v>64297</v>
      </c>
      <c r="G323" s="22">
        <f>INDEX(Data[],MATCH($A323,Data[Dist],0),MATCH(G$4,Data[#Headers],0))</f>
        <v>299267</v>
      </c>
      <c r="H323" s="22">
        <f>INDEX(Data[],MATCH($A323,Data[Dist],0),MATCH(H$4,Data[#Headers],0))</f>
        <v>5180198</v>
      </c>
      <c r="I323" s="22">
        <f>INDEX(Data[],MATCH($A323,Data[Dist],0),MATCH(I$4,Data[#Headers],0))</f>
        <v>6342848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115101</v>
      </c>
      <c r="D324" s="22">
        <f>INDEX(Data[],MATCH($A324,Data[Dist],0),MATCH(D$4,Data[#Headers],0))</f>
        <v>353770</v>
      </c>
      <c r="E324" s="22">
        <f>INDEX(Data[],MATCH($A324,Data[Dist],0),MATCH(E$4,Data[#Headers],0))</f>
        <v>40281</v>
      </c>
      <c r="F324" s="22">
        <f>INDEX(Data[],MATCH($A324,Data[Dist],0),MATCH(F$4,Data[#Headers],0))</f>
        <v>40778</v>
      </c>
      <c r="G324" s="22">
        <f>INDEX(Data[],MATCH($A324,Data[Dist],0),MATCH(G$4,Data[#Headers],0))</f>
        <v>188103</v>
      </c>
      <c r="H324" s="22">
        <f>INDEX(Data[],MATCH($A324,Data[Dist],0),MATCH(H$4,Data[#Headers],0))</f>
        <v>2008376</v>
      </c>
      <c r="I324" s="22">
        <f>INDEX(Data[],MATCH($A324,Data[Dist],0),MATCH(I$4,Data[#Headers],0))</f>
        <v>2746409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46906</v>
      </c>
      <c r="D325" s="22">
        <f>INDEX(Data[],MATCH($A325,Data[Dist],0),MATCH(D$4,Data[#Headers],0))</f>
        <v>141451</v>
      </c>
      <c r="E325" s="22">
        <f>INDEX(Data[],MATCH($A325,Data[Dist],0),MATCH(E$4,Data[#Headers],0))</f>
        <v>17552</v>
      </c>
      <c r="F325" s="22">
        <f>INDEX(Data[],MATCH($A325,Data[Dist],0),MATCH(F$4,Data[#Headers],0))</f>
        <v>15950</v>
      </c>
      <c r="G325" s="22">
        <f>INDEX(Data[],MATCH($A325,Data[Dist],0),MATCH(G$4,Data[#Headers],0))</f>
        <v>65311</v>
      </c>
      <c r="H325" s="22">
        <f>INDEX(Data[],MATCH($A325,Data[Dist],0),MATCH(H$4,Data[#Headers],0))</f>
        <v>758370</v>
      </c>
      <c r="I325" s="22">
        <f>INDEX(Data[],MATCH($A325,Data[Dist],0),MATCH(I$4,Data[#Headers],0))</f>
        <v>1045540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205025</v>
      </c>
      <c r="D326" s="22">
        <f>INDEX(Data[],MATCH($A326,Data[Dist],0),MATCH(D$4,Data[#Headers],0))</f>
        <v>709977</v>
      </c>
      <c r="E326" s="22">
        <f>INDEX(Data[],MATCH($A326,Data[Dist],0),MATCH(E$4,Data[#Headers],0))</f>
        <v>68670</v>
      </c>
      <c r="F326" s="22">
        <f>INDEX(Data[],MATCH($A326,Data[Dist],0),MATCH(F$4,Data[#Headers],0))</f>
        <v>77800</v>
      </c>
      <c r="G326" s="22">
        <f>INDEX(Data[],MATCH($A326,Data[Dist],0),MATCH(G$4,Data[#Headers],0))</f>
        <v>398847</v>
      </c>
      <c r="H326" s="22">
        <f>INDEX(Data[],MATCH($A326,Data[Dist],0),MATCH(H$4,Data[#Headers],0))</f>
        <v>5535230</v>
      </c>
      <c r="I326" s="22">
        <f>INDEX(Data[],MATCH($A326,Data[Dist],0),MATCH(I$4,Data[#Headers],0))</f>
        <v>6995549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111505</v>
      </c>
      <c r="D327" s="22">
        <f>INDEX(Data[],MATCH($A327,Data[Dist],0),MATCH(D$4,Data[#Headers],0))</f>
        <v>535888</v>
      </c>
      <c r="E327" s="22">
        <f>INDEX(Data[],MATCH($A327,Data[Dist],0),MATCH(E$4,Data[#Headers],0))</f>
        <v>61037</v>
      </c>
      <c r="F327" s="22">
        <f>INDEX(Data[],MATCH($A327,Data[Dist],0),MATCH(F$4,Data[#Headers],0))</f>
        <v>59881</v>
      </c>
      <c r="G327" s="22">
        <f>INDEX(Data[],MATCH($A327,Data[Dist],0),MATCH(G$4,Data[#Headers],0))</f>
        <v>294406</v>
      </c>
      <c r="H327" s="22">
        <f>INDEX(Data[],MATCH($A327,Data[Dist],0),MATCH(H$4,Data[#Headers],0))</f>
        <v>4466879</v>
      </c>
      <c r="I327" s="22">
        <f>INDEX(Data[],MATCH($A327,Data[Dist],0),MATCH(I$4,Data[#Headers],0))</f>
        <v>5529596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82730</v>
      </c>
      <c r="D328" s="22">
        <f>INDEX(Data[],MATCH($A328,Data[Dist],0),MATCH(D$4,Data[#Headers],0))</f>
        <v>203551</v>
      </c>
      <c r="E328" s="22">
        <f>INDEX(Data[],MATCH($A328,Data[Dist],0),MATCH(E$4,Data[#Headers],0))</f>
        <v>25057</v>
      </c>
      <c r="F328" s="22">
        <f>INDEX(Data[],MATCH($A328,Data[Dist],0),MATCH(F$4,Data[#Headers],0))</f>
        <v>22124</v>
      </c>
      <c r="G328" s="22">
        <f>INDEX(Data[],MATCH($A328,Data[Dist],0),MATCH(G$4,Data[#Headers],0))</f>
        <v>109608</v>
      </c>
      <c r="H328" s="22">
        <f>INDEX(Data[],MATCH($A328,Data[Dist],0),MATCH(H$4,Data[#Headers],0))</f>
        <v>1496558</v>
      </c>
      <c r="I328" s="22">
        <f>INDEX(Data[],MATCH($A328,Data[Dist],0),MATCH(I$4,Data[#Headers],0))</f>
        <v>1939628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258978</v>
      </c>
      <c r="D329" s="22">
        <f>INDEX(Data[],MATCH($A329,Data[Dist],0),MATCH(D$4,Data[#Headers],0))</f>
        <v>1015476</v>
      </c>
      <c r="E329" s="22">
        <f>INDEX(Data[],MATCH($A329,Data[Dist],0),MATCH(E$4,Data[#Headers],0))</f>
        <v>131553</v>
      </c>
      <c r="F329" s="22">
        <f>INDEX(Data[],MATCH($A329,Data[Dist],0),MATCH(F$4,Data[#Headers],0))</f>
        <v>110022</v>
      </c>
      <c r="G329" s="22">
        <f>INDEX(Data[],MATCH($A329,Data[Dist],0),MATCH(G$4,Data[#Headers],0))</f>
        <v>589058</v>
      </c>
      <c r="H329" s="22">
        <f>INDEX(Data[],MATCH($A329,Data[Dist],0),MATCH(H$4,Data[#Headers],0))</f>
        <v>8774032</v>
      </c>
      <c r="I329" s="22">
        <f>INDEX(Data[],MATCH($A329,Data[Dist],0),MATCH(I$4,Data[#Headers],0))</f>
        <v>10879119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136683</v>
      </c>
      <c r="D330" s="22">
        <f>INDEX(Data[],MATCH($A330,Data[Dist],0),MATCH(D$4,Data[#Headers],0))</f>
        <v>316070</v>
      </c>
      <c r="E330" s="22">
        <f>INDEX(Data[],MATCH($A330,Data[Dist],0),MATCH(E$4,Data[#Headers],0))</f>
        <v>36895</v>
      </c>
      <c r="F330" s="22">
        <f>INDEX(Data[],MATCH($A330,Data[Dist],0),MATCH(F$4,Data[#Headers],0))</f>
        <v>35414</v>
      </c>
      <c r="G330" s="22">
        <f>INDEX(Data[],MATCH($A330,Data[Dist],0),MATCH(G$4,Data[#Headers],0))</f>
        <v>164168</v>
      </c>
      <c r="H330" s="22">
        <f>INDEX(Data[],MATCH($A330,Data[Dist],0),MATCH(H$4,Data[#Headers],0))</f>
        <v>2338915</v>
      </c>
      <c r="I330" s="22">
        <f>INDEX(Data[],MATCH($A330,Data[Dist],0),MATCH(I$4,Data[#Headers],0))</f>
        <v>3028145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100714</v>
      </c>
      <c r="D331" s="22">
        <f>INDEX(Data[],MATCH($A331,Data[Dist],0),MATCH(D$4,Data[#Headers],0))</f>
        <v>339196</v>
      </c>
      <c r="E331" s="22">
        <f>INDEX(Data[],MATCH($A331,Data[Dist],0),MATCH(E$4,Data[#Headers],0))</f>
        <v>38707</v>
      </c>
      <c r="F331" s="22">
        <f>INDEX(Data[],MATCH($A331,Data[Dist],0),MATCH(F$4,Data[#Headers],0))</f>
        <v>36991</v>
      </c>
      <c r="G331" s="22">
        <f>INDEX(Data[],MATCH($A331,Data[Dist],0),MATCH(G$4,Data[#Headers],0))</f>
        <v>189910</v>
      </c>
      <c r="H331" s="22">
        <f>INDEX(Data[],MATCH($A331,Data[Dist],0),MATCH(H$4,Data[#Headers],0))</f>
        <v>2883688</v>
      </c>
      <c r="I331" s="22">
        <f>INDEX(Data[],MATCH($A331,Data[Dist],0),MATCH(I$4,Data[#Headers],0))</f>
        <v>3589206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248114</v>
      </c>
      <c r="D332" s="22">
        <f>INDEX(Data[],MATCH($A332,Data[Dist],0),MATCH(D$4,Data[#Headers],0))</f>
        <v>620419</v>
      </c>
      <c r="E332" s="22">
        <f>INDEX(Data[],MATCH($A332,Data[Dist],0),MATCH(E$4,Data[#Headers],0))</f>
        <v>69120</v>
      </c>
      <c r="F332" s="22">
        <f>INDEX(Data[],MATCH($A332,Data[Dist],0),MATCH(F$4,Data[#Headers],0))</f>
        <v>65295</v>
      </c>
      <c r="G332" s="22">
        <f>INDEX(Data[],MATCH($A332,Data[Dist],0),MATCH(G$4,Data[#Headers],0))</f>
        <v>351409</v>
      </c>
      <c r="H332" s="22">
        <f>INDEX(Data[],MATCH($A332,Data[Dist],0),MATCH(H$4,Data[#Headers],0))</f>
        <v>5218376</v>
      </c>
      <c r="I332" s="22">
        <f>INDEX(Data[],MATCH($A332,Data[Dist],0),MATCH(I$4,Data[#Headers],0))</f>
        <v>6572733</v>
      </c>
      <c r="J332" s="23"/>
    </row>
    <row r="333" spans="1:10" ht="13.5" thickBot="1" x14ac:dyDescent="0.25">
      <c r="C333" s="24">
        <f t="shared" ref="C333:I333" si="0">SUM(C6:C332)</f>
        <v>80783415</v>
      </c>
      <c r="D333" s="24">
        <f t="shared" si="0"/>
        <v>300709520</v>
      </c>
      <c r="E333" s="24">
        <f t="shared" si="0"/>
        <v>37063166</v>
      </c>
      <c r="F333" s="24">
        <f t="shared" si="0"/>
        <v>34062249</v>
      </c>
      <c r="G333" s="24">
        <f t="shared" si="0"/>
        <v>169611537</v>
      </c>
      <c r="H333" s="24">
        <f t="shared" si="0"/>
        <v>2551765307</v>
      </c>
      <c r="I333" s="24">
        <f t="shared" si="0"/>
        <v>3173995194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2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5" width="15.42578125" style="166" customWidth="1"/>
    <col min="6" max="6" width="15.42578125" style="166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8" t="str">
        <f>CONCATENATE("FY ",Notes!$B$1," State Payments to School Districts (",Notes!$B$2," Total)")</f>
        <v>FY 2022 State Payments to School Districts (April Total)</v>
      </c>
      <c r="B1" s="208"/>
      <c r="C1" s="208"/>
      <c r="D1" s="208"/>
      <c r="E1" s="208"/>
      <c r="F1" s="208"/>
      <c r="G1" s="208"/>
      <c r="H1" s="208"/>
      <c r="I1" s="10"/>
      <c r="J1" s="219" t="s">
        <v>767</v>
      </c>
      <c r="K1" s="219"/>
      <c r="L1" s="219"/>
      <c r="M1" s="219"/>
      <c r="N1" s="219"/>
      <c r="O1" s="10"/>
      <c r="P1" s="35"/>
      <c r="Q1" s="35"/>
      <c r="R1" s="36"/>
      <c r="S1" s="36"/>
      <c r="T1" s="220" t="s">
        <v>770</v>
      </c>
    </row>
    <row r="2" spans="1:25" s="11" customFormat="1" ht="27.75" customHeight="1" x14ac:dyDescent="0.2">
      <c r="A2" s="216" t="s">
        <v>18</v>
      </c>
      <c r="B2" s="216"/>
      <c r="C2" s="216"/>
      <c r="D2" s="216"/>
      <c r="E2" s="216"/>
      <c r="F2" s="216"/>
      <c r="G2" s="216"/>
      <c r="H2" s="216"/>
      <c r="I2" s="28"/>
      <c r="J2" s="218" t="s">
        <v>759</v>
      </c>
      <c r="K2" s="218" t="s">
        <v>760</v>
      </c>
      <c r="L2" s="218" t="s">
        <v>761</v>
      </c>
      <c r="M2" s="218" t="s">
        <v>771</v>
      </c>
      <c r="N2" s="218" t="s">
        <v>762</v>
      </c>
      <c r="O2" s="28"/>
      <c r="P2" s="37"/>
      <c r="Q2" s="37"/>
      <c r="R2" s="36"/>
      <c r="S2" s="217" t="s">
        <v>750</v>
      </c>
      <c r="T2" s="220"/>
      <c r="V2" s="210" t="s">
        <v>807</v>
      </c>
      <c r="W2" s="210"/>
      <c r="X2" s="210"/>
      <c r="Y2" s="210"/>
    </row>
    <row r="3" spans="1:25" s="14" customFormat="1" ht="12.75" customHeight="1" x14ac:dyDescent="0.2">
      <c r="A3" s="211"/>
      <c r="B3" s="212"/>
      <c r="C3" s="213" t="s">
        <v>13</v>
      </c>
      <c r="D3" s="214"/>
      <c r="E3" s="214"/>
      <c r="F3" s="214"/>
      <c r="G3" s="214"/>
      <c r="H3" s="215"/>
      <c r="J3" s="218"/>
      <c r="K3" s="218"/>
      <c r="L3" s="218"/>
      <c r="M3" s="218"/>
      <c r="N3" s="218"/>
      <c r="P3" s="38"/>
      <c r="Q3" s="38"/>
      <c r="R3" s="38"/>
      <c r="S3" s="217"/>
      <c r="T3" s="220"/>
      <c r="V3" s="210"/>
      <c r="W3" s="210"/>
      <c r="X3" s="210"/>
      <c r="Y3" s="210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60" t="str">
        <f>IF(OR(Notes!$B$2="January",Notes!$B$2="February"),Notes!$B$2,"Jan - Feb")</f>
        <v>Jan - Feb</v>
      </c>
      <c r="E4" s="160" t="str">
        <f>IF(OR(Notes!$B$2="March",Notes!$B$2="April",Notes!$B$2="May"),Notes!$B$2,"March - May")</f>
        <v>April</v>
      </c>
      <c r="F4" s="160" t="str">
        <f>IF(Notes!$B$2="June",Notes!$B$2,"June")</f>
        <v>June</v>
      </c>
      <c r="G4" s="60" t="s">
        <v>728</v>
      </c>
      <c r="H4" s="39" t="s">
        <v>747</v>
      </c>
      <c r="J4" s="218"/>
      <c r="K4" s="218"/>
      <c r="L4" s="218"/>
      <c r="M4" s="218"/>
      <c r="N4" s="218"/>
      <c r="P4" s="38"/>
      <c r="Q4" s="38"/>
      <c r="R4" s="38"/>
      <c r="S4" s="217"/>
      <c r="T4" s="220"/>
      <c r="V4" s="210"/>
      <c r="W4" s="210"/>
      <c r="X4" s="210"/>
      <c r="Y4" s="210"/>
    </row>
    <row r="5" spans="1:25" s="14" customFormat="1" ht="11.25" customHeight="1" x14ac:dyDescent="0.2">
      <c r="A5" s="13"/>
      <c r="C5" s="40" t="s">
        <v>727</v>
      </c>
      <c r="D5" s="161" t="s">
        <v>727</v>
      </c>
      <c r="E5" s="161" t="s">
        <v>727</v>
      </c>
      <c r="F5" s="161" t="s">
        <v>727</v>
      </c>
      <c r="G5" s="40" t="str">
        <f>Notes!$B$2</f>
        <v>April</v>
      </c>
      <c r="H5" s="41" t="s">
        <v>748</v>
      </c>
      <c r="J5" s="218"/>
      <c r="K5" s="218"/>
      <c r="L5" s="218"/>
      <c r="M5" s="218"/>
      <c r="N5" s="218"/>
      <c r="P5" s="38" t="s">
        <v>753</v>
      </c>
      <c r="Q5" s="38"/>
      <c r="R5" s="38"/>
      <c r="S5" s="217"/>
      <c r="T5" s="220"/>
      <c r="V5" s="210"/>
      <c r="W5" s="210"/>
      <c r="X5" s="210"/>
      <c r="Y5" s="210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62" t="str">
        <f>IF(OR(Notes!$B$2="January",Notes!$B$2="February"),CONCATENATE(Notes!$B$2," Payment"),"February Payment")</f>
        <v>February Payment</v>
      </c>
      <c r="E6" s="162" t="str">
        <f>IF(OR(Notes!$B$2="March",Notes!$B$2="April",Notes!$B$2="May"),CONCATENATE(Notes!$B$2," Payment"),"May Payment")</f>
        <v>April Payment</v>
      </c>
      <c r="F6" s="162" t="str">
        <f>IF(Notes!$B$2="June",CONCATENATE(Notes!$B$2," Payment"),"June Payment")</f>
        <v>June Payment</v>
      </c>
      <c r="G6" s="42" t="str">
        <f>CONCATENATE("Paid Thru ",Notes!$B$2)</f>
        <v>Paid Thru April</v>
      </c>
      <c r="H6" s="43" t="str">
        <f>Notes!$B$3</f>
        <v>Pay 3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348435</v>
      </c>
      <c r="D7" s="163">
        <f>INDEX(Data[],MATCH($A7,Data[Dist],0),MATCH(D$6,Data[#Headers],0))</f>
        <v>345759</v>
      </c>
      <c r="E7" s="163">
        <f>INDEX(Data[],MATCH($A7,Data[Dist],0),MATCH(E$6,Data[#Headers],0))</f>
        <v>345759</v>
      </c>
      <c r="F7" s="163">
        <f>INDEX(Data[],MATCH($A7,Data[Dist],0),MATCH(F$6,Data[#Headers],0))</f>
        <v>345757</v>
      </c>
      <c r="G7" s="22">
        <f>INDEX(Data[],MATCH($A7,Data[Dist],0),MATCH(G$6,Data[#Headers],0))</f>
        <v>2776776</v>
      </c>
      <c r="H7" s="22">
        <f>INDEX(Data[],MATCH($A7,Data[Dist],0),MATCH(H$6,Data[#Headers],0))-G7</f>
        <v>691516</v>
      </c>
      <c r="I7" s="23"/>
      <c r="J7" s="22">
        <f>INDEX(Notes!$I$2:$N$11,MATCH(Notes!$B$2,Notes!$I$2:$I$11,0),4)*$C7</f>
        <v>1393740</v>
      </c>
      <c r="K7" s="22">
        <f>INDEX(Notes!$I$2:$N$11,MATCH(Notes!$B$2,Notes!$I$2:$I$11,0),5)*$D7</f>
        <v>691518</v>
      </c>
      <c r="L7" s="22">
        <f>INDEX(Notes!$I$2:$N$11,MATCH(Notes!$B$2,Notes!$I$2:$I$11,0),6)*$E7</f>
        <v>691518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345759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INDEX($A$7:$H$333,MATCH($S7,$A$7:$A$333,0),5)-Q7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151179</v>
      </c>
      <c r="D8" s="163">
        <f>INDEX(Data[],MATCH($A8,Data[Dist],0),MATCH(D$6,Data[#Headers],0))</f>
        <v>150011</v>
      </c>
      <c r="E8" s="163">
        <f>INDEX(Data[],MATCH($A8,Data[Dist],0),MATCH(E$6,Data[#Headers],0))</f>
        <v>150011</v>
      </c>
      <c r="F8" s="163">
        <f>INDEX(Data[],MATCH($A8,Data[Dist],0),MATCH(F$6,Data[#Headers],0))</f>
        <v>150010</v>
      </c>
      <c r="G8" s="22">
        <f>INDEX(Data[],MATCH($A8,Data[Dist],0),MATCH(G$6,Data[#Headers],0))</f>
        <v>1204760</v>
      </c>
      <c r="H8" s="22">
        <f>INDEX(Data[],MATCH($A8,Data[Dist],0),MATCH(H$6,Data[#Headers],0))-G8</f>
        <v>300021</v>
      </c>
      <c r="I8" s="23"/>
      <c r="J8" s="22">
        <f>INDEX(Notes!$I$2:$N$11,MATCH(Notes!$B$2,Notes!$I$2:$I$11,0),4)*$C8</f>
        <v>604716</v>
      </c>
      <c r="K8" s="22">
        <f>INDEX(Notes!$I$2:$N$11,MATCH(Notes!$B$2,Notes!$I$2:$I$11,0),5)*$D8</f>
        <v>300022</v>
      </c>
      <c r="L8" s="22">
        <f>INDEX(Notes!$I$2:$N$11,MATCH(Notes!$B$2,Notes!$I$2:$I$11,0),6)*$E8</f>
        <v>300022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150011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INDEX($A$7:$H$333,MATCH($S8,$A$7:$A$333,0),5)-Q8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1352866</v>
      </c>
      <c r="D9" s="163">
        <f>INDEX(Data[],MATCH($A9,Data[Dist],0),MATCH(D$6,Data[#Headers],0))</f>
        <v>1344931</v>
      </c>
      <c r="E9" s="163">
        <f>INDEX(Data[],MATCH($A9,Data[Dist],0),MATCH(E$6,Data[#Headers],0))</f>
        <v>1344930</v>
      </c>
      <c r="F9" s="163">
        <f>INDEX(Data[],MATCH($A9,Data[Dist],0),MATCH(F$6,Data[#Headers],0))</f>
        <v>1344931</v>
      </c>
      <c r="G9" s="22">
        <f>INDEX(Data[],MATCH($A9,Data[Dist],0),MATCH(G$6,Data[#Headers],0))</f>
        <v>10791186</v>
      </c>
      <c r="H9" s="22">
        <f>INDEX(Data[],MATCH($A9,Data[Dist],0),MATCH(H$6,Data[#Headers],0))-G9</f>
        <v>2689861</v>
      </c>
      <c r="I9" s="23"/>
      <c r="J9" s="22">
        <f>INDEX(Notes!$I$2:$N$11,MATCH(Notes!$B$2,Notes!$I$2:$I$11,0),4)*$C9</f>
        <v>5411464</v>
      </c>
      <c r="K9" s="22">
        <f>INDEX(Notes!$I$2:$N$11,MATCH(Notes!$B$2,Notes!$I$2:$I$11,0),5)*$D9</f>
        <v>2689862</v>
      </c>
      <c r="L9" s="22">
        <f>INDEX(Notes!$I$2:$N$11,MATCH(Notes!$B$2,Notes!$I$2:$I$11,0),6)*$E9</f>
        <v>2689860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1344930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369048</v>
      </c>
      <c r="D10" s="163">
        <f>INDEX(Data[],MATCH($A10,Data[Dist],0),MATCH(D$6,Data[#Headers],0))</f>
        <v>366912</v>
      </c>
      <c r="E10" s="163">
        <f>INDEX(Data[],MATCH($A10,Data[Dist],0),MATCH(E$6,Data[#Headers],0))</f>
        <v>366912</v>
      </c>
      <c r="F10" s="163">
        <f>INDEX(Data[],MATCH($A10,Data[Dist],0),MATCH(F$6,Data[#Headers],0))</f>
        <v>366911</v>
      </c>
      <c r="G10" s="22">
        <f>INDEX(Data[],MATCH($A10,Data[Dist],0),MATCH(G$6,Data[#Headers],0))</f>
        <v>2943840</v>
      </c>
      <c r="H10" s="22">
        <f>INDEX(Data[],MATCH($A10,Data[Dist],0),MATCH(H$6,Data[#Headers],0))-G10</f>
        <v>733823</v>
      </c>
      <c r="I10" s="23"/>
      <c r="J10" s="22">
        <f>INDEX(Notes!$I$2:$N$11,MATCH(Notes!$B$2,Notes!$I$2:$I$11,0),4)*$C10</f>
        <v>1476192</v>
      </c>
      <c r="K10" s="22">
        <f>INDEX(Notes!$I$2:$N$11,MATCH(Notes!$B$2,Notes!$I$2:$I$11,0),5)*$D10</f>
        <v>733824</v>
      </c>
      <c r="L10" s="22">
        <f>INDEX(Notes!$I$2:$N$11,MATCH(Notes!$B$2,Notes!$I$2:$I$11,0),6)*$E10</f>
        <v>733824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366912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113302</v>
      </c>
      <c r="D11" s="163">
        <f>INDEX(Data[],MATCH($A11,Data[Dist],0),MATCH(D$6,Data[#Headers],0))</f>
        <v>112448</v>
      </c>
      <c r="E11" s="163">
        <f>INDEX(Data[],MATCH($A11,Data[Dist],0),MATCH(E$6,Data[#Headers],0))</f>
        <v>112448</v>
      </c>
      <c r="F11" s="163">
        <f>INDEX(Data[],MATCH($A11,Data[Dist],0),MATCH(F$6,Data[#Headers],0))</f>
        <v>112448</v>
      </c>
      <c r="G11" s="22">
        <f>INDEX(Data[],MATCH($A11,Data[Dist],0),MATCH(G$6,Data[#Headers],0))</f>
        <v>903000</v>
      </c>
      <c r="H11" s="22">
        <f>INDEX(Data[],MATCH($A11,Data[Dist],0),MATCH(H$6,Data[#Headers],0))-G11</f>
        <v>224896</v>
      </c>
      <c r="I11" s="23"/>
      <c r="J11" s="22">
        <f>INDEX(Notes!$I$2:$N$11,MATCH(Notes!$B$2,Notes!$I$2:$I$11,0),4)*$C11</f>
        <v>453208</v>
      </c>
      <c r="K11" s="22">
        <f>INDEX(Notes!$I$2:$N$11,MATCH(Notes!$B$2,Notes!$I$2:$I$11,0),5)*$D11</f>
        <v>224896</v>
      </c>
      <c r="L11" s="22">
        <f>INDEX(Notes!$I$2:$N$11,MATCH(Notes!$B$2,Notes!$I$2:$I$11,0),6)*$E11</f>
        <v>224896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112448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811698</v>
      </c>
      <c r="D12" s="163">
        <f>INDEX(Data[],MATCH($A12,Data[Dist],0),MATCH(D$6,Data[#Headers],0))</f>
        <v>807146</v>
      </c>
      <c r="E12" s="163">
        <f>INDEX(Data[],MATCH($A12,Data[Dist],0),MATCH(E$6,Data[#Headers],0))</f>
        <v>807145</v>
      </c>
      <c r="F12" s="163">
        <f>INDEX(Data[],MATCH($A12,Data[Dist],0),MATCH(F$6,Data[#Headers],0))</f>
        <v>807146</v>
      </c>
      <c r="G12" s="22">
        <f>INDEX(Data[],MATCH($A12,Data[Dist],0),MATCH(G$6,Data[#Headers],0))</f>
        <v>6475374</v>
      </c>
      <c r="H12" s="22">
        <f>INDEX(Data[],MATCH($A12,Data[Dist],0),MATCH(H$6,Data[#Headers],0))-G12</f>
        <v>1614291</v>
      </c>
      <c r="I12" s="23"/>
      <c r="J12" s="22">
        <f>INDEX(Notes!$I$2:$N$11,MATCH(Notes!$B$2,Notes!$I$2:$I$11,0),4)*$C12</f>
        <v>3246792</v>
      </c>
      <c r="K12" s="22">
        <f>INDEX(Notes!$I$2:$N$11,MATCH(Notes!$B$2,Notes!$I$2:$I$11,0),5)*$D12</f>
        <v>1614292</v>
      </c>
      <c r="L12" s="22">
        <f>INDEX(Notes!$I$2:$N$11,MATCH(Notes!$B$2,Notes!$I$2:$I$11,0),6)*$E12</f>
        <v>1614290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807145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311159</v>
      </c>
      <c r="D13" s="163">
        <f>INDEX(Data[],MATCH($A13,Data[Dist],0),MATCH(D$6,Data[#Headers],0))</f>
        <v>309116</v>
      </c>
      <c r="E13" s="163">
        <f>INDEX(Data[],MATCH($A13,Data[Dist],0),MATCH(E$6,Data[#Headers],0))</f>
        <v>309116</v>
      </c>
      <c r="F13" s="163">
        <f>INDEX(Data[],MATCH($A13,Data[Dist],0),MATCH(F$6,Data[#Headers],0))</f>
        <v>309114</v>
      </c>
      <c r="G13" s="22">
        <f>INDEX(Data[],MATCH($A13,Data[Dist],0),MATCH(G$6,Data[#Headers],0))</f>
        <v>2481100</v>
      </c>
      <c r="H13" s="22">
        <f>INDEX(Data[],MATCH($A13,Data[Dist],0),MATCH(H$6,Data[#Headers],0))-G13</f>
        <v>618230</v>
      </c>
      <c r="I13" s="23"/>
      <c r="J13" s="22">
        <f>INDEX(Notes!$I$2:$N$11,MATCH(Notes!$B$2,Notes!$I$2:$I$11,0),4)*$C13</f>
        <v>1244636</v>
      </c>
      <c r="K13" s="22">
        <f>INDEX(Notes!$I$2:$N$11,MATCH(Notes!$B$2,Notes!$I$2:$I$11,0),5)*$D13</f>
        <v>618232</v>
      </c>
      <c r="L13" s="22">
        <f>INDEX(Notes!$I$2:$N$11,MATCH(Notes!$B$2,Notes!$I$2:$I$11,0),6)*$E13</f>
        <v>618232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309116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149414</v>
      </c>
      <c r="D14" s="163">
        <f>INDEX(Data[],MATCH($A14,Data[Dist],0),MATCH(D$6,Data[#Headers],0))</f>
        <v>148411</v>
      </c>
      <c r="E14" s="163">
        <f>INDEX(Data[],MATCH($A14,Data[Dist],0),MATCH(E$6,Data[#Headers],0))</f>
        <v>148410</v>
      </c>
      <c r="F14" s="163">
        <f>INDEX(Data[],MATCH($A14,Data[Dist],0),MATCH(F$6,Data[#Headers],0))</f>
        <v>148411</v>
      </c>
      <c r="G14" s="22">
        <f>INDEX(Data[],MATCH($A14,Data[Dist],0),MATCH(G$6,Data[#Headers],0))</f>
        <v>1191298</v>
      </c>
      <c r="H14" s="22">
        <f>INDEX(Data[],MATCH($A14,Data[Dist],0),MATCH(H$6,Data[#Headers],0))-G14</f>
        <v>296821</v>
      </c>
      <c r="I14" s="23"/>
      <c r="J14" s="22">
        <f>INDEX(Notes!$I$2:$N$11,MATCH(Notes!$B$2,Notes!$I$2:$I$11,0),4)*$C14</f>
        <v>597656</v>
      </c>
      <c r="K14" s="22">
        <f>INDEX(Notes!$I$2:$N$11,MATCH(Notes!$B$2,Notes!$I$2:$I$11,0),5)*$D14</f>
        <v>296822</v>
      </c>
      <c r="L14" s="22">
        <f>INDEX(Notes!$I$2:$N$11,MATCH(Notes!$B$2,Notes!$I$2:$I$11,0),6)*$E14</f>
        <v>296820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148410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743955</v>
      </c>
      <c r="D15" s="163">
        <f>INDEX(Data[],MATCH($A15,Data[Dist],0),MATCH(D$6,Data[#Headers],0))</f>
        <v>738878</v>
      </c>
      <c r="E15" s="163">
        <f>INDEX(Data[],MATCH($A15,Data[Dist],0),MATCH(E$6,Data[#Headers],0))</f>
        <v>738878</v>
      </c>
      <c r="F15" s="163">
        <f>INDEX(Data[],MATCH($A15,Data[Dist],0),MATCH(F$6,Data[#Headers],0))</f>
        <v>738879</v>
      </c>
      <c r="G15" s="22">
        <f>INDEX(Data[],MATCH($A15,Data[Dist],0),MATCH(G$6,Data[#Headers],0))</f>
        <v>5931332</v>
      </c>
      <c r="H15" s="22">
        <f>INDEX(Data[],MATCH($A15,Data[Dist],0),MATCH(H$6,Data[#Headers],0))-G15</f>
        <v>1477757</v>
      </c>
      <c r="I15" s="23"/>
      <c r="J15" s="22">
        <f>INDEX(Notes!$I$2:$N$11,MATCH(Notes!$B$2,Notes!$I$2:$I$11,0),4)*$C15</f>
        <v>2975820</v>
      </c>
      <c r="K15" s="22">
        <f>INDEX(Notes!$I$2:$N$11,MATCH(Notes!$B$2,Notes!$I$2:$I$11,0),5)*$D15</f>
        <v>1477756</v>
      </c>
      <c r="L15" s="22">
        <f>INDEX(Notes!$I$2:$N$11,MATCH(Notes!$B$2,Notes!$I$2:$I$11,0),6)*$E15</f>
        <v>1477756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738878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627190</v>
      </c>
      <c r="D16" s="163">
        <f>INDEX(Data[],MATCH($A16,Data[Dist],0),MATCH(D$6,Data[#Headers],0))</f>
        <v>622950</v>
      </c>
      <c r="E16" s="163">
        <f>INDEX(Data[],MATCH($A16,Data[Dist],0),MATCH(E$6,Data[#Headers],0))</f>
        <v>622950</v>
      </c>
      <c r="F16" s="163">
        <f>INDEX(Data[],MATCH($A16,Data[Dist],0),MATCH(F$6,Data[#Headers],0))</f>
        <v>622950</v>
      </c>
      <c r="G16" s="22">
        <f>INDEX(Data[],MATCH($A16,Data[Dist],0),MATCH(G$6,Data[#Headers],0))</f>
        <v>5000560</v>
      </c>
      <c r="H16" s="22">
        <f>INDEX(Data[],MATCH($A16,Data[Dist],0),MATCH(H$6,Data[#Headers],0))-G16</f>
        <v>1245900</v>
      </c>
      <c r="I16" s="23"/>
      <c r="J16" s="22">
        <f>INDEX(Notes!$I$2:$N$11,MATCH(Notes!$B$2,Notes!$I$2:$I$11,0),4)*$C16</f>
        <v>2508760</v>
      </c>
      <c r="K16" s="22">
        <f>INDEX(Notes!$I$2:$N$11,MATCH(Notes!$B$2,Notes!$I$2:$I$11,0),5)*$D16</f>
        <v>1245900</v>
      </c>
      <c r="L16" s="22">
        <f>INDEX(Notes!$I$2:$N$11,MATCH(Notes!$B$2,Notes!$I$2:$I$11,0),6)*$E16</f>
        <v>1245900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622950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339854</v>
      </c>
      <c r="D17" s="163">
        <f>INDEX(Data[],MATCH($A17,Data[Dist],0),MATCH(D$6,Data[#Headers],0))</f>
        <v>337631</v>
      </c>
      <c r="E17" s="163">
        <f>INDEX(Data[],MATCH($A17,Data[Dist],0),MATCH(E$6,Data[#Headers],0))</f>
        <v>337632</v>
      </c>
      <c r="F17" s="163">
        <f>INDEX(Data[],MATCH($A17,Data[Dist],0),MATCH(F$6,Data[#Headers],0))</f>
        <v>337630</v>
      </c>
      <c r="G17" s="22">
        <f>INDEX(Data[],MATCH($A17,Data[Dist],0),MATCH(G$6,Data[#Headers],0))</f>
        <v>2709942</v>
      </c>
      <c r="H17" s="22">
        <f>INDEX(Data[],MATCH($A17,Data[Dist],0),MATCH(H$6,Data[#Headers],0))-G17</f>
        <v>675262</v>
      </c>
      <c r="I17" s="23"/>
      <c r="J17" s="22">
        <f>INDEX(Notes!$I$2:$N$11,MATCH(Notes!$B$2,Notes!$I$2:$I$11,0),4)*$C17</f>
        <v>1359416</v>
      </c>
      <c r="K17" s="22">
        <f>INDEX(Notes!$I$2:$N$11,MATCH(Notes!$B$2,Notes!$I$2:$I$11,0),5)*$D17</f>
        <v>675262</v>
      </c>
      <c r="L17" s="22">
        <f>INDEX(Notes!$I$2:$N$11,MATCH(Notes!$B$2,Notes!$I$2:$I$11,0),6)*$E17</f>
        <v>675264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337632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483708</v>
      </c>
      <c r="D18" s="163">
        <f>INDEX(Data[],MATCH($A18,Data[Dist],0),MATCH(D$6,Data[#Headers],0))</f>
        <v>480438</v>
      </c>
      <c r="E18" s="163">
        <f>INDEX(Data[],MATCH($A18,Data[Dist],0),MATCH(E$6,Data[#Headers],0))</f>
        <v>480438</v>
      </c>
      <c r="F18" s="163">
        <f>INDEX(Data[],MATCH($A18,Data[Dist],0),MATCH(F$6,Data[#Headers],0))</f>
        <v>480437</v>
      </c>
      <c r="G18" s="22">
        <f>INDEX(Data[],MATCH($A18,Data[Dist],0),MATCH(G$6,Data[#Headers],0))</f>
        <v>3856584</v>
      </c>
      <c r="H18" s="22">
        <f>INDEX(Data[],MATCH($A18,Data[Dist],0),MATCH(H$6,Data[#Headers],0))-G18</f>
        <v>960875</v>
      </c>
      <c r="I18" s="23"/>
      <c r="J18" s="22">
        <f>INDEX(Notes!$I$2:$N$11,MATCH(Notes!$B$2,Notes!$I$2:$I$11,0),4)*$C18</f>
        <v>1934832</v>
      </c>
      <c r="K18" s="22">
        <f>INDEX(Notes!$I$2:$N$11,MATCH(Notes!$B$2,Notes!$I$2:$I$11,0),5)*$D18</f>
        <v>960876</v>
      </c>
      <c r="L18" s="22">
        <f>INDEX(Notes!$I$2:$N$11,MATCH(Notes!$B$2,Notes!$I$2:$I$11,0),6)*$E18</f>
        <v>960876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480438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2046600</v>
      </c>
      <c r="D19" s="163">
        <f>INDEX(Data[],MATCH($A19,Data[Dist],0),MATCH(D$6,Data[#Headers],0))</f>
        <v>2029375</v>
      </c>
      <c r="E19" s="163">
        <f>INDEX(Data[],MATCH($A19,Data[Dist],0),MATCH(E$6,Data[#Headers],0))</f>
        <v>2029374</v>
      </c>
      <c r="F19" s="163">
        <f>INDEX(Data[],MATCH($A19,Data[Dist],0),MATCH(F$6,Data[#Headers],0))</f>
        <v>2029375</v>
      </c>
      <c r="G19" s="22">
        <f>INDEX(Data[],MATCH($A19,Data[Dist],0),MATCH(G$6,Data[#Headers],0))</f>
        <v>16303898</v>
      </c>
      <c r="H19" s="22">
        <f>INDEX(Data[],MATCH($A19,Data[Dist],0),MATCH(H$6,Data[#Headers],0))-G19</f>
        <v>4058749</v>
      </c>
      <c r="I19" s="23"/>
      <c r="J19" s="22">
        <f>INDEX(Notes!$I$2:$N$11,MATCH(Notes!$B$2,Notes!$I$2:$I$11,0),4)*$C19</f>
        <v>8186400</v>
      </c>
      <c r="K19" s="22">
        <f>INDEX(Notes!$I$2:$N$11,MATCH(Notes!$B$2,Notes!$I$2:$I$11,0),5)*$D19</f>
        <v>4058750</v>
      </c>
      <c r="L19" s="22">
        <f>INDEX(Notes!$I$2:$N$11,MATCH(Notes!$B$2,Notes!$I$2:$I$11,0),6)*$E19</f>
        <v>4058748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2029374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856013</v>
      </c>
      <c r="D20" s="163">
        <f>INDEX(Data[],MATCH($A20,Data[Dist],0),MATCH(D$6,Data[#Headers],0))</f>
        <v>850924</v>
      </c>
      <c r="E20" s="163">
        <f>INDEX(Data[],MATCH($A20,Data[Dist],0),MATCH(E$6,Data[#Headers],0))</f>
        <v>850923</v>
      </c>
      <c r="F20" s="163">
        <f>INDEX(Data[],MATCH($A20,Data[Dist],0),MATCH(F$6,Data[#Headers],0))</f>
        <v>850924</v>
      </c>
      <c r="G20" s="22">
        <f>INDEX(Data[],MATCH($A20,Data[Dist],0),MATCH(G$6,Data[#Headers],0))</f>
        <v>6827746</v>
      </c>
      <c r="H20" s="22">
        <f>INDEX(Data[],MATCH($A20,Data[Dist],0),MATCH(H$6,Data[#Headers],0))-G20</f>
        <v>1701847</v>
      </c>
      <c r="I20" s="23"/>
      <c r="J20" s="22">
        <f>INDEX(Notes!$I$2:$N$11,MATCH(Notes!$B$2,Notes!$I$2:$I$11,0),4)*$C20</f>
        <v>3424052</v>
      </c>
      <c r="K20" s="22">
        <f>INDEX(Notes!$I$2:$N$11,MATCH(Notes!$B$2,Notes!$I$2:$I$11,0),5)*$D20</f>
        <v>1701848</v>
      </c>
      <c r="L20" s="22">
        <f>INDEX(Notes!$I$2:$N$11,MATCH(Notes!$B$2,Notes!$I$2:$I$11,0),6)*$E20</f>
        <v>1701846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850923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130490</v>
      </c>
      <c r="D21" s="163">
        <f>INDEX(Data[],MATCH($A21,Data[Dist],0),MATCH(D$6,Data[#Headers],0))</f>
        <v>129631</v>
      </c>
      <c r="E21" s="163">
        <f>INDEX(Data[],MATCH($A21,Data[Dist],0),MATCH(E$6,Data[#Headers],0))</f>
        <v>129631</v>
      </c>
      <c r="F21" s="163">
        <f>INDEX(Data[],MATCH($A21,Data[Dist],0),MATCH(F$6,Data[#Headers],0))</f>
        <v>129629</v>
      </c>
      <c r="G21" s="22">
        <f>INDEX(Data[],MATCH($A21,Data[Dist],0),MATCH(G$6,Data[#Headers],0))</f>
        <v>1040484</v>
      </c>
      <c r="H21" s="22">
        <f>INDEX(Data[],MATCH($A21,Data[Dist],0),MATCH(H$6,Data[#Headers],0))-G21</f>
        <v>259260</v>
      </c>
      <c r="I21" s="23"/>
      <c r="J21" s="22">
        <f>INDEX(Notes!$I$2:$N$11,MATCH(Notes!$B$2,Notes!$I$2:$I$11,0),4)*$C21</f>
        <v>521960</v>
      </c>
      <c r="K21" s="22">
        <f>INDEX(Notes!$I$2:$N$11,MATCH(Notes!$B$2,Notes!$I$2:$I$11,0),5)*$D21</f>
        <v>259262</v>
      </c>
      <c r="L21" s="22">
        <f>INDEX(Notes!$I$2:$N$11,MATCH(Notes!$B$2,Notes!$I$2:$I$11,0),6)*$E21</f>
        <v>259262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129631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7537955</v>
      </c>
      <c r="D22" s="163">
        <f>INDEX(Data[],MATCH($A22,Data[Dist],0),MATCH(D$6,Data[#Headers],0))</f>
        <v>7489865</v>
      </c>
      <c r="E22" s="163">
        <f>INDEX(Data[],MATCH($A22,Data[Dist],0),MATCH(E$6,Data[#Headers],0))</f>
        <v>7489865</v>
      </c>
      <c r="F22" s="163">
        <f>INDEX(Data[],MATCH($A22,Data[Dist],0),MATCH(F$6,Data[#Headers],0))</f>
        <v>7489866</v>
      </c>
      <c r="G22" s="22">
        <f>INDEX(Data[],MATCH($A22,Data[Dist],0),MATCH(G$6,Data[#Headers],0))</f>
        <v>60111280</v>
      </c>
      <c r="H22" s="22">
        <f>INDEX(Data[],MATCH($A22,Data[Dist],0),MATCH(H$6,Data[#Headers],0))-G22</f>
        <v>14979731</v>
      </c>
      <c r="I22" s="25"/>
      <c r="J22" s="22">
        <f>INDEX(Notes!$I$2:$N$11,MATCH(Notes!$B$2,Notes!$I$2:$I$11,0),4)*$C22</f>
        <v>30151820</v>
      </c>
      <c r="K22" s="22">
        <f>INDEX(Notes!$I$2:$N$11,MATCH(Notes!$B$2,Notes!$I$2:$I$11,0),5)*$D22</f>
        <v>14979730</v>
      </c>
      <c r="L22" s="22">
        <f>INDEX(Notes!$I$2:$N$11,MATCH(Notes!$B$2,Notes!$I$2:$I$11,0),6)*$E22</f>
        <v>14979730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7489865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530895</v>
      </c>
      <c r="D23" s="163">
        <f>INDEX(Data[],MATCH($A23,Data[Dist],0),MATCH(D$6,Data[#Headers],0))</f>
        <v>527748</v>
      </c>
      <c r="E23" s="163">
        <f>INDEX(Data[],MATCH($A23,Data[Dist],0),MATCH(E$6,Data[#Headers],0))</f>
        <v>527747</v>
      </c>
      <c r="F23" s="163">
        <f>INDEX(Data[],MATCH($A23,Data[Dist],0),MATCH(F$6,Data[#Headers],0))</f>
        <v>527748</v>
      </c>
      <c r="G23" s="22">
        <f>INDEX(Data[],MATCH($A23,Data[Dist],0),MATCH(G$6,Data[#Headers],0))</f>
        <v>4234570</v>
      </c>
      <c r="H23" s="22">
        <f>INDEX(Data[],MATCH($A23,Data[Dist],0),MATCH(H$6,Data[#Headers],0))-G23</f>
        <v>1055495</v>
      </c>
      <c r="I23" s="25"/>
      <c r="J23" s="22">
        <f>INDEX(Notes!$I$2:$N$11,MATCH(Notes!$B$2,Notes!$I$2:$I$11,0),4)*$C23</f>
        <v>2123580</v>
      </c>
      <c r="K23" s="22">
        <f>INDEX(Notes!$I$2:$N$11,MATCH(Notes!$B$2,Notes!$I$2:$I$11,0),5)*$D23</f>
        <v>1055496</v>
      </c>
      <c r="L23" s="22">
        <f>INDEX(Notes!$I$2:$N$11,MATCH(Notes!$B$2,Notes!$I$2:$I$11,0),6)*$E23</f>
        <v>1055494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527747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161799</v>
      </c>
      <c r="D24" s="163">
        <f>INDEX(Data[],MATCH($A24,Data[Dist],0),MATCH(D$6,Data[#Headers],0))</f>
        <v>160212</v>
      </c>
      <c r="E24" s="163">
        <f>INDEX(Data[],MATCH($A24,Data[Dist],0),MATCH(E$6,Data[#Headers],0))</f>
        <v>160212</v>
      </c>
      <c r="F24" s="163">
        <f>INDEX(Data[],MATCH($A24,Data[Dist],0),MATCH(F$6,Data[#Headers],0))</f>
        <v>160213</v>
      </c>
      <c r="G24" s="22">
        <f>INDEX(Data[],MATCH($A24,Data[Dist],0),MATCH(G$6,Data[#Headers],0))</f>
        <v>1288044</v>
      </c>
      <c r="H24" s="22">
        <f>INDEX(Data[],MATCH($A24,Data[Dist],0),MATCH(H$6,Data[#Headers],0))-G24</f>
        <v>320425</v>
      </c>
      <c r="I24" s="25"/>
      <c r="J24" s="22">
        <f>INDEX(Notes!$I$2:$N$11,MATCH(Notes!$B$2,Notes!$I$2:$I$11,0),4)*$C24</f>
        <v>647196</v>
      </c>
      <c r="K24" s="22">
        <f>INDEX(Notes!$I$2:$N$11,MATCH(Notes!$B$2,Notes!$I$2:$I$11,0),5)*$D24</f>
        <v>320424</v>
      </c>
      <c r="L24" s="22">
        <f>INDEX(Notes!$I$2:$N$11,MATCH(Notes!$B$2,Notes!$I$2:$I$11,0),6)*$E24</f>
        <v>320424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160212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107958</v>
      </c>
      <c r="D25" s="163">
        <f>INDEX(Data[],MATCH($A25,Data[Dist],0),MATCH(D$6,Data[#Headers],0))</f>
        <v>106858</v>
      </c>
      <c r="E25" s="163">
        <f>INDEX(Data[],MATCH($A25,Data[Dist],0),MATCH(E$6,Data[#Headers],0))</f>
        <v>106858</v>
      </c>
      <c r="F25" s="163">
        <f>INDEX(Data[],MATCH($A25,Data[Dist],0),MATCH(F$6,Data[#Headers],0))</f>
        <v>106859</v>
      </c>
      <c r="G25" s="22">
        <f>INDEX(Data[],MATCH($A25,Data[Dist],0),MATCH(G$6,Data[#Headers],0))</f>
        <v>859264</v>
      </c>
      <c r="H25" s="22">
        <f>INDEX(Data[],MATCH($A25,Data[Dist],0),MATCH(H$6,Data[#Headers],0))-G25</f>
        <v>213717</v>
      </c>
      <c r="I25" s="25"/>
      <c r="J25" s="22">
        <f>INDEX(Notes!$I$2:$N$11,MATCH(Notes!$B$2,Notes!$I$2:$I$11,0),4)*$C25</f>
        <v>431832</v>
      </c>
      <c r="K25" s="22">
        <f>INDEX(Notes!$I$2:$N$11,MATCH(Notes!$B$2,Notes!$I$2:$I$11,0),5)*$D25</f>
        <v>213716</v>
      </c>
      <c r="L25" s="22">
        <f>INDEX(Notes!$I$2:$N$11,MATCH(Notes!$B$2,Notes!$I$2:$I$11,0),6)*$E25</f>
        <v>213716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106858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913970</v>
      </c>
      <c r="D26" s="163">
        <f>INDEX(Data[],MATCH($A26,Data[Dist],0),MATCH(D$6,Data[#Headers],0))</f>
        <v>908691</v>
      </c>
      <c r="E26" s="163">
        <f>INDEX(Data[],MATCH($A26,Data[Dist],0),MATCH(E$6,Data[#Headers],0))</f>
        <v>908691</v>
      </c>
      <c r="F26" s="163">
        <f>INDEX(Data[],MATCH($A26,Data[Dist],0),MATCH(F$6,Data[#Headers],0))</f>
        <v>908689</v>
      </c>
      <c r="G26" s="22">
        <f>INDEX(Data[],MATCH($A26,Data[Dist],0),MATCH(G$6,Data[#Headers],0))</f>
        <v>7290644</v>
      </c>
      <c r="H26" s="22">
        <f>INDEX(Data[],MATCH($A26,Data[Dist],0),MATCH(H$6,Data[#Headers],0))-G26</f>
        <v>1817380</v>
      </c>
      <c r="I26" s="25"/>
      <c r="J26" s="22">
        <f>INDEX(Notes!$I$2:$N$11,MATCH(Notes!$B$2,Notes!$I$2:$I$11,0),4)*$C26</f>
        <v>3655880</v>
      </c>
      <c r="K26" s="22">
        <f>INDEX(Notes!$I$2:$N$11,MATCH(Notes!$B$2,Notes!$I$2:$I$11,0),5)*$D26</f>
        <v>1817382</v>
      </c>
      <c r="L26" s="22">
        <f>INDEX(Notes!$I$2:$N$11,MATCH(Notes!$B$2,Notes!$I$2:$I$11,0),6)*$E26</f>
        <v>1817382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908691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299445</v>
      </c>
      <c r="D27" s="163">
        <f>INDEX(Data[],MATCH($A27,Data[Dist],0),MATCH(D$6,Data[#Headers],0))</f>
        <v>297458</v>
      </c>
      <c r="E27" s="163">
        <f>INDEX(Data[],MATCH($A27,Data[Dist],0),MATCH(E$6,Data[#Headers],0))</f>
        <v>297457</v>
      </c>
      <c r="F27" s="163">
        <f>INDEX(Data[],MATCH($A27,Data[Dist],0),MATCH(F$6,Data[#Headers],0))</f>
        <v>297458</v>
      </c>
      <c r="G27" s="22">
        <f>INDEX(Data[],MATCH($A27,Data[Dist],0),MATCH(G$6,Data[#Headers],0))</f>
        <v>2387610</v>
      </c>
      <c r="H27" s="22">
        <f>INDEX(Data[],MATCH($A27,Data[Dist],0),MATCH(H$6,Data[#Headers],0))-G27</f>
        <v>594915</v>
      </c>
      <c r="I27" s="25"/>
      <c r="J27" s="22">
        <f>INDEX(Notes!$I$2:$N$11,MATCH(Notes!$B$2,Notes!$I$2:$I$11,0),4)*$C27</f>
        <v>1197780</v>
      </c>
      <c r="K27" s="22">
        <f>INDEX(Notes!$I$2:$N$11,MATCH(Notes!$B$2,Notes!$I$2:$I$11,0),5)*$D27</f>
        <v>594916</v>
      </c>
      <c r="L27" s="22">
        <f>INDEX(Notes!$I$2:$N$11,MATCH(Notes!$B$2,Notes!$I$2:$I$11,0),6)*$E27</f>
        <v>594914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297457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379216</v>
      </c>
      <c r="D28" s="163">
        <f>INDEX(Data[],MATCH($A28,Data[Dist],0),MATCH(D$6,Data[#Headers],0))</f>
        <v>376227</v>
      </c>
      <c r="E28" s="163">
        <f>INDEX(Data[],MATCH($A28,Data[Dist],0),MATCH(E$6,Data[#Headers],0))</f>
        <v>376226</v>
      </c>
      <c r="F28" s="163">
        <f>INDEX(Data[],MATCH($A28,Data[Dist],0),MATCH(F$6,Data[#Headers],0))</f>
        <v>376227</v>
      </c>
      <c r="G28" s="22">
        <f>INDEX(Data[],MATCH($A28,Data[Dist],0),MATCH(G$6,Data[#Headers],0))</f>
        <v>3021770</v>
      </c>
      <c r="H28" s="22">
        <f>INDEX(Data[],MATCH($A28,Data[Dist],0),MATCH(H$6,Data[#Headers],0))-G28</f>
        <v>752453</v>
      </c>
      <c r="I28" s="25"/>
      <c r="J28" s="22">
        <f>INDEX(Notes!$I$2:$N$11,MATCH(Notes!$B$2,Notes!$I$2:$I$11,0),4)*$C28</f>
        <v>1516864</v>
      </c>
      <c r="K28" s="22">
        <f>INDEX(Notes!$I$2:$N$11,MATCH(Notes!$B$2,Notes!$I$2:$I$11,0),5)*$D28</f>
        <v>752454</v>
      </c>
      <c r="L28" s="22">
        <f>INDEX(Notes!$I$2:$N$11,MATCH(Notes!$B$2,Notes!$I$2:$I$11,0),6)*$E28</f>
        <v>752452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376226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1149731</v>
      </c>
      <c r="D29" s="163">
        <f>INDEX(Data[],MATCH($A29,Data[Dist],0),MATCH(D$6,Data[#Headers],0))</f>
        <v>1143219</v>
      </c>
      <c r="E29" s="163">
        <f>INDEX(Data[],MATCH($A29,Data[Dist],0),MATCH(E$6,Data[#Headers],0))</f>
        <v>1143219</v>
      </c>
      <c r="F29" s="163">
        <f>INDEX(Data[],MATCH($A29,Data[Dist],0),MATCH(F$6,Data[#Headers],0))</f>
        <v>1143217</v>
      </c>
      <c r="G29" s="22">
        <f>INDEX(Data[],MATCH($A29,Data[Dist],0),MATCH(G$6,Data[#Headers],0))</f>
        <v>9171800</v>
      </c>
      <c r="H29" s="22">
        <f>INDEX(Data[],MATCH($A29,Data[Dist],0),MATCH(H$6,Data[#Headers],0))-G29</f>
        <v>2286436</v>
      </c>
      <c r="I29" s="25"/>
      <c r="J29" s="22">
        <f>INDEX(Notes!$I$2:$N$11,MATCH(Notes!$B$2,Notes!$I$2:$I$11,0),4)*$C29</f>
        <v>4598924</v>
      </c>
      <c r="K29" s="22">
        <f>INDEX(Notes!$I$2:$N$11,MATCH(Notes!$B$2,Notes!$I$2:$I$11,0),5)*$D29</f>
        <v>2286438</v>
      </c>
      <c r="L29" s="22">
        <f>INDEX(Notes!$I$2:$N$11,MATCH(Notes!$B$2,Notes!$I$2:$I$11,0),6)*$E29</f>
        <v>2286438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1143219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237286</v>
      </c>
      <c r="D30" s="163">
        <f>INDEX(Data[],MATCH($A30,Data[Dist],0),MATCH(D$6,Data[#Headers],0))</f>
        <v>235935</v>
      </c>
      <c r="E30" s="163">
        <f>INDEX(Data[],MATCH($A30,Data[Dist],0),MATCH(E$6,Data[#Headers],0))</f>
        <v>235935</v>
      </c>
      <c r="F30" s="163">
        <f>INDEX(Data[],MATCH($A30,Data[Dist],0),MATCH(F$6,Data[#Headers],0))</f>
        <v>235933</v>
      </c>
      <c r="G30" s="22">
        <f>INDEX(Data[],MATCH($A30,Data[Dist],0),MATCH(G$6,Data[#Headers],0))</f>
        <v>1892884</v>
      </c>
      <c r="H30" s="22">
        <f>INDEX(Data[],MATCH($A30,Data[Dist],0),MATCH(H$6,Data[#Headers],0))-G30</f>
        <v>471868</v>
      </c>
      <c r="I30" s="25"/>
      <c r="J30" s="22">
        <f>INDEX(Notes!$I$2:$N$11,MATCH(Notes!$B$2,Notes!$I$2:$I$11,0),4)*$C30</f>
        <v>949144</v>
      </c>
      <c r="K30" s="22">
        <f>INDEX(Notes!$I$2:$N$11,MATCH(Notes!$B$2,Notes!$I$2:$I$11,0),5)*$D30</f>
        <v>471870</v>
      </c>
      <c r="L30" s="22">
        <f>INDEX(Notes!$I$2:$N$11,MATCH(Notes!$B$2,Notes!$I$2:$I$11,0),6)*$E30</f>
        <v>471870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235935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261198</v>
      </c>
      <c r="D31" s="163">
        <f>INDEX(Data[],MATCH($A31,Data[Dist],0),MATCH(D$6,Data[#Headers],0))</f>
        <v>259250</v>
      </c>
      <c r="E31" s="163">
        <f>INDEX(Data[],MATCH($A31,Data[Dist],0),MATCH(E$6,Data[#Headers],0))</f>
        <v>259250</v>
      </c>
      <c r="F31" s="163">
        <f>INDEX(Data[],MATCH($A31,Data[Dist],0),MATCH(F$6,Data[#Headers],0))</f>
        <v>259248</v>
      </c>
      <c r="G31" s="22">
        <f>INDEX(Data[],MATCH($A31,Data[Dist],0),MATCH(G$6,Data[#Headers],0))</f>
        <v>2081792</v>
      </c>
      <c r="H31" s="22">
        <f>INDEX(Data[],MATCH($A31,Data[Dist],0),MATCH(H$6,Data[#Headers],0))-G31</f>
        <v>518498</v>
      </c>
      <c r="I31" s="25"/>
      <c r="J31" s="22">
        <f>INDEX(Notes!$I$2:$N$11,MATCH(Notes!$B$2,Notes!$I$2:$I$11,0),4)*$C31</f>
        <v>1044792</v>
      </c>
      <c r="K31" s="22">
        <f>INDEX(Notes!$I$2:$N$11,MATCH(Notes!$B$2,Notes!$I$2:$I$11,0),5)*$D31</f>
        <v>518500</v>
      </c>
      <c r="L31" s="22">
        <f>INDEX(Notes!$I$2:$N$11,MATCH(Notes!$B$2,Notes!$I$2:$I$11,0),6)*$E31</f>
        <v>518500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259250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304005</v>
      </c>
      <c r="D32" s="163">
        <f>INDEX(Data[],MATCH($A32,Data[Dist],0),MATCH(D$6,Data[#Headers],0))</f>
        <v>302067</v>
      </c>
      <c r="E32" s="163">
        <f>INDEX(Data[],MATCH($A32,Data[Dist],0),MATCH(E$6,Data[#Headers],0))</f>
        <v>302067</v>
      </c>
      <c r="F32" s="163">
        <f>INDEX(Data[],MATCH($A32,Data[Dist],0),MATCH(F$6,Data[#Headers],0))</f>
        <v>302067</v>
      </c>
      <c r="G32" s="22">
        <f>INDEX(Data[],MATCH($A32,Data[Dist],0),MATCH(G$6,Data[#Headers],0))</f>
        <v>2424288</v>
      </c>
      <c r="H32" s="22">
        <f>INDEX(Data[],MATCH($A32,Data[Dist],0),MATCH(H$6,Data[#Headers],0))-G32</f>
        <v>604134</v>
      </c>
      <c r="I32" s="25"/>
      <c r="J32" s="22">
        <f>INDEX(Notes!$I$2:$N$11,MATCH(Notes!$B$2,Notes!$I$2:$I$11,0),4)*$C32</f>
        <v>1216020</v>
      </c>
      <c r="K32" s="22">
        <f>INDEX(Notes!$I$2:$N$11,MATCH(Notes!$B$2,Notes!$I$2:$I$11,0),5)*$D32</f>
        <v>604134</v>
      </c>
      <c r="L32" s="22">
        <f>INDEX(Notes!$I$2:$N$11,MATCH(Notes!$B$2,Notes!$I$2:$I$11,0),6)*$E32</f>
        <v>604134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302067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293834</v>
      </c>
      <c r="D33" s="163">
        <f>INDEX(Data[],MATCH($A33,Data[Dist],0),MATCH(D$6,Data[#Headers],0))</f>
        <v>291980</v>
      </c>
      <c r="E33" s="163">
        <f>INDEX(Data[],MATCH($A33,Data[Dist],0),MATCH(E$6,Data[#Headers],0))</f>
        <v>291980</v>
      </c>
      <c r="F33" s="163">
        <f>INDEX(Data[],MATCH($A33,Data[Dist],0),MATCH(F$6,Data[#Headers],0))</f>
        <v>291980</v>
      </c>
      <c r="G33" s="22">
        <f>INDEX(Data[],MATCH($A33,Data[Dist],0),MATCH(G$6,Data[#Headers],0))</f>
        <v>2343256</v>
      </c>
      <c r="H33" s="22">
        <f>INDEX(Data[],MATCH($A33,Data[Dist],0),MATCH(H$6,Data[#Headers],0))-G33</f>
        <v>583960</v>
      </c>
      <c r="I33" s="25"/>
      <c r="J33" s="22">
        <f>INDEX(Notes!$I$2:$N$11,MATCH(Notes!$B$2,Notes!$I$2:$I$11,0),4)*$C33</f>
        <v>1175336</v>
      </c>
      <c r="K33" s="22">
        <f>INDEX(Notes!$I$2:$N$11,MATCH(Notes!$B$2,Notes!$I$2:$I$11,0),5)*$D33</f>
        <v>583960</v>
      </c>
      <c r="L33" s="22">
        <f>INDEX(Notes!$I$2:$N$11,MATCH(Notes!$B$2,Notes!$I$2:$I$11,0),6)*$E33</f>
        <v>583960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291980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346493</v>
      </c>
      <c r="D34" s="163">
        <f>INDEX(Data[],MATCH($A34,Data[Dist],0),MATCH(D$6,Data[#Headers],0))</f>
        <v>344154</v>
      </c>
      <c r="E34" s="163">
        <f>INDEX(Data[],MATCH($A34,Data[Dist],0),MATCH(E$6,Data[#Headers],0))</f>
        <v>331790</v>
      </c>
      <c r="F34" s="163">
        <f>INDEX(Data[],MATCH($A34,Data[Dist],0),MATCH(F$6,Data[#Headers],0))</f>
        <v>331791</v>
      </c>
      <c r="G34" s="22">
        <f>INDEX(Data[],MATCH($A34,Data[Dist],0),MATCH(G$6,Data[#Headers],0))</f>
        <v>2737860</v>
      </c>
      <c r="H34" s="22">
        <f>INDEX(Data[],MATCH($A34,Data[Dist],0),MATCH(H$6,Data[#Headers],0))-G34</f>
        <v>663581</v>
      </c>
      <c r="I34" s="25"/>
      <c r="J34" s="22">
        <f>INDEX(Notes!$I$2:$N$11,MATCH(Notes!$B$2,Notes!$I$2:$I$11,0),4)*$C34</f>
        <v>1385972</v>
      </c>
      <c r="K34" s="22">
        <f>INDEX(Notes!$I$2:$N$11,MATCH(Notes!$B$2,Notes!$I$2:$I$11,0),5)*$D34</f>
        <v>688308</v>
      </c>
      <c r="L34" s="22">
        <f>INDEX(Notes!$I$2:$N$11,MATCH(Notes!$B$2,Notes!$I$2:$I$11,0),6)*$E34</f>
        <v>663580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331790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475937</v>
      </c>
      <c r="D35" s="163">
        <f>INDEX(Data[],MATCH($A35,Data[Dist],0),MATCH(D$6,Data[#Headers],0))</f>
        <v>472905</v>
      </c>
      <c r="E35" s="163">
        <f>INDEX(Data[],MATCH($A35,Data[Dist],0),MATCH(E$6,Data[#Headers],0))</f>
        <v>472905</v>
      </c>
      <c r="F35" s="163">
        <f>INDEX(Data[],MATCH($A35,Data[Dist],0),MATCH(F$6,Data[#Headers],0))</f>
        <v>472905</v>
      </c>
      <c r="G35" s="22">
        <f>INDEX(Data[],MATCH($A35,Data[Dist],0),MATCH(G$6,Data[#Headers],0))</f>
        <v>3795368</v>
      </c>
      <c r="H35" s="22">
        <f>INDEX(Data[],MATCH($A35,Data[Dist],0),MATCH(H$6,Data[#Headers],0))-G35</f>
        <v>945810</v>
      </c>
      <c r="I35" s="25"/>
      <c r="J35" s="22">
        <f>INDEX(Notes!$I$2:$N$11,MATCH(Notes!$B$2,Notes!$I$2:$I$11,0),4)*$C35</f>
        <v>1903748</v>
      </c>
      <c r="K35" s="22">
        <f>INDEX(Notes!$I$2:$N$11,MATCH(Notes!$B$2,Notes!$I$2:$I$11,0),5)*$D35</f>
        <v>945810</v>
      </c>
      <c r="L35" s="22">
        <f>INDEX(Notes!$I$2:$N$11,MATCH(Notes!$B$2,Notes!$I$2:$I$11,0),6)*$E35</f>
        <v>945810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472905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117825</v>
      </c>
      <c r="D36" s="163">
        <f>INDEX(Data[],MATCH($A36,Data[Dist],0),MATCH(D$6,Data[#Headers],0))</f>
        <v>117024</v>
      </c>
      <c r="E36" s="163">
        <f>INDEX(Data[],MATCH($A36,Data[Dist],0),MATCH(E$6,Data[#Headers],0))</f>
        <v>113249</v>
      </c>
      <c r="F36" s="163">
        <f>INDEX(Data[],MATCH($A36,Data[Dist],0),MATCH(F$6,Data[#Headers],0))</f>
        <v>113250</v>
      </c>
      <c r="G36" s="22">
        <f>INDEX(Data[],MATCH($A36,Data[Dist],0),MATCH(G$6,Data[#Headers],0))</f>
        <v>931846</v>
      </c>
      <c r="H36" s="22">
        <f>INDEX(Data[],MATCH($A36,Data[Dist],0),MATCH(H$6,Data[#Headers],0))-G36</f>
        <v>226499</v>
      </c>
      <c r="I36" s="25"/>
      <c r="J36" s="22">
        <f>INDEX(Notes!$I$2:$N$11,MATCH(Notes!$B$2,Notes!$I$2:$I$11,0),4)*$C36</f>
        <v>471300</v>
      </c>
      <c r="K36" s="22">
        <f>INDEX(Notes!$I$2:$N$11,MATCH(Notes!$B$2,Notes!$I$2:$I$11,0),5)*$D36</f>
        <v>234048</v>
      </c>
      <c r="L36" s="22">
        <f>INDEX(Notes!$I$2:$N$11,MATCH(Notes!$B$2,Notes!$I$2:$I$11,0),6)*$E36</f>
        <v>226498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113249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873631</v>
      </c>
      <c r="D37" s="163">
        <f>INDEX(Data[],MATCH($A37,Data[Dist],0),MATCH(D$6,Data[#Headers],0))</f>
        <v>867690</v>
      </c>
      <c r="E37" s="163">
        <f>INDEX(Data[],MATCH($A37,Data[Dist],0),MATCH(E$6,Data[#Headers],0))</f>
        <v>867690</v>
      </c>
      <c r="F37" s="163">
        <f>INDEX(Data[],MATCH($A37,Data[Dist],0),MATCH(F$6,Data[#Headers],0))</f>
        <v>867688</v>
      </c>
      <c r="G37" s="22">
        <f>INDEX(Data[],MATCH($A37,Data[Dist],0),MATCH(G$6,Data[#Headers],0))</f>
        <v>6965284</v>
      </c>
      <c r="H37" s="22">
        <f>INDEX(Data[],MATCH($A37,Data[Dist],0),MATCH(H$6,Data[#Headers],0))-G37</f>
        <v>1735378</v>
      </c>
      <c r="I37" s="25"/>
      <c r="J37" s="22">
        <f>INDEX(Notes!$I$2:$N$11,MATCH(Notes!$B$2,Notes!$I$2:$I$11,0),4)*$C37</f>
        <v>3494524</v>
      </c>
      <c r="K37" s="22">
        <f>INDEX(Notes!$I$2:$N$11,MATCH(Notes!$B$2,Notes!$I$2:$I$11,0),5)*$D37</f>
        <v>1735380</v>
      </c>
      <c r="L37" s="22">
        <f>INDEX(Notes!$I$2:$N$11,MATCH(Notes!$B$2,Notes!$I$2:$I$11,0),6)*$E37</f>
        <v>1735380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867690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2535922</v>
      </c>
      <c r="D38" s="163">
        <f>INDEX(Data[],MATCH($A38,Data[Dist],0),MATCH(D$6,Data[#Headers],0))</f>
        <v>2519805</v>
      </c>
      <c r="E38" s="163">
        <f>INDEX(Data[],MATCH($A38,Data[Dist],0),MATCH(E$6,Data[#Headers],0))</f>
        <v>2519805</v>
      </c>
      <c r="F38" s="163">
        <f>INDEX(Data[],MATCH($A38,Data[Dist],0),MATCH(F$6,Data[#Headers],0))</f>
        <v>2519805</v>
      </c>
      <c r="G38" s="22">
        <f>INDEX(Data[],MATCH($A38,Data[Dist],0),MATCH(G$6,Data[#Headers],0))</f>
        <v>20222908</v>
      </c>
      <c r="H38" s="22">
        <f>INDEX(Data[],MATCH($A38,Data[Dist],0),MATCH(H$6,Data[#Headers],0))-G38</f>
        <v>5039610</v>
      </c>
      <c r="I38" s="25"/>
      <c r="J38" s="22">
        <f>INDEX(Notes!$I$2:$N$11,MATCH(Notes!$B$2,Notes!$I$2:$I$11,0),4)*$C38</f>
        <v>10143688</v>
      </c>
      <c r="K38" s="22">
        <f>INDEX(Notes!$I$2:$N$11,MATCH(Notes!$B$2,Notes!$I$2:$I$11,0),5)*$D38</f>
        <v>5039610</v>
      </c>
      <c r="L38" s="22">
        <f>INDEX(Notes!$I$2:$N$11,MATCH(Notes!$B$2,Notes!$I$2:$I$11,0),6)*$E38</f>
        <v>5039610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2519805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441579</v>
      </c>
      <c r="D39" s="163">
        <f>INDEX(Data[],MATCH($A39,Data[Dist],0),MATCH(D$6,Data[#Headers],0))</f>
        <v>438131</v>
      </c>
      <c r="E39" s="163">
        <f>INDEX(Data[],MATCH($A39,Data[Dist],0),MATCH(E$6,Data[#Headers],0))</f>
        <v>438130</v>
      </c>
      <c r="F39" s="163">
        <f>INDEX(Data[],MATCH($A39,Data[Dist],0),MATCH(F$6,Data[#Headers],0))</f>
        <v>438131</v>
      </c>
      <c r="G39" s="22">
        <f>INDEX(Data[],MATCH($A39,Data[Dist],0),MATCH(G$6,Data[#Headers],0))</f>
        <v>3518838</v>
      </c>
      <c r="H39" s="22">
        <f>INDEX(Data[],MATCH($A39,Data[Dist],0),MATCH(H$6,Data[#Headers],0))-G39</f>
        <v>876261</v>
      </c>
      <c r="I39" s="25"/>
      <c r="J39" s="22">
        <f>INDEX(Notes!$I$2:$N$11,MATCH(Notes!$B$2,Notes!$I$2:$I$11,0),4)*$C39</f>
        <v>1766316</v>
      </c>
      <c r="K39" s="22">
        <f>INDEX(Notes!$I$2:$N$11,MATCH(Notes!$B$2,Notes!$I$2:$I$11,0),5)*$D39</f>
        <v>876262</v>
      </c>
      <c r="L39" s="22">
        <f>INDEX(Notes!$I$2:$N$11,MATCH(Notes!$B$2,Notes!$I$2:$I$11,0),6)*$E39</f>
        <v>876260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438130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1635004</v>
      </c>
      <c r="D40" s="163">
        <f>INDEX(Data[],MATCH($A40,Data[Dist],0),MATCH(D$6,Data[#Headers],0))</f>
        <v>1625853</v>
      </c>
      <c r="E40" s="163">
        <f>INDEX(Data[],MATCH($A40,Data[Dist],0),MATCH(E$6,Data[#Headers],0))</f>
        <v>1625853</v>
      </c>
      <c r="F40" s="163">
        <f>INDEX(Data[],MATCH($A40,Data[Dist],0),MATCH(F$6,Data[#Headers],0))</f>
        <v>1625852</v>
      </c>
      <c r="G40" s="22">
        <f>INDEX(Data[],MATCH($A40,Data[Dist],0),MATCH(G$6,Data[#Headers],0))</f>
        <v>13043428</v>
      </c>
      <c r="H40" s="22">
        <f>INDEX(Data[],MATCH($A40,Data[Dist],0),MATCH(H$6,Data[#Headers],0))-G40</f>
        <v>3251705</v>
      </c>
      <c r="I40" s="25"/>
      <c r="J40" s="22">
        <f>INDEX(Notes!$I$2:$N$11,MATCH(Notes!$B$2,Notes!$I$2:$I$11,0),4)*$C40</f>
        <v>6540016</v>
      </c>
      <c r="K40" s="22">
        <f>INDEX(Notes!$I$2:$N$11,MATCH(Notes!$B$2,Notes!$I$2:$I$11,0),5)*$D40</f>
        <v>3251706</v>
      </c>
      <c r="L40" s="22">
        <f>INDEX(Notes!$I$2:$N$11,MATCH(Notes!$B$2,Notes!$I$2:$I$11,0),6)*$E40</f>
        <v>3251706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1625853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1495861</v>
      </c>
      <c r="D41" s="163">
        <f>INDEX(Data[],MATCH($A41,Data[Dist],0),MATCH(D$6,Data[#Headers],0))</f>
        <v>1487860</v>
      </c>
      <c r="E41" s="163">
        <f>INDEX(Data[],MATCH($A41,Data[Dist],0),MATCH(E$6,Data[#Headers],0))</f>
        <v>1487860</v>
      </c>
      <c r="F41" s="163">
        <f>INDEX(Data[],MATCH($A41,Data[Dist],0),MATCH(F$6,Data[#Headers],0))</f>
        <v>1487859</v>
      </c>
      <c r="G41" s="22">
        <f>INDEX(Data[],MATCH($A41,Data[Dist],0),MATCH(G$6,Data[#Headers],0))</f>
        <v>11934884</v>
      </c>
      <c r="H41" s="22">
        <f>INDEX(Data[],MATCH($A41,Data[Dist],0),MATCH(H$6,Data[#Headers],0))-G41</f>
        <v>2975719</v>
      </c>
      <c r="I41" s="25"/>
      <c r="J41" s="22">
        <f>INDEX(Notes!$I$2:$N$11,MATCH(Notes!$B$2,Notes!$I$2:$I$11,0),4)*$C41</f>
        <v>5983444</v>
      </c>
      <c r="K41" s="22">
        <f>INDEX(Notes!$I$2:$N$11,MATCH(Notes!$B$2,Notes!$I$2:$I$11,0),5)*$D41</f>
        <v>2975720</v>
      </c>
      <c r="L41" s="22">
        <f>INDEX(Notes!$I$2:$N$11,MATCH(Notes!$B$2,Notes!$I$2:$I$11,0),6)*$E41</f>
        <v>2975720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1487860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389787</v>
      </c>
      <c r="D42" s="163">
        <f>INDEX(Data[],MATCH($A42,Data[Dist],0),MATCH(D$6,Data[#Headers],0))</f>
        <v>387434</v>
      </c>
      <c r="E42" s="163">
        <f>INDEX(Data[],MATCH($A42,Data[Dist],0),MATCH(E$6,Data[#Headers],0))</f>
        <v>387434</v>
      </c>
      <c r="F42" s="163">
        <f>INDEX(Data[],MATCH($A42,Data[Dist],0),MATCH(F$6,Data[#Headers],0))</f>
        <v>387433</v>
      </c>
      <c r="G42" s="22">
        <f>INDEX(Data[],MATCH($A42,Data[Dist],0),MATCH(G$6,Data[#Headers],0))</f>
        <v>3108884</v>
      </c>
      <c r="H42" s="22">
        <f>INDEX(Data[],MATCH($A42,Data[Dist],0),MATCH(H$6,Data[#Headers],0))-G42</f>
        <v>774867</v>
      </c>
      <c r="I42" s="25"/>
      <c r="J42" s="22">
        <f>INDEX(Notes!$I$2:$N$11,MATCH(Notes!$B$2,Notes!$I$2:$I$11,0),4)*$C42</f>
        <v>1559148</v>
      </c>
      <c r="K42" s="22">
        <f>INDEX(Notes!$I$2:$N$11,MATCH(Notes!$B$2,Notes!$I$2:$I$11,0),5)*$D42</f>
        <v>774868</v>
      </c>
      <c r="L42" s="22">
        <f>INDEX(Notes!$I$2:$N$11,MATCH(Notes!$B$2,Notes!$I$2:$I$11,0),6)*$E42</f>
        <v>774868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387434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305501</v>
      </c>
      <c r="D43" s="163">
        <f>INDEX(Data[],MATCH($A43,Data[Dist],0),MATCH(D$6,Data[#Headers],0))</f>
        <v>303259</v>
      </c>
      <c r="E43" s="163">
        <f>INDEX(Data[],MATCH($A43,Data[Dist],0),MATCH(E$6,Data[#Headers],0))</f>
        <v>303259</v>
      </c>
      <c r="F43" s="163">
        <f>INDEX(Data[],MATCH($A43,Data[Dist],0),MATCH(F$6,Data[#Headers],0))</f>
        <v>303258</v>
      </c>
      <c r="G43" s="22">
        <f>INDEX(Data[],MATCH($A43,Data[Dist],0),MATCH(G$6,Data[#Headers],0))</f>
        <v>2435040</v>
      </c>
      <c r="H43" s="22">
        <f>INDEX(Data[],MATCH($A43,Data[Dist],0),MATCH(H$6,Data[#Headers],0))-G43</f>
        <v>606517</v>
      </c>
      <c r="I43" s="25"/>
      <c r="J43" s="22">
        <f>INDEX(Notes!$I$2:$N$11,MATCH(Notes!$B$2,Notes!$I$2:$I$11,0),4)*$C43</f>
        <v>1222004</v>
      </c>
      <c r="K43" s="22">
        <f>INDEX(Notes!$I$2:$N$11,MATCH(Notes!$B$2,Notes!$I$2:$I$11,0),5)*$D43</f>
        <v>606518</v>
      </c>
      <c r="L43" s="22">
        <f>INDEX(Notes!$I$2:$N$11,MATCH(Notes!$B$2,Notes!$I$2:$I$11,0),6)*$E43</f>
        <v>606518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303259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333566</v>
      </c>
      <c r="D44" s="163">
        <f>INDEX(Data[],MATCH($A44,Data[Dist],0),MATCH(D$6,Data[#Headers],0))</f>
        <v>331440</v>
      </c>
      <c r="E44" s="163">
        <f>INDEX(Data[],MATCH($A44,Data[Dist],0),MATCH(E$6,Data[#Headers],0))</f>
        <v>331441</v>
      </c>
      <c r="F44" s="163">
        <f>INDEX(Data[],MATCH($A44,Data[Dist],0),MATCH(F$6,Data[#Headers],0))</f>
        <v>331439</v>
      </c>
      <c r="G44" s="22">
        <f>INDEX(Data[],MATCH($A44,Data[Dist],0),MATCH(G$6,Data[#Headers],0))</f>
        <v>2660026</v>
      </c>
      <c r="H44" s="22">
        <f>INDEX(Data[],MATCH($A44,Data[Dist],0),MATCH(H$6,Data[#Headers],0))-G44</f>
        <v>662880</v>
      </c>
      <c r="I44" s="25"/>
      <c r="J44" s="22">
        <f>INDEX(Notes!$I$2:$N$11,MATCH(Notes!$B$2,Notes!$I$2:$I$11,0),4)*$C44</f>
        <v>1334264</v>
      </c>
      <c r="K44" s="22">
        <f>INDEX(Notes!$I$2:$N$11,MATCH(Notes!$B$2,Notes!$I$2:$I$11,0),5)*$D44</f>
        <v>662880</v>
      </c>
      <c r="L44" s="22">
        <f>INDEX(Notes!$I$2:$N$11,MATCH(Notes!$B$2,Notes!$I$2:$I$11,0),6)*$E44</f>
        <v>662882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331441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176590</v>
      </c>
      <c r="D45" s="163">
        <f>INDEX(Data[],MATCH($A45,Data[Dist],0),MATCH(D$6,Data[#Headers],0))</f>
        <v>174949</v>
      </c>
      <c r="E45" s="163">
        <f>INDEX(Data[],MATCH($A45,Data[Dist],0),MATCH(E$6,Data[#Headers],0))</f>
        <v>174948</v>
      </c>
      <c r="F45" s="163">
        <f>INDEX(Data[],MATCH($A45,Data[Dist],0),MATCH(F$6,Data[#Headers],0))</f>
        <v>174949</v>
      </c>
      <c r="G45" s="22">
        <f>INDEX(Data[],MATCH($A45,Data[Dist],0),MATCH(G$6,Data[#Headers],0))</f>
        <v>1406154</v>
      </c>
      <c r="H45" s="22">
        <f>INDEX(Data[],MATCH($A45,Data[Dist],0),MATCH(H$6,Data[#Headers],0))-G45</f>
        <v>349897</v>
      </c>
      <c r="I45" s="25"/>
      <c r="J45" s="22">
        <f>INDEX(Notes!$I$2:$N$11,MATCH(Notes!$B$2,Notes!$I$2:$I$11,0),4)*$C45</f>
        <v>706360</v>
      </c>
      <c r="K45" s="22">
        <f>INDEX(Notes!$I$2:$N$11,MATCH(Notes!$B$2,Notes!$I$2:$I$11,0),5)*$D45</f>
        <v>349898</v>
      </c>
      <c r="L45" s="22">
        <f>INDEX(Notes!$I$2:$N$11,MATCH(Notes!$B$2,Notes!$I$2:$I$11,0),6)*$E45</f>
        <v>349896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174948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2975874</v>
      </c>
      <c r="D46" s="163">
        <f>INDEX(Data[],MATCH($A46,Data[Dist],0),MATCH(D$6,Data[#Headers],0))</f>
        <v>2960383</v>
      </c>
      <c r="E46" s="163">
        <f>INDEX(Data[],MATCH($A46,Data[Dist],0),MATCH(E$6,Data[#Headers],0))</f>
        <v>2960383</v>
      </c>
      <c r="F46" s="163">
        <f>INDEX(Data[],MATCH($A46,Data[Dist],0),MATCH(F$6,Data[#Headers],0))</f>
        <v>2960381</v>
      </c>
      <c r="G46" s="22">
        <f>INDEX(Data[],MATCH($A46,Data[Dist],0),MATCH(G$6,Data[#Headers],0))</f>
        <v>23745028</v>
      </c>
      <c r="H46" s="22">
        <f>INDEX(Data[],MATCH($A46,Data[Dist],0),MATCH(H$6,Data[#Headers],0))-G46</f>
        <v>5920764</v>
      </c>
      <c r="I46" s="25"/>
      <c r="J46" s="22">
        <f>INDEX(Notes!$I$2:$N$11,MATCH(Notes!$B$2,Notes!$I$2:$I$11,0),4)*$C46</f>
        <v>11903496</v>
      </c>
      <c r="K46" s="22">
        <f>INDEX(Notes!$I$2:$N$11,MATCH(Notes!$B$2,Notes!$I$2:$I$11,0),5)*$D46</f>
        <v>5920766</v>
      </c>
      <c r="L46" s="22">
        <f>INDEX(Notes!$I$2:$N$11,MATCH(Notes!$B$2,Notes!$I$2:$I$11,0),6)*$E46</f>
        <v>5920766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2960383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184987</v>
      </c>
      <c r="D47" s="163">
        <f>INDEX(Data[],MATCH($A47,Data[Dist],0),MATCH(D$6,Data[#Headers],0))</f>
        <v>183031</v>
      </c>
      <c r="E47" s="163">
        <f>INDEX(Data[],MATCH($A47,Data[Dist],0),MATCH(E$6,Data[#Headers],0))</f>
        <v>183031</v>
      </c>
      <c r="F47" s="163">
        <f>INDEX(Data[],MATCH($A47,Data[Dist],0),MATCH(F$6,Data[#Headers],0))</f>
        <v>183032</v>
      </c>
      <c r="G47" s="22">
        <f>INDEX(Data[],MATCH($A47,Data[Dist],0),MATCH(G$6,Data[#Headers],0))</f>
        <v>1472072</v>
      </c>
      <c r="H47" s="22">
        <f>INDEX(Data[],MATCH($A47,Data[Dist],0),MATCH(H$6,Data[#Headers],0))-G47</f>
        <v>366063</v>
      </c>
      <c r="I47" s="25"/>
      <c r="J47" s="22">
        <f>INDEX(Notes!$I$2:$N$11,MATCH(Notes!$B$2,Notes!$I$2:$I$11,0),4)*$C47</f>
        <v>739948</v>
      </c>
      <c r="K47" s="22">
        <f>INDEX(Notes!$I$2:$N$11,MATCH(Notes!$B$2,Notes!$I$2:$I$11,0),5)*$D47</f>
        <v>366062</v>
      </c>
      <c r="L47" s="22">
        <f>INDEX(Notes!$I$2:$N$11,MATCH(Notes!$B$2,Notes!$I$2:$I$11,0),6)*$E47</f>
        <v>366062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183031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151599</v>
      </c>
      <c r="D48" s="163">
        <f>INDEX(Data[],MATCH($A48,Data[Dist],0),MATCH(D$6,Data[#Headers],0))</f>
        <v>150613</v>
      </c>
      <c r="E48" s="163">
        <f>INDEX(Data[],MATCH($A48,Data[Dist],0),MATCH(E$6,Data[#Headers],0))</f>
        <v>150614</v>
      </c>
      <c r="F48" s="163">
        <f>INDEX(Data[],MATCH($A48,Data[Dist],0),MATCH(F$6,Data[#Headers],0))</f>
        <v>150612</v>
      </c>
      <c r="G48" s="22">
        <f>INDEX(Data[],MATCH($A48,Data[Dist],0),MATCH(G$6,Data[#Headers],0))</f>
        <v>1208850</v>
      </c>
      <c r="H48" s="22">
        <f>INDEX(Data[],MATCH($A48,Data[Dist],0),MATCH(H$6,Data[#Headers],0))-G48</f>
        <v>301226</v>
      </c>
      <c r="I48" s="25"/>
      <c r="J48" s="22">
        <f>INDEX(Notes!$I$2:$N$11,MATCH(Notes!$B$2,Notes!$I$2:$I$11,0),4)*$C48</f>
        <v>606396</v>
      </c>
      <c r="K48" s="22">
        <f>INDEX(Notes!$I$2:$N$11,MATCH(Notes!$B$2,Notes!$I$2:$I$11,0),5)*$D48</f>
        <v>301226</v>
      </c>
      <c r="L48" s="22">
        <f>INDEX(Notes!$I$2:$N$11,MATCH(Notes!$B$2,Notes!$I$2:$I$11,0),6)*$E48</f>
        <v>301228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150614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240299</v>
      </c>
      <c r="D49" s="163">
        <f>INDEX(Data[],MATCH($A49,Data[Dist],0),MATCH(D$6,Data[#Headers],0))</f>
        <v>238746</v>
      </c>
      <c r="E49" s="163">
        <f>INDEX(Data[],MATCH($A49,Data[Dist],0),MATCH(E$6,Data[#Headers],0))</f>
        <v>238747</v>
      </c>
      <c r="F49" s="163">
        <f>INDEX(Data[],MATCH($A49,Data[Dist],0),MATCH(F$6,Data[#Headers],0))</f>
        <v>238745</v>
      </c>
      <c r="G49" s="22">
        <f>INDEX(Data[],MATCH($A49,Data[Dist],0),MATCH(G$6,Data[#Headers],0))</f>
        <v>1916182</v>
      </c>
      <c r="H49" s="22">
        <f>INDEX(Data[],MATCH($A49,Data[Dist],0),MATCH(H$6,Data[#Headers],0))-G49</f>
        <v>477492</v>
      </c>
      <c r="I49" s="25"/>
      <c r="J49" s="22">
        <f>INDEX(Notes!$I$2:$N$11,MATCH(Notes!$B$2,Notes!$I$2:$I$11,0),4)*$C49</f>
        <v>961196</v>
      </c>
      <c r="K49" s="22">
        <f>INDEX(Notes!$I$2:$N$11,MATCH(Notes!$B$2,Notes!$I$2:$I$11,0),5)*$D49</f>
        <v>477492</v>
      </c>
      <c r="L49" s="22">
        <f>INDEX(Notes!$I$2:$N$11,MATCH(Notes!$B$2,Notes!$I$2:$I$11,0),6)*$E49</f>
        <v>477494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238747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491889</v>
      </c>
      <c r="D50" s="163">
        <f>INDEX(Data[],MATCH($A50,Data[Dist],0),MATCH(D$6,Data[#Headers],0))</f>
        <v>488675</v>
      </c>
      <c r="E50" s="163">
        <f>INDEX(Data[],MATCH($A50,Data[Dist],0),MATCH(E$6,Data[#Headers],0))</f>
        <v>488675</v>
      </c>
      <c r="F50" s="163">
        <f>INDEX(Data[],MATCH($A50,Data[Dist],0),MATCH(F$6,Data[#Headers],0))</f>
        <v>488673</v>
      </c>
      <c r="G50" s="22">
        <f>INDEX(Data[],MATCH($A50,Data[Dist],0),MATCH(G$6,Data[#Headers],0))</f>
        <v>3922256</v>
      </c>
      <c r="H50" s="22">
        <f>INDEX(Data[],MATCH($A50,Data[Dist],0),MATCH(H$6,Data[#Headers],0))-G50</f>
        <v>977348</v>
      </c>
      <c r="I50" s="25"/>
      <c r="J50" s="22">
        <f>INDEX(Notes!$I$2:$N$11,MATCH(Notes!$B$2,Notes!$I$2:$I$11,0),4)*$C50</f>
        <v>1967556</v>
      </c>
      <c r="K50" s="22">
        <f>INDEX(Notes!$I$2:$N$11,MATCH(Notes!$B$2,Notes!$I$2:$I$11,0),5)*$D50</f>
        <v>977350</v>
      </c>
      <c r="L50" s="22">
        <f>INDEX(Notes!$I$2:$N$11,MATCH(Notes!$B$2,Notes!$I$2:$I$11,0),6)*$E50</f>
        <v>977350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488675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454536</v>
      </c>
      <c r="D51" s="163">
        <f>INDEX(Data[],MATCH($A51,Data[Dist],0),MATCH(D$6,Data[#Headers],0))</f>
        <v>452196</v>
      </c>
      <c r="E51" s="163">
        <f>INDEX(Data[],MATCH($A51,Data[Dist],0),MATCH(E$6,Data[#Headers],0))</f>
        <v>450918</v>
      </c>
      <c r="F51" s="163">
        <f>INDEX(Data[],MATCH($A51,Data[Dist],0),MATCH(F$6,Data[#Headers],0))</f>
        <v>450918</v>
      </c>
      <c r="G51" s="22">
        <f>INDEX(Data[],MATCH($A51,Data[Dist],0),MATCH(G$6,Data[#Headers],0))</f>
        <v>3624372</v>
      </c>
      <c r="H51" s="22">
        <f>INDEX(Data[],MATCH($A51,Data[Dist],0),MATCH(H$6,Data[#Headers],0))-G51</f>
        <v>901836</v>
      </c>
      <c r="I51" s="25"/>
      <c r="J51" s="22">
        <f>INDEX(Notes!$I$2:$N$11,MATCH(Notes!$B$2,Notes!$I$2:$I$11,0),4)*$C51</f>
        <v>1818144</v>
      </c>
      <c r="K51" s="22">
        <f>INDEX(Notes!$I$2:$N$11,MATCH(Notes!$B$2,Notes!$I$2:$I$11,0),5)*$D51</f>
        <v>904392</v>
      </c>
      <c r="L51" s="22">
        <f>INDEX(Notes!$I$2:$N$11,MATCH(Notes!$B$2,Notes!$I$2:$I$11,0),6)*$E51</f>
        <v>901836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450918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1472519</v>
      </c>
      <c r="D52" s="163">
        <f>INDEX(Data[],MATCH($A52,Data[Dist],0),MATCH(D$6,Data[#Headers],0))</f>
        <v>1464790</v>
      </c>
      <c r="E52" s="163">
        <f>INDEX(Data[],MATCH($A52,Data[Dist],0),MATCH(E$6,Data[#Headers],0))</f>
        <v>1464790</v>
      </c>
      <c r="F52" s="163">
        <f>INDEX(Data[],MATCH($A52,Data[Dist],0),MATCH(F$6,Data[#Headers],0))</f>
        <v>1464788</v>
      </c>
      <c r="G52" s="22">
        <f>INDEX(Data[],MATCH($A52,Data[Dist],0),MATCH(G$6,Data[#Headers],0))</f>
        <v>11749236</v>
      </c>
      <c r="H52" s="22">
        <f>INDEX(Data[],MATCH($A52,Data[Dist],0),MATCH(H$6,Data[#Headers],0))-G52</f>
        <v>2929578</v>
      </c>
      <c r="I52" s="25"/>
      <c r="J52" s="22">
        <f>INDEX(Notes!$I$2:$N$11,MATCH(Notes!$B$2,Notes!$I$2:$I$11,0),4)*$C52</f>
        <v>5890076</v>
      </c>
      <c r="K52" s="22">
        <f>INDEX(Notes!$I$2:$N$11,MATCH(Notes!$B$2,Notes!$I$2:$I$11,0),5)*$D52</f>
        <v>2929580</v>
      </c>
      <c r="L52" s="22">
        <f>INDEX(Notes!$I$2:$N$11,MATCH(Notes!$B$2,Notes!$I$2:$I$11,0),6)*$E52</f>
        <v>2929580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1464790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922265</v>
      </c>
      <c r="D53" s="163">
        <f>INDEX(Data[],MATCH($A53,Data[Dist],0),MATCH(D$6,Data[#Headers],0))</f>
        <v>915507</v>
      </c>
      <c r="E53" s="163">
        <f>INDEX(Data[],MATCH($A53,Data[Dist],0),MATCH(E$6,Data[#Headers],0))</f>
        <v>915506</v>
      </c>
      <c r="F53" s="163">
        <f>INDEX(Data[],MATCH($A53,Data[Dist],0),MATCH(F$6,Data[#Headers],0))</f>
        <v>915507</v>
      </c>
      <c r="G53" s="22">
        <f>INDEX(Data[],MATCH($A53,Data[Dist],0),MATCH(G$6,Data[#Headers],0))</f>
        <v>7351086</v>
      </c>
      <c r="H53" s="22">
        <f>INDEX(Data[],MATCH($A53,Data[Dist],0),MATCH(H$6,Data[#Headers],0))-G53</f>
        <v>1831013</v>
      </c>
      <c r="I53" s="25"/>
      <c r="J53" s="22">
        <f>INDEX(Notes!$I$2:$N$11,MATCH(Notes!$B$2,Notes!$I$2:$I$11,0),4)*$C53</f>
        <v>3689060</v>
      </c>
      <c r="K53" s="22">
        <f>INDEX(Notes!$I$2:$N$11,MATCH(Notes!$B$2,Notes!$I$2:$I$11,0),5)*$D53</f>
        <v>1831014</v>
      </c>
      <c r="L53" s="22">
        <f>INDEX(Notes!$I$2:$N$11,MATCH(Notes!$B$2,Notes!$I$2:$I$11,0),6)*$E53</f>
        <v>1831012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915506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3476161</v>
      </c>
      <c r="D54" s="163">
        <f>INDEX(Data[],MATCH($A54,Data[Dist],0),MATCH(D$6,Data[#Headers],0))</f>
        <v>3454560</v>
      </c>
      <c r="E54" s="163">
        <f>INDEX(Data[],MATCH($A54,Data[Dist],0),MATCH(E$6,Data[#Headers],0))</f>
        <v>3454560</v>
      </c>
      <c r="F54" s="163">
        <f>INDEX(Data[],MATCH($A54,Data[Dist],0),MATCH(F$6,Data[#Headers],0))</f>
        <v>3454561</v>
      </c>
      <c r="G54" s="22">
        <f>INDEX(Data[],MATCH($A54,Data[Dist],0),MATCH(G$6,Data[#Headers],0))</f>
        <v>27722884</v>
      </c>
      <c r="H54" s="22">
        <f>INDEX(Data[],MATCH($A54,Data[Dist],0),MATCH(H$6,Data[#Headers],0))-G54</f>
        <v>6909121</v>
      </c>
      <c r="I54" s="25"/>
      <c r="J54" s="22">
        <f>INDEX(Notes!$I$2:$N$11,MATCH(Notes!$B$2,Notes!$I$2:$I$11,0),4)*$C54</f>
        <v>13904644</v>
      </c>
      <c r="K54" s="22">
        <f>INDEX(Notes!$I$2:$N$11,MATCH(Notes!$B$2,Notes!$I$2:$I$11,0),5)*$D54</f>
        <v>6909120</v>
      </c>
      <c r="L54" s="22">
        <f>INDEX(Notes!$I$2:$N$11,MATCH(Notes!$B$2,Notes!$I$2:$I$11,0),6)*$E54</f>
        <v>6909120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3454560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10830041</v>
      </c>
      <c r="D55" s="163">
        <f>INDEX(Data[],MATCH($A55,Data[Dist],0),MATCH(D$6,Data[#Headers],0))</f>
        <v>10765761</v>
      </c>
      <c r="E55" s="163">
        <f>INDEX(Data[],MATCH($A55,Data[Dist],0),MATCH(E$6,Data[#Headers],0))</f>
        <v>10765761</v>
      </c>
      <c r="F55" s="163">
        <f>INDEX(Data[],MATCH($A55,Data[Dist],0),MATCH(F$6,Data[#Headers],0))</f>
        <v>10765761</v>
      </c>
      <c r="G55" s="22">
        <f>INDEX(Data[],MATCH($A55,Data[Dist],0),MATCH(G$6,Data[#Headers],0))</f>
        <v>86383208</v>
      </c>
      <c r="H55" s="22">
        <f>INDEX(Data[],MATCH($A55,Data[Dist],0),MATCH(H$6,Data[#Headers],0))-G55</f>
        <v>21531522</v>
      </c>
      <c r="I55" s="25"/>
      <c r="J55" s="22">
        <f>INDEX(Notes!$I$2:$N$11,MATCH(Notes!$B$2,Notes!$I$2:$I$11,0),4)*$C55</f>
        <v>43320164</v>
      </c>
      <c r="K55" s="22">
        <f>INDEX(Notes!$I$2:$N$11,MATCH(Notes!$B$2,Notes!$I$2:$I$11,0),5)*$D55</f>
        <v>21531522</v>
      </c>
      <c r="L55" s="22">
        <f>INDEX(Notes!$I$2:$N$11,MATCH(Notes!$B$2,Notes!$I$2:$I$11,0),6)*$E55</f>
        <v>21531522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10765761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940036</v>
      </c>
      <c r="D56" s="163">
        <f>INDEX(Data[],MATCH($A56,Data[Dist],0),MATCH(D$6,Data[#Headers],0))</f>
        <v>934965</v>
      </c>
      <c r="E56" s="163">
        <f>INDEX(Data[],MATCH($A56,Data[Dist],0),MATCH(E$6,Data[#Headers],0))</f>
        <v>934965</v>
      </c>
      <c r="F56" s="163">
        <f>INDEX(Data[],MATCH($A56,Data[Dist],0),MATCH(F$6,Data[#Headers],0))</f>
        <v>934966</v>
      </c>
      <c r="G56" s="22">
        <f>INDEX(Data[],MATCH($A56,Data[Dist],0),MATCH(G$6,Data[#Headers],0))</f>
        <v>7500004</v>
      </c>
      <c r="H56" s="22">
        <f>INDEX(Data[],MATCH($A56,Data[Dist],0),MATCH(H$6,Data[#Headers],0))-G56</f>
        <v>1869931</v>
      </c>
      <c r="I56" s="25"/>
      <c r="J56" s="22">
        <f>INDEX(Notes!$I$2:$N$11,MATCH(Notes!$B$2,Notes!$I$2:$I$11,0),4)*$C56</f>
        <v>3760144</v>
      </c>
      <c r="K56" s="22">
        <f>INDEX(Notes!$I$2:$N$11,MATCH(Notes!$B$2,Notes!$I$2:$I$11,0),5)*$D56</f>
        <v>1869930</v>
      </c>
      <c r="L56" s="22">
        <f>INDEX(Notes!$I$2:$N$11,MATCH(Notes!$B$2,Notes!$I$2:$I$11,0),6)*$E56</f>
        <v>1869930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934965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1033031</v>
      </c>
      <c r="D57" s="163">
        <f>INDEX(Data[],MATCH($A57,Data[Dist],0),MATCH(D$6,Data[#Headers],0))</f>
        <v>1027676</v>
      </c>
      <c r="E57" s="163">
        <f>INDEX(Data[],MATCH($A57,Data[Dist],0),MATCH(E$6,Data[#Headers],0))</f>
        <v>1027676</v>
      </c>
      <c r="F57" s="163">
        <f>INDEX(Data[],MATCH($A57,Data[Dist],0),MATCH(F$6,Data[#Headers],0))</f>
        <v>1027677</v>
      </c>
      <c r="G57" s="22">
        <f>INDEX(Data[],MATCH($A57,Data[Dist],0),MATCH(G$6,Data[#Headers],0))</f>
        <v>8242828</v>
      </c>
      <c r="H57" s="22">
        <f>INDEX(Data[],MATCH($A57,Data[Dist],0),MATCH(H$6,Data[#Headers],0))-G57</f>
        <v>2055353</v>
      </c>
      <c r="I57" s="25"/>
      <c r="J57" s="22">
        <f>INDEX(Notes!$I$2:$N$11,MATCH(Notes!$B$2,Notes!$I$2:$I$11,0),4)*$C57</f>
        <v>4132124</v>
      </c>
      <c r="K57" s="22">
        <f>INDEX(Notes!$I$2:$N$11,MATCH(Notes!$B$2,Notes!$I$2:$I$11,0),5)*$D57</f>
        <v>2055352</v>
      </c>
      <c r="L57" s="22">
        <f>INDEX(Notes!$I$2:$N$11,MATCH(Notes!$B$2,Notes!$I$2:$I$11,0),6)*$E57</f>
        <v>2055352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1027676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457484</v>
      </c>
      <c r="D58" s="163">
        <f>INDEX(Data[],MATCH($A58,Data[Dist],0),MATCH(D$6,Data[#Headers],0))</f>
        <v>454432</v>
      </c>
      <c r="E58" s="163">
        <f>INDEX(Data[],MATCH($A58,Data[Dist],0),MATCH(E$6,Data[#Headers],0))</f>
        <v>454432</v>
      </c>
      <c r="F58" s="163">
        <f>INDEX(Data[],MATCH($A58,Data[Dist],0),MATCH(F$6,Data[#Headers],0))</f>
        <v>454432</v>
      </c>
      <c r="G58" s="22">
        <f>INDEX(Data[],MATCH($A58,Data[Dist],0),MATCH(G$6,Data[#Headers],0))</f>
        <v>3647664</v>
      </c>
      <c r="H58" s="22">
        <f>INDEX(Data[],MATCH($A58,Data[Dist],0),MATCH(H$6,Data[#Headers],0))-G58</f>
        <v>908864</v>
      </c>
      <c r="I58" s="25"/>
      <c r="J58" s="22">
        <f>INDEX(Notes!$I$2:$N$11,MATCH(Notes!$B$2,Notes!$I$2:$I$11,0),4)*$C58</f>
        <v>1829936</v>
      </c>
      <c r="K58" s="22">
        <f>INDEX(Notes!$I$2:$N$11,MATCH(Notes!$B$2,Notes!$I$2:$I$11,0),5)*$D58</f>
        <v>908864</v>
      </c>
      <c r="L58" s="22">
        <f>INDEX(Notes!$I$2:$N$11,MATCH(Notes!$B$2,Notes!$I$2:$I$11,0),6)*$E58</f>
        <v>908864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454432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263921</v>
      </c>
      <c r="D59" s="163">
        <f>INDEX(Data[],MATCH($A59,Data[Dist],0),MATCH(D$6,Data[#Headers],0))</f>
        <v>262239</v>
      </c>
      <c r="E59" s="163">
        <f>INDEX(Data[],MATCH($A59,Data[Dist],0),MATCH(E$6,Data[#Headers],0))</f>
        <v>262239</v>
      </c>
      <c r="F59" s="163">
        <f>INDEX(Data[],MATCH($A59,Data[Dist],0),MATCH(F$6,Data[#Headers],0))</f>
        <v>262237</v>
      </c>
      <c r="G59" s="22">
        <f>INDEX(Data[],MATCH($A59,Data[Dist],0),MATCH(G$6,Data[#Headers],0))</f>
        <v>2104640</v>
      </c>
      <c r="H59" s="22">
        <f>INDEX(Data[],MATCH($A59,Data[Dist],0),MATCH(H$6,Data[#Headers],0))-G59</f>
        <v>524476</v>
      </c>
      <c r="I59" s="25"/>
      <c r="J59" s="22">
        <f>INDEX(Notes!$I$2:$N$11,MATCH(Notes!$B$2,Notes!$I$2:$I$11,0),4)*$C59</f>
        <v>1055684</v>
      </c>
      <c r="K59" s="22">
        <f>INDEX(Notes!$I$2:$N$11,MATCH(Notes!$B$2,Notes!$I$2:$I$11,0),5)*$D59</f>
        <v>524478</v>
      </c>
      <c r="L59" s="22">
        <f>INDEX(Notes!$I$2:$N$11,MATCH(Notes!$B$2,Notes!$I$2:$I$11,0),6)*$E59</f>
        <v>524478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262239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931541</v>
      </c>
      <c r="D60" s="163">
        <f>INDEX(Data[],MATCH($A60,Data[Dist],0),MATCH(D$6,Data[#Headers],0))</f>
        <v>925752</v>
      </c>
      <c r="E60" s="163">
        <f>INDEX(Data[],MATCH($A60,Data[Dist],0),MATCH(E$6,Data[#Headers],0))</f>
        <v>925752</v>
      </c>
      <c r="F60" s="163">
        <f>INDEX(Data[],MATCH($A60,Data[Dist],0),MATCH(F$6,Data[#Headers],0))</f>
        <v>925750</v>
      </c>
      <c r="G60" s="22">
        <f>INDEX(Data[],MATCH($A60,Data[Dist],0),MATCH(G$6,Data[#Headers],0))</f>
        <v>7429172</v>
      </c>
      <c r="H60" s="22">
        <f>INDEX(Data[],MATCH($A60,Data[Dist],0),MATCH(H$6,Data[#Headers],0))-G60</f>
        <v>1851502</v>
      </c>
      <c r="I60" s="25"/>
      <c r="J60" s="22">
        <f>INDEX(Notes!$I$2:$N$11,MATCH(Notes!$B$2,Notes!$I$2:$I$11,0),4)*$C60</f>
        <v>3726164</v>
      </c>
      <c r="K60" s="22">
        <f>INDEX(Notes!$I$2:$N$11,MATCH(Notes!$B$2,Notes!$I$2:$I$11,0),5)*$D60</f>
        <v>1851504</v>
      </c>
      <c r="L60" s="22">
        <f>INDEX(Notes!$I$2:$N$11,MATCH(Notes!$B$2,Notes!$I$2:$I$11,0),6)*$E60</f>
        <v>1851504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925752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328918</v>
      </c>
      <c r="D61" s="163">
        <f>INDEX(Data[],MATCH($A61,Data[Dist],0),MATCH(D$6,Data[#Headers],0))</f>
        <v>327014</v>
      </c>
      <c r="E61" s="163">
        <f>INDEX(Data[],MATCH($A61,Data[Dist],0),MATCH(E$6,Data[#Headers],0))</f>
        <v>327013</v>
      </c>
      <c r="F61" s="163">
        <f>INDEX(Data[],MATCH($A61,Data[Dist],0),MATCH(F$6,Data[#Headers],0))</f>
        <v>327014</v>
      </c>
      <c r="G61" s="22">
        <f>INDEX(Data[],MATCH($A61,Data[Dist],0),MATCH(G$6,Data[#Headers],0))</f>
        <v>2623726</v>
      </c>
      <c r="H61" s="22">
        <f>INDEX(Data[],MATCH($A61,Data[Dist],0),MATCH(H$6,Data[#Headers],0))-G61</f>
        <v>654027</v>
      </c>
      <c r="I61" s="25"/>
      <c r="J61" s="22">
        <f>INDEX(Notes!$I$2:$N$11,MATCH(Notes!$B$2,Notes!$I$2:$I$11,0),4)*$C61</f>
        <v>1315672</v>
      </c>
      <c r="K61" s="22">
        <f>INDEX(Notes!$I$2:$N$11,MATCH(Notes!$B$2,Notes!$I$2:$I$11,0),5)*$D61</f>
        <v>654028</v>
      </c>
      <c r="L61" s="22">
        <f>INDEX(Notes!$I$2:$N$11,MATCH(Notes!$B$2,Notes!$I$2:$I$11,0),6)*$E61</f>
        <v>654026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327013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500908</v>
      </c>
      <c r="D62" s="163">
        <f>INDEX(Data[],MATCH($A62,Data[Dist],0),MATCH(D$6,Data[#Headers],0))</f>
        <v>498341</v>
      </c>
      <c r="E62" s="163">
        <f>INDEX(Data[],MATCH($A62,Data[Dist],0),MATCH(E$6,Data[#Headers],0))</f>
        <v>498341</v>
      </c>
      <c r="F62" s="163">
        <f>INDEX(Data[],MATCH($A62,Data[Dist],0),MATCH(F$6,Data[#Headers],0))</f>
        <v>498342</v>
      </c>
      <c r="G62" s="22">
        <f>INDEX(Data[],MATCH($A62,Data[Dist],0),MATCH(G$6,Data[#Headers],0))</f>
        <v>3996996</v>
      </c>
      <c r="H62" s="22">
        <f>INDEX(Data[],MATCH($A62,Data[Dist],0),MATCH(H$6,Data[#Headers],0))-G62</f>
        <v>996683</v>
      </c>
      <c r="I62" s="25"/>
      <c r="J62" s="22">
        <f>INDEX(Notes!$I$2:$N$11,MATCH(Notes!$B$2,Notes!$I$2:$I$11,0),4)*$C62</f>
        <v>2003632</v>
      </c>
      <c r="K62" s="22">
        <f>INDEX(Notes!$I$2:$N$11,MATCH(Notes!$B$2,Notes!$I$2:$I$11,0),5)*$D62</f>
        <v>996682</v>
      </c>
      <c r="L62" s="22">
        <f>INDEX(Notes!$I$2:$N$11,MATCH(Notes!$B$2,Notes!$I$2:$I$11,0),6)*$E62</f>
        <v>996682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498341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468500</v>
      </c>
      <c r="D63" s="163">
        <f>INDEX(Data[],MATCH($A63,Data[Dist],0),MATCH(D$6,Data[#Headers],0))</f>
        <v>465536</v>
      </c>
      <c r="E63" s="163">
        <f>INDEX(Data[],MATCH($A63,Data[Dist],0),MATCH(E$6,Data[#Headers],0))</f>
        <v>465536</v>
      </c>
      <c r="F63" s="163">
        <f>INDEX(Data[],MATCH($A63,Data[Dist],0),MATCH(F$6,Data[#Headers],0))</f>
        <v>465537</v>
      </c>
      <c r="G63" s="22">
        <f>INDEX(Data[],MATCH($A63,Data[Dist],0),MATCH(G$6,Data[#Headers],0))</f>
        <v>3736144</v>
      </c>
      <c r="H63" s="22">
        <f>INDEX(Data[],MATCH($A63,Data[Dist],0),MATCH(H$6,Data[#Headers],0))-G63</f>
        <v>931073</v>
      </c>
      <c r="I63" s="25"/>
      <c r="J63" s="22">
        <f>INDEX(Notes!$I$2:$N$11,MATCH(Notes!$B$2,Notes!$I$2:$I$11,0),4)*$C63</f>
        <v>1874000</v>
      </c>
      <c r="K63" s="22">
        <f>INDEX(Notes!$I$2:$N$11,MATCH(Notes!$B$2,Notes!$I$2:$I$11,0),5)*$D63</f>
        <v>931072</v>
      </c>
      <c r="L63" s="22">
        <f>INDEX(Notes!$I$2:$N$11,MATCH(Notes!$B$2,Notes!$I$2:$I$11,0),6)*$E63</f>
        <v>931072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465536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881069</v>
      </c>
      <c r="D64" s="163">
        <f>INDEX(Data[],MATCH($A64,Data[Dist],0),MATCH(D$6,Data[#Headers],0))</f>
        <v>876100</v>
      </c>
      <c r="E64" s="163">
        <f>INDEX(Data[],MATCH($A64,Data[Dist],0),MATCH(E$6,Data[#Headers],0))</f>
        <v>876100</v>
      </c>
      <c r="F64" s="163">
        <f>INDEX(Data[],MATCH($A64,Data[Dist],0),MATCH(F$6,Data[#Headers],0))</f>
        <v>876099</v>
      </c>
      <c r="G64" s="22">
        <f>INDEX(Data[],MATCH($A64,Data[Dist],0),MATCH(G$6,Data[#Headers],0))</f>
        <v>7028676</v>
      </c>
      <c r="H64" s="22">
        <f>INDEX(Data[],MATCH($A64,Data[Dist],0),MATCH(H$6,Data[#Headers],0))-G64</f>
        <v>1752199</v>
      </c>
      <c r="I64" s="25"/>
      <c r="J64" s="22">
        <f>INDEX(Notes!$I$2:$N$11,MATCH(Notes!$B$2,Notes!$I$2:$I$11,0),4)*$C64</f>
        <v>3524276</v>
      </c>
      <c r="K64" s="22">
        <f>INDEX(Notes!$I$2:$N$11,MATCH(Notes!$B$2,Notes!$I$2:$I$11,0),5)*$D64</f>
        <v>1752200</v>
      </c>
      <c r="L64" s="22">
        <f>INDEX(Notes!$I$2:$N$11,MATCH(Notes!$B$2,Notes!$I$2:$I$11,0),6)*$E64</f>
        <v>1752200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876100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1052051</v>
      </c>
      <c r="D65" s="163">
        <f>INDEX(Data[],MATCH($A65,Data[Dist],0),MATCH(D$6,Data[#Headers],0))</f>
        <v>1045863</v>
      </c>
      <c r="E65" s="163">
        <f>INDEX(Data[],MATCH($A65,Data[Dist],0),MATCH(E$6,Data[#Headers],0))</f>
        <v>1045863</v>
      </c>
      <c r="F65" s="163">
        <f>INDEX(Data[],MATCH($A65,Data[Dist],0),MATCH(F$6,Data[#Headers],0))</f>
        <v>1045863</v>
      </c>
      <c r="G65" s="22">
        <f>INDEX(Data[],MATCH($A65,Data[Dist],0),MATCH(G$6,Data[#Headers],0))</f>
        <v>8391656</v>
      </c>
      <c r="H65" s="22">
        <f>INDEX(Data[],MATCH($A65,Data[Dist],0),MATCH(H$6,Data[#Headers],0))-G65</f>
        <v>2091726</v>
      </c>
      <c r="I65" s="25"/>
      <c r="J65" s="22">
        <f>INDEX(Notes!$I$2:$N$11,MATCH(Notes!$B$2,Notes!$I$2:$I$11,0),4)*$C65</f>
        <v>4208204</v>
      </c>
      <c r="K65" s="22">
        <f>INDEX(Notes!$I$2:$N$11,MATCH(Notes!$B$2,Notes!$I$2:$I$11,0),5)*$D65</f>
        <v>2091726</v>
      </c>
      <c r="L65" s="22">
        <f>INDEX(Notes!$I$2:$N$11,MATCH(Notes!$B$2,Notes!$I$2:$I$11,0),6)*$E65</f>
        <v>2091726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1045863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147452</v>
      </c>
      <c r="D66" s="163">
        <f>INDEX(Data[],MATCH($A66,Data[Dist],0),MATCH(D$6,Data[#Headers],0))</f>
        <v>146403</v>
      </c>
      <c r="E66" s="163">
        <f>INDEX(Data[],MATCH($A66,Data[Dist],0),MATCH(E$6,Data[#Headers],0))</f>
        <v>146403</v>
      </c>
      <c r="F66" s="163">
        <f>INDEX(Data[],MATCH($A66,Data[Dist],0),MATCH(F$6,Data[#Headers],0))</f>
        <v>146401</v>
      </c>
      <c r="G66" s="22">
        <f>INDEX(Data[],MATCH($A66,Data[Dist],0),MATCH(G$6,Data[#Headers],0))</f>
        <v>1175420</v>
      </c>
      <c r="H66" s="22">
        <f>INDEX(Data[],MATCH($A66,Data[Dist],0),MATCH(H$6,Data[#Headers],0))-G66</f>
        <v>292804</v>
      </c>
      <c r="I66" s="25"/>
      <c r="J66" s="22">
        <f>INDEX(Notes!$I$2:$N$11,MATCH(Notes!$B$2,Notes!$I$2:$I$11,0),4)*$C66</f>
        <v>589808</v>
      </c>
      <c r="K66" s="22">
        <f>INDEX(Notes!$I$2:$N$11,MATCH(Notes!$B$2,Notes!$I$2:$I$11,0),5)*$D66</f>
        <v>292806</v>
      </c>
      <c r="L66" s="22">
        <f>INDEX(Notes!$I$2:$N$11,MATCH(Notes!$B$2,Notes!$I$2:$I$11,0),6)*$E66</f>
        <v>292806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146403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688391</v>
      </c>
      <c r="D67" s="163">
        <f>INDEX(Data[],MATCH($A67,Data[Dist],0),MATCH(D$6,Data[#Headers],0))</f>
        <v>684318</v>
      </c>
      <c r="E67" s="163">
        <f>INDEX(Data[],MATCH($A67,Data[Dist],0),MATCH(E$6,Data[#Headers],0))</f>
        <v>684318</v>
      </c>
      <c r="F67" s="163">
        <f>INDEX(Data[],MATCH($A67,Data[Dist],0),MATCH(F$6,Data[#Headers],0))</f>
        <v>684317</v>
      </c>
      <c r="G67" s="22">
        <f>INDEX(Data[],MATCH($A67,Data[Dist],0),MATCH(G$6,Data[#Headers],0))</f>
        <v>5490836</v>
      </c>
      <c r="H67" s="22">
        <f>INDEX(Data[],MATCH($A67,Data[Dist],0),MATCH(H$6,Data[#Headers],0))-G67</f>
        <v>1368635</v>
      </c>
      <c r="I67" s="25"/>
      <c r="J67" s="22">
        <f>INDEX(Notes!$I$2:$N$11,MATCH(Notes!$B$2,Notes!$I$2:$I$11,0),4)*$C67</f>
        <v>2753564</v>
      </c>
      <c r="K67" s="22">
        <f>INDEX(Notes!$I$2:$N$11,MATCH(Notes!$B$2,Notes!$I$2:$I$11,0),5)*$D67</f>
        <v>1368636</v>
      </c>
      <c r="L67" s="22">
        <f>INDEX(Notes!$I$2:$N$11,MATCH(Notes!$B$2,Notes!$I$2:$I$11,0),6)*$E67</f>
        <v>1368636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684318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616708</v>
      </c>
      <c r="D68" s="163">
        <f>INDEX(Data[],MATCH($A68,Data[Dist],0),MATCH(D$6,Data[#Headers],0))</f>
        <v>612970</v>
      </c>
      <c r="E68" s="163">
        <f>INDEX(Data[],MATCH($A68,Data[Dist],0),MATCH(E$6,Data[#Headers],0))</f>
        <v>612970</v>
      </c>
      <c r="F68" s="163">
        <f>INDEX(Data[],MATCH($A68,Data[Dist],0),MATCH(F$6,Data[#Headers],0))</f>
        <v>612968</v>
      </c>
      <c r="G68" s="22">
        <f>INDEX(Data[],MATCH($A68,Data[Dist],0),MATCH(G$6,Data[#Headers],0))</f>
        <v>4918712</v>
      </c>
      <c r="H68" s="22">
        <f>INDEX(Data[],MATCH($A68,Data[Dist],0),MATCH(H$6,Data[#Headers],0))-G68</f>
        <v>1225938</v>
      </c>
      <c r="I68" s="25"/>
      <c r="J68" s="22">
        <f>INDEX(Notes!$I$2:$N$11,MATCH(Notes!$B$2,Notes!$I$2:$I$11,0),4)*$C68</f>
        <v>2466832</v>
      </c>
      <c r="K68" s="22">
        <f>INDEX(Notes!$I$2:$N$11,MATCH(Notes!$B$2,Notes!$I$2:$I$11,0),5)*$D68</f>
        <v>1225940</v>
      </c>
      <c r="L68" s="22">
        <f>INDEX(Notes!$I$2:$N$11,MATCH(Notes!$B$2,Notes!$I$2:$I$11,0),6)*$E68</f>
        <v>1225940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612970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554652</v>
      </c>
      <c r="D69" s="163">
        <f>INDEX(Data[],MATCH($A69,Data[Dist],0),MATCH(D$6,Data[#Headers],0))</f>
        <v>550905</v>
      </c>
      <c r="E69" s="163">
        <f>INDEX(Data[],MATCH($A69,Data[Dist],0),MATCH(E$6,Data[#Headers],0))</f>
        <v>550905</v>
      </c>
      <c r="F69" s="163">
        <f>INDEX(Data[],MATCH($A69,Data[Dist],0),MATCH(F$6,Data[#Headers],0))</f>
        <v>550906</v>
      </c>
      <c r="G69" s="22">
        <f>INDEX(Data[],MATCH($A69,Data[Dist],0),MATCH(G$6,Data[#Headers],0))</f>
        <v>4422228</v>
      </c>
      <c r="H69" s="22">
        <f>INDEX(Data[],MATCH($A69,Data[Dist],0),MATCH(H$6,Data[#Headers],0))-G69</f>
        <v>1101811</v>
      </c>
      <c r="I69" s="25"/>
      <c r="J69" s="22">
        <f>INDEX(Notes!$I$2:$N$11,MATCH(Notes!$B$2,Notes!$I$2:$I$11,0),4)*$C69</f>
        <v>2218608</v>
      </c>
      <c r="K69" s="22">
        <f>INDEX(Notes!$I$2:$N$11,MATCH(Notes!$B$2,Notes!$I$2:$I$11,0),5)*$D69</f>
        <v>1101810</v>
      </c>
      <c r="L69" s="22">
        <f>INDEX(Notes!$I$2:$N$11,MATCH(Notes!$B$2,Notes!$I$2:$I$11,0),6)*$E69</f>
        <v>1101810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550905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1026463</v>
      </c>
      <c r="D70" s="163">
        <f>INDEX(Data[],MATCH($A70,Data[Dist],0),MATCH(D$6,Data[#Headers],0))</f>
        <v>1020867</v>
      </c>
      <c r="E70" s="163">
        <f>INDEX(Data[],MATCH($A70,Data[Dist],0),MATCH(E$6,Data[#Headers],0))</f>
        <v>1020868</v>
      </c>
      <c r="F70" s="163">
        <f>INDEX(Data[],MATCH($A70,Data[Dist],0),MATCH(F$6,Data[#Headers],0))</f>
        <v>1020866</v>
      </c>
      <c r="G70" s="22">
        <f>INDEX(Data[],MATCH($A70,Data[Dist],0),MATCH(G$6,Data[#Headers],0))</f>
        <v>8189322</v>
      </c>
      <c r="H70" s="22">
        <f>INDEX(Data[],MATCH($A70,Data[Dist],0),MATCH(H$6,Data[#Headers],0))-G70</f>
        <v>2041734</v>
      </c>
      <c r="I70" s="25"/>
      <c r="J70" s="22">
        <f>INDEX(Notes!$I$2:$N$11,MATCH(Notes!$B$2,Notes!$I$2:$I$11,0),4)*$C70</f>
        <v>4105852</v>
      </c>
      <c r="K70" s="22">
        <f>INDEX(Notes!$I$2:$N$11,MATCH(Notes!$B$2,Notes!$I$2:$I$11,0),5)*$D70</f>
        <v>2041734</v>
      </c>
      <c r="L70" s="22">
        <f>INDEX(Notes!$I$2:$N$11,MATCH(Notes!$B$2,Notes!$I$2:$I$11,0),6)*$E70</f>
        <v>2041736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1020868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203707</v>
      </c>
      <c r="D71" s="163">
        <f>INDEX(Data[],MATCH($A71,Data[Dist],0),MATCH(D$6,Data[#Headers],0))</f>
        <v>202521</v>
      </c>
      <c r="E71" s="163">
        <f>INDEX(Data[],MATCH($A71,Data[Dist],0),MATCH(E$6,Data[#Headers],0))</f>
        <v>202520</v>
      </c>
      <c r="F71" s="163">
        <f>INDEX(Data[],MATCH($A71,Data[Dist],0),MATCH(F$6,Data[#Headers],0))</f>
        <v>202521</v>
      </c>
      <c r="G71" s="22">
        <f>INDEX(Data[],MATCH($A71,Data[Dist],0),MATCH(G$6,Data[#Headers],0))</f>
        <v>1624910</v>
      </c>
      <c r="H71" s="22">
        <f>INDEX(Data[],MATCH($A71,Data[Dist],0),MATCH(H$6,Data[#Headers],0))-G71</f>
        <v>405041</v>
      </c>
      <c r="I71" s="25"/>
      <c r="J71" s="22">
        <f>INDEX(Notes!$I$2:$N$11,MATCH(Notes!$B$2,Notes!$I$2:$I$11,0),4)*$C71</f>
        <v>814828</v>
      </c>
      <c r="K71" s="22">
        <f>INDEX(Notes!$I$2:$N$11,MATCH(Notes!$B$2,Notes!$I$2:$I$11,0),5)*$D71</f>
        <v>405042</v>
      </c>
      <c r="L71" s="22">
        <f>INDEX(Notes!$I$2:$N$11,MATCH(Notes!$B$2,Notes!$I$2:$I$11,0),6)*$E71</f>
        <v>405040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202520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127723</v>
      </c>
      <c r="D72" s="163">
        <f>INDEX(Data[],MATCH($A72,Data[Dist],0),MATCH(D$6,Data[#Headers],0))</f>
        <v>126481</v>
      </c>
      <c r="E72" s="163">
        <f>INDEX(Data[],MATCH($A72,Data[Dist],0),MATCH(E$6,Data[#Headers],0))</f>
        <v>126480</v>
      </c>
      <c r="F72" s="163">
        <f>INDEX(Data[],MATCH($A72,Data[Dist],0),MATCH(F$6,Data[#Headers],0))</f>
        <v>126481</v>
      </c>
      <c r="G72" s="22">
        <f>INDEX(Data[],MATCH($A72,Data[Dist],0),MATCH(G$6,Data[#Headers],0))</f>
        <v>1016814</v>
      </c>
      <c r="H72" s="22">
        <f>INDEX(Data[],MATCH($A72,Data[Dist],0),MATCH(H$6,Data[#Headers],0))-G72</f>
        <v>252961</v>
      </c>
      <c r="I72" s="25"/>
      <c r="J72" s="22">
        <f>INDEX(Notes!$I$2:$N$11,MATCH(Notes!$B$2,Notes!$I$2:$I$11,0),4)*$C72</f>
        <v>510892</v>
      </c>
      <c r="K72" s="22">
        <f>INDEX(Notes!$I$2:$N$11,MATCH(Notes!$B$2,Notes!$I$2:$I$11,0),5)*$D72</f>
        <v>252962</v>
      </c>
      <c r="L72" s="22">
        <f>INDEX(Notes!$I$2:$N$11,MATCH(Notes!$B$2,Notes!$I$2:$I$11,0),6)*$E72</f>
        <v>252960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126480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INDEX($A$7:$H$333,MATCH($S72,$A$7:$A$333,0),5)-Q72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1559133</v>
      </c>
      <c r="D73" s="163">
        <f>INDEX(Data[],MATCH($A73,Data[Dist],0),MATCH(D$6,Data[#Headers],0))</f>
        <v>1548744</v>
      </c>
      <c r="E73" s="163">
        <f>INDEX(Data[],MATCH($A73,Data[Dist],0),MATCH(E$6,Data[#Headers],0))</f>
        <v>1548744</v>
      </c>
      <c r="F73" s="163">
        <f>INDEX(Data[],MATCH($A73,Data[Dist],0),MATCH(F$6,Data[#Headers],0))</f>
        <v>1548743</v>
      </c>
      <c r="G73" s="22">
        <f>INDEX(Data[],MATCH($A73,Data[Dist],0),MATCH(G$6,Data[#Headers],0))</f>
        <v>12431508</v>
      </c>
      <c r="H73" s="22">
        <f>INDEX(Data[],MATCH($A73,Data[Dist],0),MATCH(H$6,Data[#Headers],0))-G73</f>
        <v>3097487</v>
      </c>
      <c r="I73" s="25"/>
      <c r="J73" s="22">
        <f>INDEX(Notes!$I$2:$N$11,MATCH(Notes!$B$2,Notes!$I$2:$I$11,0),4)*$C73</f>
        <v>6236532</v>
      </c>
      <c r="K73" s="22">
        <f>INDEX(Notes!$I$2:$N$11,MATCH(Notes!$B$2,Notes!$I$2:$I$11,0),5)*$D73</f>
        <v>3097488</v>
      </c>
      <c r="L73" s="22">
        <f>INDEX(Notes!$I$2:$N$11,MATCH(Notes!$B$2,Notes!$I$2:$I$11,0),6)*$E73</f>
        <v>3097488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1548744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561281</v>
      </c>
      <c r="D74" s="163">
        <f>INDEX(Data[],MATCH($A74,Data[Dist],0),MATCH(D$6,Data[#Headers],0))</f>
        <v>556464</v>
      </c>
      <c r="E74" s="163">
        <f>INDEX(Data[],MATCH($A74,Data[Dist],0),MATCH(E$6,Data[#Headers],0))</f>
        <v>556464</v>
      </c>
      <c r="F74" s="163">
        <f>INDEX(Data[],MATCH($A74,Data[Dist],0),MATCH(F$6,Data[#Headers],0))</f>
        <v>556465</v>
      </c>
      <c r="G74" s="22">
        <f>INDEX(Data[],MATCH($A74,Data[Dist],0),MATCH(G$6,Data[#Headers],0))</f>
        <v>4470980</v>
      </c>
      <c r="H74" s="22">
        <f>INDEX(Data[],MATCH($A74,Data[Dist],0),MATCH(H$6,Data[#Headers],0))-G74</f>
        <v>1112929</v>
      </c>
      <c r="I74" s="25"/>
      <c r="J74" s="22">
        <f>INDEX(Notes!$I$2:$N$11,MATCH(Notes!$B$2,Notes!$I$2:$I$11,0),4)*$C74</f>
        <v>2245124</v>
      </c>
      <c r="K74" s="22">
        <f>INDEX(Notes!$I$2:$N$11,MATCH(Notes!$B$2,Notes!$I$2:$I$11,0),5)*$D74</f>
        <v>1112928</v>
      </c>
      <c r="L74" s="22">
        <f>INDEX(Notes!$I$2:$N$11,MATCH(Notes!$B$2,Notes!$I$2:$I$11,0),6)*$E74</f>
        <v>1112928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556464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2904006</v>
      </c>
      <c r="D75" s="163">
        <f>INDEX(Data[],MATCH($A75,Data[Dist],0),MATCH(D$6,Data[#Headers],0))</f>
        <v>2889546</v>
      </c>
      <c r="E75" s="163">
        <f>INDEX(Data[],MATCH($A75,Data[Dist],0),MATCH(E$6,Data[#Headers],0))</f>
        <v>2889546</v>
      </c>
      <c r="F75" s="163">
        <f>INDEX(Data[],MATCH($A75,Data[Dist],0),MATCH(F$6,Data[#Headers],0))</f>
        <v>2889544</v>
      </c>
      <c r="G75" s="22">
        <f>INDEX(Data[],MATCH($A75,Data[Dist],0),MATCH(G$6,Data[#Headers],0))</f>
        <v>23174208</v>
      </c>
      <c r="H75" s="22">
        <f>INDEX(Data[],MATCH($A75,Data[Dist],0),MATCH(H$6,Data[#Headers],0))-G75</f>
        <v>5779090</v>
      </c>
      <c r="I75" s="25"/>
      <c r="J75" s="22">
        <f>INDEX(Notes!$I$2:$N$11,MATCH(Notes!$B$2,Notes!$I$2:$I$11,0),4)*$C75</f>
        <v>11616024</v>
      </c>
      <c r="K75" s="22">
        <f>INDEX(Notes!$I$2:$N$11,MATCH(Notes!$B$2,Notes!$I$2:$I$11,0),5)*$D75</f>
        <v>5779092</v>
      </c>
      <c r="L75" s="22">
        <f>INDEX(Notes!$I$2:$N$11,MATCH(Notes!$B$2,Notes!$I$2:$I$11,0),6)*$E75</f>
        <v>5779092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2889546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491031</v>
      </c>
      <c r="D76" s="163">
        <f>INDEX(Data[],MATCH($A76,Data[Dist],0),MATCH(D$6,Data[#Headers],0))</f>
        <v>488142</v>
      </c>
      <c r="E76" s="163">
        <f>INDEX(Data[],MATCH($A76,Data[Dist],0),MATCH(E$6,Data[#Headers],0))</f>
        <v>488142</v>
      </c>
      <c r="F76" s="163">
        <f>INDEX(Data[],MATCH($A76,Data[Dist],0),MATCH(F$6,Data[#Headers],0))</f>
        <v>488141</v>
      </c>
      <c r="G76" s="22">
        <f>INDEX(Data[],MATCH($A76,Data[Dist],0),MATCH(G$6,Data[#Headers],0))</f>
        <v>3916692</v>
      </c>
      <c r="H76" s="22">
        <f>INDEX(Data[],MATCH($A76,Data[Dist],0),MATCH(H$6,Data[#Headers],0))-G76</f>
        <v>976283</v>
      </c>
      <c r="I76" s="25"/>
      <c r="J76" s="22">
        <f>INDEX(Notes!$I$2:$N$11,MATCH(Notes!$B$2,Notes!$I$2:$I$11,0),4)*$C76</f>
        <v>1964124</v>
      </c>
      <c r="K76" s="22">
        <f>INDEX(Notes!$I$2:$N$11,MATCH(Notes!$B$2,Notes!$I$2:$I$11,0),5)*$D76</f>
        <v>976284</v>
      </c>
      <c r="L76" s="22">
        <f>INDEX(Notes!$I$2:$N$11,MATCH(Notes!$B$2,Notes!$I$2:$I$11,0),6)*$E76</f>
        <v>976284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488142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2978265</v>
      </c>
      <c r="D77" s="163">
        <f>INDEX(Data[],MATCH($A77,Data[Dist],0),MATCH(D$6,Data[#Headers],0))</f>
        <v>2958116</v>
      </c>
      <c r="E77" s="163">
        <f>INDEX(Data[],MATCH($A77,Data[Dist],0),MATCH(E$6,Data[#Headers],0))</f>
        <v>2958116</v>
      </c>
      <c r="F77" s="163">
        <f>INDEX(Data[],MATCH($A77,Data[Dist],0),MATCH(F$6,Data[#Headers],0))</f>
        <v>2958117</v>
      </c>
      <c r="G77" s="22">
        <f>INDEX(Data[],MATCH($A77,Data[Dist],0),MATCH(G$6,Data[#Headers],0))</f>
        <v>23745524</v>
      </c>
      <c r="H77" s="22">
        <f>INDEX(Data[],MATCH($A77,Data[Dist],0),MATCH(H$6,Data[#Headers],0))-G77</f>
        <v>5916233</v>
      </c>
      <c r="I77" s="25"/>
      <c r="J77" s="22">
        <f>INDEX(Notes!$I$2:$N$11,MATCH(Notes!$B$2,Notes!$I$2:$I$11,0),4)*$C77</f>
        <v>11913060</v>
      </c>
      <c r="K77" s="22">
        <f>INDEX(Notes!$I$2:$N$11,MATCH(Notes!$B$2,Notes!$I$2:$I$11,0),5)*$D77</f>
        <v>5916232</v>
      </c>
      <c r="L77" s="22">
        <f>INDEX(Notes!$I$2:$N$11,MATCH(Notes!$B$2,Notes!$I$2:$I$11,0),6)*$E77</f>
        <v>5916232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2958116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281528</v>
      </c>
      <c r="D78" s="163">
        <f>INDEX(Data[],MATCH($A78,Data[Dist],0),MATCH(D$6,Data[#Headers],0))</f>
        <v>279788</v>
      </c>
      <c r="E78" s="163">
        <f>INDEX(Data[],MATCH($A78,Data[Dist],0),MATCH(E$6,Data[#Headers],0))</f>
        <v>279789</v>
      </c>
      <c r="F78" s="163">
        <f>INDEX(Data[],MATCH($A78,Data[Dist],0),MATCH(F$6,Data[#Headers],0))</f>
        <v>279787</v>
      </c>
      <c r="G78" s="22">
        <f>INDEX(Data[],MATCH($A78,Data[Dist],0),MATCH(G$6,Data[#Headers],0))</f>
        <v>2245266</v>
      </c>
      <c r="H78" s="22">
        <f>INDEX(Data[],MATCH($A78,Data[Dist],0),MATCH(H$6,Data[#Headers],0))-G78</f>
        <v>559576</v>
      </c>
      <c r="I78" s="25"/>
      <c r="J78" s="22">
        <f>INDEX(Notes!$I$2:$N$11,MATCH(Notes!$B$2,Notes!$I$2:$I$11,0),4)*$C78</f>
        <v>1126112</v>
      </c>
      <c r="K78" s="22">
        <f>INDEX(Notes!$I$2:$N$11,MATCH(Notes!$B$2,Notes!$I$2:$I$11,0),5)*$D78</f>
        <v>559576</v>
      </c>
      <c r="L78" s="22">
        <f>INDEX(Notes!$I$2:$N$11,MATCH(Notes!$B$2,Notes!$I$2:$I$11,0),6)*$E78</f>
        <v>559578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279789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243446</v>
      </c>
      <c r="D79" s="163">
        <f>INDEX(Data[],MATCH($A79,Data[Dist],0),MATCH(D$6,Data[#Headers],0))</f>
        <v>241517</v>
      </c>
      <c r="E79" s="163">
        <f>INDEX(Data[],MATCH($A79,Data[Dist],0),MATCH(E$6,Data[#Headers],0))</f>
        <v>241517</v>
      </c>
      <c r="F79" s="163">
        <f>INDEX(Data[],MATCH($A79,Data[Dist],0),MATCH(F$6,Data[#Headers],0))</f>
        <v>241515</v>
      </c>
      <c r="G79" s="22">
        <f>INDEX(Data[],MATCH($A79,Data[Dist],0),MATCH(G$6,Data[#Headers],0))</f>
        <v>1939852</v>
      </c>
      <c r="H79" s="22">
        <f>INDEX(Data[],MATCH($A79,Data[Dist],0),MATCH(H$6,Data[#Headers],0))-G79</f>
        <v>483032</v>
      </c>
      <c r="I79" s="25"/>
      <c r="J79" s="22">
        <f>INDEX(Notes!$I$2:$N$11,MATCH(Notes!$B$2,Notes!$I$2:$I$11,0),4)*$C79</f>
        <v>973784</v>
      </c>
      <c r="K79" s="22">
        <f>INDEX(Notes!$I$2:$N$11,MATCH(Notes!$B$2,Notes!$I$2:$I$11,0),5)*$D79</f>
        <v>483034</v>
      </c>
      <c r="L79" s="22">
        <f>INDEX(Notes!$I$2:$N$11,MATCH(Notes!$B$2,Notes!$I$2:$I$11,0),6)*$E79</f>
        <v>483034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241517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513109</v>
      </c>
      <c r="D80" s="163">
        <f>INDEX(Data[],MATCH($A80,Data[Dist],0),MATCH(D$6,Data[#Headers],0))</f>
        <v>510159</v>
      </c>
      <c r="E80" s="163">
        <f>INDEX(Data[],MATCH($A80,Data[Dist],0),MATCH(E$6,Data[#Headers],0))</f>
        <v>510160</v>
      </c>
      <c r="F80" s="163">
        <f>INDEX(Data[],MATCH($A80,Data[Dist],0),MATCH(F$6,Data[#Headers],0))</f>
        <v>510158</v>
      </c>
      <c r="G80" s="22">
        <f>INDEX(Data[],MATCH($A80,Data[Dist],0),MATCH(G$6,Data[#Headers],0))</f>
        <v>4093074</v>
      </c>
      <c r="H80" s="22">
        <f>INDEX(Data[],MATCH($A80,Data[Dist],0),MATCH(H$6,Data[#Headers],0))-G80</f>
        <v>1020318</v>
      </c>
      <c r="I80" s="25"/>
      <c r="J80" s="22">
        <f>INDEX(Notes!$I$2:$N$11,MATCH(Notes!$B$2,Notes!$I$2:$I$11,0),4)*$C80</f>
        <v>2052436</v>
      </c>
      <c r="K80" s="22">
        <f>INDEX(Notes!$I$2:$N$11,MATCH(Notes!$B$2,Notes!$I$2:$I$11,0),5)*$D80</f>
        <v>1020318</v>
      </c>
      <c r="L80" s="22">
        <f>INDEX(Notes!$I$2:$N$11,MATCH(Notes!$B$2,Notes!$I$2:$I$11,0),6)*$E80</f>
        <v>1020320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510160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263206</v>
      </c>
      <c r="D81" s="163">
        <f>INDEX(Data[],MATCH($A81,Data[Dist],0),MATCH(D$6,Data[#Headers],0))</f>
        <v>261523</v>
      </c>
      <c r="E81" s="163">
        <f>INDEX(Data[],MATCH($A81,Data[Dist],0),MATCH(E$6,Data[#Headers],0))</f>
        <v>261523</v>
      </c>
      <c r="F81" s="163">
        <f>INDEX(Data[],MATCH($A81,Data[Dist],0),MATCH(F$6,Data[#Headers],0))</f>
        <v>261524</v>
      </c>
      <c r="G81" s="22">
        <f>INDEX(Data[],MATCH($A81,Data[Dist],0),MATCH(G$6,Data[#Headers],0))</f>
        <v>2098916</v>
      </c>
      <c r="H81" s="22">
        <f>INDEX(Data[],MATCH($A81,Data[Dist],0),MATCH(H$6,Data[#Headers],0))-G81</f>
        <v>523047</v>
      </c>
      <c r="I81" s="25"/>
      <c r="J81" s="22">
        <f>INDEX(Notes!$I$2:$N$11,MATCH(Notes!$B$2,Notes!$I$2:$I$11,0),4)*$C81</f>
        <v>1052824</v>
      </c>
      <c r="K81" s="22">
        <f>INDEX(Notes!$I$2:$N$11,MATCH(Notes!$B$2,Notes!$I$2:$I$11,0),5)*$D81</f>
        <v>523046</v>
      </c>
      <c r="L81" s="22">
        <f>INDEX(Notes!$I$2:$N$11,MATCH(Notes!$B$2,Notes!$I$2:$I$11,0),6)*$E81</f>
        <v>523046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261523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226736</v>
      </c>
      <c r="D82" s="163">
        <f>INDEX(Data[],MATCH($A82,Data[Dist],0),MATCH(D$6,Data[#Headers],0))</f>
        <v>225119</v>
      </c>
      <c r="E82" s="163">
        <f>INDEX(Data[],MATCH($A82,Data[Dist],0),MATCH(E$6,Data[#Headers],0))</f>
        <v>225119</v>
      </c>
      <c r="F82" s="163">
        <f>INDEX(Data[],MATCH($A82,Data[Dist],0),MATCH(F$6,Data[#Headers],0))</f>
        <v>225117</v>
      </c>
      <c r="G82" s="22">
        <f>INDEX(Data[],MATCH($A82,Data[Dist],0),MATCH(G$6,Data[#Headers],0))</f>
        <v>1807420</v>
      </c>
      <c r="H82" s="22">
        <f>INDEX(Data[],MATCH($A82,Data[Dist],0),MATCH(H$6,Data[#Headers],0))-G82</f>
        <v>450236</v>
      </c>
      <c r="I82" s="25"/>
      <c r="J82" s="22">
        <f>INDEX(Notes!$I$2:$N$11,MATCH(Notes!$B$2,Notes!$I$2:$I$11,0),4)*$C82</f>
        <v>906944</v>
      </c>
      <c r="K82" s="22">
        <f>INDEX(Notes!$I$2:$N$11,MATCH(Notes!$B$2,Notes!$I$2:$I$11,0),5)*$D82</f>
        <v>450238</v>
      </c>
      <c r="L82" s="22">
        <f>INDEX(Notes!$I$2:$N$11,MATCH(Notes!$B$2,Notes!$I$2:$I$11,0),6)*$E82</f>
        <v>450238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225119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7051146</v>
      </c>
      <c r="D83" s="163">
        <f>INDEX(Data[],MATCH($A83,Data[Dist],0),MATCH(D$6,Data[#Headers],0))</f>
        <v>7015971</v>
      </c>
      <c r="E83" s="163">
        <f>INDEX(Data[],MATCH($A83,Data[Dist],0),MATCH(E$6,Data[#Headers],0))</f>
        <v>7015972</v>
      </c>
      <c r="F83" s="163">
        <f>INDEX(Data[],MATCH($A83,Data[Dist],0),MATCH(F$6,Data[#Headers],0))</f>
        <v>7015970</v>
      </c>
      <c r="G83" s="22">
        <f>INDEX(Data[],MATCH($A83,Data[Dist],0),MATCH(G$6,Data[#Headers],0))</f>
        <v>56268470</v>
      </c>
      <c r="H83" s="22">
        <f>INDEX(Data[],MATCH($A83,Data[Dist],0),MATCH(H$6,Data[#Headers],0))-G83</f>
        <v>14031942</v>
      </c>
      <c r="I83" s="25"/>
      <c r="J83" s="22">
        <f>INDEX(Notes!$I$2:$N$11,MATCH(Notes!$B$2,Notes!$I$2:$I$11,0),4)*$C83</f>
        <v>28204584</v>
      </c>
      <c r="K83" s="22">
        <f>INDEX(Notes!$I$2:$N$11,MATCH(Notes!$B$2,Notes!$I$2:$I$11,0),5)*$D83</f>
        <v>14031942</v>
      </c>
      <c r="L83" s="22">
        <f>INDEX(Notes!$I$2:$N$11,MATCH(Notes!$B$2,Notes!$I$2:$I$11,0),6)*$E83</f>
        <v>14031944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7015972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1009586</v>
      </c>
      <c r="D84" s="163">
        <f>INDEX(Data[],MATCH($A84,Data[Dist],0),MATCH(D$6,Data[#Headers],0))</f>
        <v>1003798</v>
      </c>
      <c r="E84" s="163">
        <f>INDEX(Data[],MATCH($A84,Data[Dist],0),MATCH(E$6,Data[#Headers],0))</f>
        <v>1003798</v>
      </c>
      <c r="F84" s="163">
        <f>INDEX(Data[],MATCH($A84,Data[Dist],0),MATCH(F$6,Data[#Headers],0))</f>
        <v>1003799</v>
      </c>
      <c r="G84" s="22">
        <f>INDEX(Data[],MATCH($A84,Data[Dist],0),MATCH(G$6,Data[#Headers],0))</f>
        <v>8053536</v>
      </c>
      <c r="H84" s="22">
        <f>INDEX(Data[],MATCH($A84,Data[Dist],0),MATCH(H$6,Data[#Headers],0))-G84</f>
        <v>2007597</v>
      </c>
      <c r="I84" s="25"/>
      <c r="J84" s="22">
        <f>INDEX(Notes!$I$2:$N$11,MATCH(Notes!$B$2,Notes!$I$2:$I$11,0),4)*$C84</f>
        <v>4038344</v>
      </c>
      <c r="K84" s="22">
        <f>INDEX(Notes!$I$2:$N$11,MATCH(Notes!$B$2,Notes!$I$2:$I$11,0),5)*$D84</f>
        <v>2007596</v>
      </c>
      <c r="L84" s="22">
        <f>INDEX(Notes!$I$2:$N$11,MATCH(Notes!$B$2,Notes!$I$2:$I$11,0),6)*$E84</f>
        <v>2007596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1003798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2043186</v>
      </c>
      <c r="D85" s="163">
        <f>INDEX(Data[],MATCH($A85,Data[Dist],0),MATCH(D$6,Data[#Headers],0))</f>
        <v>2030424</v>
      </c>
      <c r="E85" s="163">
        <f>INDEX(Data[],MATCH($A85,Data[Dist],0),MATCH(E$6,Data[#Headers],0))</f>
        <v>2030425</v>
      </c>
      <c r="F85" s="163">
        <f>INDEX(Data[],MATCH($A85,Data[Dist],0),MATCH(F$6,Data[#Headers],0))</f>
        <v>2030423</v>
      </c>
      <c r="G85" s="22">
        <f>INDEX(Data[],MATCH($A85,Data[Dist],0),MATCH(G$6,Data[#Headers],0))</f>
        <v>16294442</v>
      </c>
      <c r="H85" s="22">
        <f>INDEX(Data[],MATCH($A85,Data[Dist],0),MATCH(H$6,Data[#Headers],0))-G85</f>
        <v>4060848</v>
      </c>
      <c r="I85" s="25"/>
      <c r="J85" s="22">
        <f>INDEX(Notes!$I$2:$N$11,MATCH(Notes!$B$2,Notes!$I$2:$I$11,0),4)*$C85</f>
        <v>8172744</v>
      </c>
      <c r="K85" s="22">
        <f>INDEX(Notes!$I$2:$N$11,MATCH(Notes!$B$2,Notes!$I$2:$I$11,0),5)*$D85</f>
        <v>4060848</v>
      </c>
      <c r="L85" s="22">
        <f>INDEX(Notes!$I$2:$N$11,MATCH(Notes!$B$2,Notes!$I$2:$I$11,0),6)*$E85</f>
        <v>4060850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2030425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324105</v>
      </c>
      <c r="D86" s="163">
        <f>INDEX(Data[],MATCH($A86,Data[Dist],0),MATCH(D$6,Data[#Headers],0))</f>
        <v>322189</v>
      </c>
      <c r="E86" s="163">
        <f>INDEX(Data[],MATCH($A86,Data[Dist],0),MATCH(E$6,Data[#Headers],0))</f>
        <v>322189</v>
      </c>
      <c r="F86" s="163">
        <f>INDEX(Data[],MATCH($A86,Data[Dist],0),MATCH(F$6,Data[#Headers],0))</f>
        <v>322189</v>
      </c>
      <c r="G86" s="22">
        <f>INDEX(Data[],MATCH($A86,Data[Dist],0),MATCH(G$6,Data[#Headers],0))</f>
        <v>2585176</v>
      </c>
      <c r="H86" s="22">
        <f>INDEX(Data[],MATCH($A86,Data[Dist],0),MATCH(H$6,Data[#Headers],0))-G86</f>
        <v>644378</v>
      </c>
      <c r="I86" s="25"/>
      <c r="J86" s="22">
        <f>INDEX(Notes!$I$2:$N$11,MATCH(Notes!$B$2,Notes!$I$2:$I$11,0),4)*$C86</f>
        <v>1296420</v>
      </c>
      <c r="K86" s="22">
        <f>INDEX(Notes!$I$2:$N$11,MATCH(Notes!$B$2,Notes!$I$2:$I$11,0),5)*$D86</f>
        <v>644378</v>
      </c>
      <c r="L86" s="22">
        <f>INDEX(Notes!$I$2:$N$11,MATCH(Notes!$B$2,Notes!$I$2:$I$11,0),6)*$E86</f>
        <v>644378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322189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10210712</v>
      </c>
      <c r="D87" s="163">
        <f>INDEX(Data[],MATCH($A87,Data[Dist],0),MATCH(D$6,Data[#Headers],0))</f>
        <v>10153424</v>
      </c>
      <c r="E87" s="163">
        <f>INDEX(Data[],MATCH($A87,Data[Dist],0),MATCH(E$6,Data[#Headers],0))</f>
        <v>10153425</v>
      </c>
      <c r="F87" s="163">
        <f>INDEX(Data[],MATCH($A87,Data[Dist],0),MATCH(F$6,Data[#Headers],0))</f>
        <v>10153423</v>
      </c>
      <c r="G87" s="22">
        <f>INDEX(Data[],MATCH($A87,Data[Dist],0),MATCH(G$6,Data[#Headers],0))</f>
        <v>81456546</v>
      </c>
      <c r="H87" s="22">
        <f>INDEX(Data[],MATCH($A87,Data[Dist],0),MATCH(H$6,Data[#Headers],0))-G87</f>
        <v>20306848</v>
      </c>
      <c r="I87" s="25"/>
      <c r="J87" s="22">
        <f>INDEX(Notes!$I$2:$N$11,MATCH(Notes!$B$2,Notes!$I$2:$I$11,0),4)*$C87</f>
        <v>40842848</v>
      </c>
      <c r="K87" s="22">
        <f>INDEX(Notes!$I$2:$N$11,MATCH(Notes!$B$2,Notes!$I$2:$I$11,0),5)*$D87</f>
        <v>20306848</v>
      </c>
      <c r="L87" s="22">
        <f>INDEX(Notes!$I$2:$N$11,MATCH(Notes!$B$2,Notes!$I$2:$I$11,0),6)*$E87</f>
        <v>20306850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10153425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746749</v>
      </c>
      <c r="D88" s="163">
        <f>INDEX(Data[],MATCH($A88,Data[Dist],0),MATCH(D$6,Data[#Headers],0))</f>
        <v>742123</v>
      </c>
      <c r="E88" s="163">
        <f>INDEX(Data[],MATCH($A88,Data[Dist],0),MATCH(E$6,Data[#Headers],0))</f>
        <v>742122</v>
      </c>
      <c r="F88" s="163">
        <f>INDEX(Data[],MATCH($A88,Data[Dist],0),MATCH(F$6,Data[#Headers],0))</f>
        <v>742123</v>
      </c>
      <c r="G88" s="22">
        <f>INDEX(Data[],MATCH($A88,Data[Dist],0),MATCH(G$6,Data[#Headers],0))</f>
        <v>5955486</v>
      </c>
      <c r="H88" s="22">
        <f>INDEX(Data[],MATCH($A88,Data[Dist],0),MATCH(H$6,Data[#Headers],0))-G88</f>
        <v>1484245</v>
      </c>
      <c r="I88" s="25"/>
      <c r="J88" s="22">
        <f>INDEX(Notes!$I$2:$N$11,MATCH(Notes!$B$2,Notes!$I$2:$I$11,0),4)*$C88</f>
        <v>2986996</v>
      </c>
      <c r="K88" s="22">
        <f>INDEX(Notes!$I$2:$N$11,MATCH(Notes!$B$2,Notes!$I$2:$I$11,0),5)*$D88</f>
        <v>1484246</v>
      </c>
      <c r="L88" s="22">
        <f>INDEX(Notes!$I$2:$N$11,MATCH(Notes!$B$2,Notes!$I$2:$I$11,0),6)*$E88</f>
        <v>1484244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742122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880708</v>
      </c>
      <c r="D89" s="163">
        <f>INDEX(Data[],MATCH($A89,Data[Dist],0),MATCH(D$6,Data[#Headers],0))</f>
        <v>874582</v>
      </c>
      <c r="E89" s="163">
        <f>INDEX(Data[],MATCH($A89,Data[Dist],0),MATCH(E$6,Data[#Headers],0))</f>
        <v>874582</v>
      </c>
      <c r="F89" s="163">
        <f>INDEX(Data[],MATCH($A89,Data[Dist],0),MATCH(F$6,Data[#Headers],0))</f>
        <v>874583</v>
      </c>
      <c r="G89" s="22">
        <f>INDEX(Data[],MATCH($A89,Data[Dist],0),MATCH(G$6,Data[#Headers],0))</f>
        <v>7021160</v>
      </c>
      <c r="H89" s="22">
        <f>INDEX(Data[],MATCH($A89,Data[Dist],0),MATCH(H$6,Data[#Headers],0))-G89</f>
        <v>1749165</v>
      </c>
      <c r="I89" s="25"/>
      <c r="J89" s="22">
        <f>INDEX(Notes!$I$2:$N$11,MATCH(Notes!$B$2,Notes!$I$2:$I$11,0),4)*$C89</f>
        <v>3522832</v>
      </c>
      <c r="K89" s="22">
        <f>INDEX(Notes!$I$2:$N$11,MATCH(Notes!$B$2,Notes!$I$2:$I$11,0),5)*$D89</f>
        <v>1749164</v>
      </c>
      <c r="L89" s="22">
        <f>INDEX(Notes!$I$2:$N$11,MATCH(Notes!$B$2,Notes!$I$2:$I$11,0),6)*$E89</f>
        <v>1749164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874582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135196</v>
      </c>
      <c r="D90" s="163">
        <f>INDEX(Data[],MATCH($A90,Data[Dist],0),MATCH(D$6,Data[#Headers],0))</f>
        <v>134357</v>
      </c>
      <c r="E90" s="163">
        <f>INDEX(Data[],MATCH($A90,Data[Dist],0),MATCH(E$6,Data[#Headers],0))</f>
        <v>134358</v>
      </c>
      <c r="F90" s="163">
        <f>INDEX(Data[],MATCH($A90,Data[Dist],0),MATCH(F$6,Data[#Headers],0))</f>
        <v>134356</v>
      </c>
      <c r="G90" s="22">
        <f>INDEX(Data[],MATCH($A90,Data[Dist],0),MATCH(G$6,Data[#Headers],0))</f>
        <v>1078214</v>
      </c>
      <c r="H90" s="22">
        <f>INDEX(Data[],MATCH($A90,Data[Dist],0),MATCH(H$6,Data[#Headers],0))-G90</f>
        <v>268714</v>
      </c>
      <c r="I90" s="25"/>
      <c r="J90" s="22">
        <f>INDEX(Notes!$I$2:$N$11,MATCH(Notes!$B$2,Notes!$I$2:$I$11,0),4)*$C90</f>
        <v>540784</v>
      </c>
      <c r="K90" s="22">
        <f>INDEX(Notes!$I$2:$N$11,MATCH(Notes!$B$2,Notes!$I$2:$I$11,0),5)*$D90</f>
        <v>268714</v>
      </c>
      <c r="L90" s="22">
        <f>INDEX(Notes!$I$2:$N$11,MATCH(Notes!$B$2,Notes!$I$2:$I$11,0),6)*$E90</f>
        <v>268716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134358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1665516</v>
      </c>
      <c r="D91" s="163">
        <f>INDEX(Data[],MATCH($A91,Data[Dist],0),MATCH(D$6,Data[#Headers],0))</f>
        <v>1657326</v>
      </c>
      <c r="E91" s="163">
        <f>INDEX(Data[],MATCH($A91,Data[Dist],0),MATCH(E$6,Data[#Headers],0))</f>
        <v>1622767</v>
      </c>
      <c r="F91" s="163">
        <f>INDEX(Data[],MATCH($A91,Data[Dist],0),MATCH(F$6,Data[#Headers],0))</f>
        <v>1622765</v>
      </c>
      <c r="G91" s="22">
        <f>INDEX(Data[],MATCH($A91,Data[Dist],0),MATCH(G$6,Data[#Headers],0))</f>
        <v>13222250</v>
      </c>
      <c r="H91" s="22">
        <f>INDEX(Data[],MATCH($A91,Data[Dist],0),MATCH(H$6,Data[#Headers],0))-G91</f>
        <v>3245532</v>
      </c>
      <c r="I91" s="25"/>
      <c r="J91" s="22">
        <f>INDEX(Notes!$I$2:$N$11,MATCH(Notes!$B$2,Notes!$I$2:$I$11,0),4)*$C91</f>
        <v>6662064</v>
      </c>
      <c r="K91" s="22">
        <f>INDEX(Notes!$I$2:$N$11,MATCH(Notes!$B$2,Notes!$I$2:$I$11,0),5)*$D91</f>
        <v>3314652</v>
      </c>
      <c r="L91" s="22">
        <f>INDEX(Notes!$I$2:$N$11,MATCH(Notes!$B$2,Notes!$I$2:$I$11,0),6)*$E91</f>
        <v>3245534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1622767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580481</v>
      </c>
      <c r="D92" s="163">
        <f>INDEX(Data[],MATCH($A92,Data[Dist],0),MATCH(D$6,Data[#Headers],0))</f>
        <v>577131</v>
      </c>
      <c r="E92" s="163">
        <f>INDEX(Data[],MATCH($A92,Data[Dist],0),MATCH(E$6,Data[#Headers],0))</f>
        <v>577132</v>
      </c>
      <c r="F92" s="163">
        <f>INDEX(Data[],MATCH($A92,Data[Dist],0),MATCH(F$6,Data[#Headers],0))</f>
        <v>577130</v>
      </c>
      <c r="G92" s="22">
        <f>INDEX(Data[],MATCH($A92,Data[Dist],0),MATCH(G$6,Data[#Headers],0))</f>
        <v>4630450</v>
      </c>
      <c r="H92" s="22">
        <f>INDEX(Data[],MATCH($A92,Data[Dist],0),MATCH(H$6,Data[#Headers],0))-G92</f>
        <v>1154262</v>
      </c>
      <c r="I92" s="25"/>
      <c r="J92" s="22">
        <f>INDEX(Notes!$I$2:$N$11,MATCH(Notes!$B$2,Notes!$I$2:$I$11,0),4)*$C92</f>
        <v>2321924</v>
      </c>
      <c r="K92" s="22">
        <f>INDEX(Notes!$I$2:$N$11,MATCH(Notes!$B$2,Notes!$I$2:$I$11,0),5)*$D92</f>
        <v>1154262</v>
      </c>
      <c r="L92" s="22">
        <f>INDEX(Notes!$I$2:$N$11,MATCH(Notes!$B$2,Notes!$I$2:$I$11,0),6)*$E92</f>
        <v>1154264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577132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24832185</v>
      </c>
      <c r="D93" s="163">
        <f>INDEX(Data[],MATCH($A93,Data[Dist],0),MATCH(D$6,Data[#Headers],0))</f>
        <v>24706998</v>
      </c>
      <c r="E93" s="163">
        <f>INDEX(Data[],MATCH($A93,Data[Dist],0),MATCH(E$6,Data[#Headers],0))</f>
        <v>24706997</v>
      </c>
      <c r="F93" s="163">
        <f>INDEX(Data[],MATCH($A93,Data[Dist],0),MATCH(F$6,Data[#Headers],0))</f>
        <v>24706998</v>
      </c>
      <c r="G93" s="22">
        <f>INDEX(Data[],MATCH($A93,Data[Dist],0),MATCH(G$6,Data[#Headers],0))</f>
        <v>198156730</v>
      </c>
      <c r="H93" s="22">
        <f>INDEX(Data[],MATCH($A93,Data[Dist],0),MATCH(H$6,Data[#Headers],0))-G93</f>
        <v>49413995</v>
      </c>
      <c r="I93" s="25"/>
      <c r="J93" s="22">
        <f>INDEX(Notes!$I$2:$N$11,MATCH(Notes!$B$2,Notes!$I$2:$I$11,0),4)*$C93</f>
        <v>99328740</v>
      </c>
      <c r="K93" s="22">
        <f>INDEX(Notes!$I$2:$N$11,MATCH(Notes!$B$2,Notes!$I$2:$I$11,0),5)*$D93</f>
        <v>49413996</v>
      </c>
      <c r="L93" s="22">
        <f>INDEX(Notes!$I$2:$N$11,MATCH(Notes!$B$2,Notes!$I$2:$I$11,0),6)*$E93</f>
        <v>49413994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24706997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76794</v>
      </c>
      <c r="D94" s="163">
        <f>INDEX(Data[],MATCH($A94,Data[Dist],0),MATCH(D$6,Data[#Headers],0))</f>
        <v>76390</v>
      </c>
      <c r="E94" s="163">
        <f>INDEX(Data[],MATCH($A94,Data[Dist],0),MATCH(E$6,Data[#Headers],0))</f>
        <v>76390</v>
      </c>
      <c r="F94" s="163">
        <f>INDEX(Data[],MATCH($A94,Data[Dist],0),MATCH(F$6,Data[#Headers],0))</f>
        <v>76389</v>
      </c>
      <c r="G94" s="22">
        <f>INDEX(Data[],MATCH($A94,Data[Dist],0),MATCH(G$6,Data[#Headers],0))</f>
        <v>612736</v>
      </c>
      <c r="H94" s="22">
        <f>INDEX(Data[],MATCH($A94,Data[Dist],0),MATCH(H$6,Data[#Headers],0))-G94</f>
        <v>152779</v>
      </c>
      <c r="I94" s="25"/>
      <c r="J94" s="22">
        <f>INDEX(Notes!$I$2:$N$11,MATCH(Notes!$B$2,Notes!$I$2:$I$11,0),4)*$C94</f>
        <v>307176</v>
      </c>
      <c r="K94" s="22">
        <f>INDEX(Notes!$I$2:$N$11,MATCH(Notes!$B$2,Notes!$I$2:$I$11,0),5)*$D94</f>
        <v>152780</v>
      </c>
      <c r="L94" s="22">
        <f>INDEX(Notes!$I$2:$N$11,MATCH(Notes!$B$2,Notes!$I$2:$I$11,0),6)*$E94</f>
        <v>152780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76390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581274</v>
      </c>
      <c r="D95" s="163">
        <f>INDEX(Data[],MATCH($A95,Data[Dist],0),MATCH(D$6,Data[#Headers],0))</f>
        <v>577836</v>
      </c>
      <c r="E95" s="163">
        <f>INDEX(Data[],MATCH($A95,Data[Dist],0),MATCH(E$6,Data[#Headers],0))</f>
        <v>577835</v>
      </c>
      <c r="F95" s="163">
        <f>INDEX(Data[],MATCH($A95,Data[Dist],0),MATCH(F$6,Data[#Headers],0))</f>
        <v>577836</v>
      </c>
      <c r="G95" s="22">
        <f>INDEX(Data[],MATCH($A95,Data[Dist],0),MATCH(G$6,Data[#Headers],0))</f>
        <v>4636438</v>
      </c>
      <c r="H95" s="22">
        <f>INDEX(Data[],MATCH($A95,Data[Dist],0),MATCH(H$6,Data[#Headers],0))-G95</f>
        <v>1155671</v>
      </c>
      <c r="I95" s="25"/>
      <c r="J95" s="22">
        <f>INDEX(Notes!$I$2:$N$11,MATCH(Notes!$B$2,Notes!$I$2:$I$11,0),4)*$C95</f>
        <v>2325096</v>
      </c>
      <c r="K95" s="22">
        <f>INDEX(Notes!$I$2:$N$11,MATCH(Notes!$B$2,Notes!$I$2:$I$11,0),5)*$D95</f>
        <v>1155672</v>
      </c>
      <c r="L95" s="22">
        <f>INDEX(Notes!$I$2:$N$11,MATCH(Notes!$B$2,Notes!$I$2:$I$11,0),6)*$E95</f>
        <v>1155670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577835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7015124</v>
      </c>
      <c r="D96" s="163">
        <f>INDEX(Data[],MATCH($A96,Data[Dist],0),MATCH(D$6,Data[#Headers],0))</f>
        <v>6974309</v>
      </c>
      <c r="E96" s="163">
        <f>INDEX(Data[],MATCH($A96,Data[Dist],0),MATCH(E$6,Data[#Headers],0))</f>
        <v>6974309</v>
      </c>
      <c r="F96" s="163">
        <f>INDEX(Data[],MATCH($A96,Data[Dist],0),MATCH(F$6,Data[#Headers],0))</f>
        <v>6974309</v>
      </c>
      <c r="G96" s="22">
        <f>INDEX(Data[],MATCH($A96,Data[Dist],0),MATCH(G$6,Data[#Headers],0))</f>
        <v>55957732</v>
      </c>
      <c r="H96" s="22">
        <f>INDEX(Data[],MATCH($A96,Data[Dist],0),MATCH(H$6,Data[#Headers],0))-G96</f>
        <v>13948618</v>
      </c>
      <c r="I96" s="25"/>
      <c r="J96" s="22">
        <f>INDEX(Notes!$I$2:$N$11,MATCH(Notes!$B$2,Notes!$I$2:$I$11,0),4)*$C96</f>
        <v>28060496</v>
      </c>
      <c r="K96" s="22">
        <f>INDEX(Notes!$I$2:$N$11,MATCH(Notes!$B$2,Notes!$I$2:$I$11,0),5)*$D96</f>
        <v>13948618</v>
      </c>
      <c r="L96" s="22">
        <f>INDEX(Notes!$I$2:$N$11,MATCH(Notes!$B$2,Notes!$I$2:$I$11,0),6)*$E96</f>
        <v>13948618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6974309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239974</v>
      </c>
      <c r="D97" s="163">
        <f>INDEX(Data[],MATCH($A97,Data[Dist],0),MATCH(D$6,Data[#Headers],0))</f>
        <v>238476</v>
      </c>
      <c r="E97" s="163">
        <f>INDEX(Data[],MATCH($A97,Data[Dist],0),MATCH(E$6,Data[#Headers],0))</f>
        <v>238476</v>
      </c>
      <c r="F97" s="163">
        <f>INDEX(Data[],MATCH($A97,Data[Dist],0),MATCH(F$6,Data[#Headers],0))</f>
        <v>238474</v>
      </c>
      <c r="G97" s="22">
        <f>INDEX(Data[],MATCH($A97,Data[Dist],0),MATCH(G$6,Data[#Headers],0))</f>
        <v>1913800</v>
      </c>
      <c r="H97" s="22">
        <f>INDEX(Data[],MATCH($A97,Data[Dist],0),MATCH(H$6,Data[#Headers],0))-G97</f>
        <v>476950</v>
      </c>
      <c r="I97" s="25"/>
      <c r="J97" s="22">
        <f>INDEX(Notes!$I$2:$N$11,MATCH(Notes!$B$2,Notes!$I$2:$I$11,0),4)*$C97</f>
        <v>959896</v>
      </c>
      <c r="K97" s="22">
        <f>INDEX(Notes!$I$2:$N$11,MATCH(Notes!$B$2,Notes!$I$2:$I$11,0),5)*$D97</f>
        <v>476952</v>
      </c>
      <c r="L97" s="22">
        <f>INDEX(Notes!$I$2:$N$11,MATCH(Notes!$B$2,Notes!$I$2:$I$11,0),6)*$E97</f>
        <v>476952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238476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221171</v>
      </c>
      <c r="D98" s="163">
        <f>INDEX(Data[],MATCH($A98,Data[Dist],0),MATCH(D$6,Data[#Headers],0))</f>
        <v>219641</v>
      </c>
      <c r="E98" s="163">
        <f>INDEX(Data[],MATCH($A98,Data[Dist],0),MATCH(E$6,Data[#Headers],0))</f>
        <v>217862</v>
      </c>
      <c r="F98" s="163">
        <f>INDEX(Data[],MATCH($A98,Data[Dist],0),MATCH(F$6,Data[#Headers],0))</f>
        <v>217862</v>
      </c>
      <c r="G98" s="22">
        <f>INDEX(Data[],MATCH($A98,Data[Dist],0),MATCH(G$6,Data[#Headers],0))</f>
        <v>1759690</v>
      </c>
      <c r="H98" s="22">
        <f>INDEX(Data[],MATCH($A98,Data[Dist],0),MATCH(H$6,Data[#Headers],0))-G98</f>
        <v>435724</v>
      </c>
      <c r="I98" s="25"/>
      <c r="J98" s="22">
        <f>INDEX(Notes!$I$2:$N$11,MATCH(Notes!$B$2,Notes!$I$2:$I$11,0),4)*$C98</f>
        <v>884684</v>
      </c>
      <c r="K98" s="22">
        <f>INDEX(Notes!$I$2:$N$11,MATCH(Notes!$B$2,Notes!$I$2:$I$11,0),5)*$D98</f>
        <v>439282</v>
      </c>
      <c r="L98" s="22">
        <f>INDEX(Notes!$I$2:$N$11,MATCH(Notes!$B$2,Notes!$I$2:$I$11,0),6)*$E98</f>
        <v>435724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217862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319734</v>
      </c>
      <c r="D99" s="163">
        <f>INDEX(Data[],MATCH($A99,Data[Dist],0),MATCH(D$6,Data[#Headers],0))</f>
        <v>317633</v>
      </c>
      <c r="E99" s="163">
        <f>INDEX(Data[],MATCH($A99,Data[Dist],0),MATCH(E$6,Data[#Headers],0))</f>
        <v>317633</v>
      </c>
      <c r="F99" s="163">
        <f>INDEX(Data[],MATCH($A99,Data[Dist],0),MATCH(F$6,Data[#Headers],0))</f>
        <v>317633</v>
      </c>
      <c r="G99" s="22">
        <f>INDEX(Data[],MATCH($A99,Data[Dist],0),MATCH(G$6,Data[#Headers],0))</f>
        <v>2549468</v>
      </c>
      <c r="H99" s="22">
        <f>INDEX(Data[],MATCH($A99,Data[Dist],0),MATCH(H$6,Data[#Headers],0))-G99</f>
        <v>635266</v>
      </c>
      <c r="I99" s="25"/>
      <c r="J99" s="22">
        <f>INDEX(Notes!$I$2:$N$11,MATCH(Notes!$B$2,Notes!$I$2:$I$11,0),4)*$C99</f>
        <v>1278936</v>
      </c>
      <c r="K99" s="22">
        <f>INDEX(Notes!$I$2:$N$11,MATCH(Notes!$B$2,Notes!$I$2:$I$11,0),5)*$D99</f>
        <v>635266</v>
      </c>
      <c r="L99" s="22">
        <f>INDEX(Notes!$I$2:$N$11,MATCH(Notes!$B$2,Notes!$I$2:$I$11,0),6)*$E99</f>
        <v>635266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317633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623930</v>
      </c>
      <c r="D100" s="163">
        <f>INDEX(Data[],MATCH($A100,Data[Dist],0),MATCH(D$6,Data[#Headers],0))</f>
        <v>620000</v>
      </c>
      <c r="E100" s="163">
        <f>INDEX(Data[],MATCH($A100,Data[Dist],0),MATCH(E$6,Data[#Headers],0))</f>
        <v>620000</v>
      </c>
      <c r="F100" s="163">
        <f>INDEX(Data[],MATCH($A100,Data[Dist],0),MATCH(F$6,Data[#Headers],0))</f>
        <v>620001</v>
      </c>
      <c r="G100" s="22">
        <f>INDEX(Data[],MATCH($A100,Data[Dist],0),MATCH(G$6,Data[#Headers],0))</f>
        <v>4975720</v>
      </c>
      <c r="H100" s="22">
        <f>INDEX(Data[],MATCH($A100,Data[Dist],0),MATCH(H$6,Data[#Headers],0))-G100</f>
        <v>1240001</v>
      </c>
      <c r="I100" s="25"/>
      <c r="J100" s="22">
        <f>INDEX(Notes!$I$2:$N$11,MATCH(Notes!$B$2,Notes!$I$2:$I$11,0),4)*$C100</f>
        <v>2495720</v>
      </c>
      <c r="K100" s="22">
        <f>INDEX(Notes!$I$2:$N$11,MATCH(Notes!$B$2,Notes!$I$2:$I$11,0),5)*$D100</f>
        <v>1240000</v>
      </c>
      <c r="L100" s="22">
        <f>INDEX(Notes!$I$2:$N$11,MATCH(Notes!$B$2,Notes!$I$2:$I$11,0),6)*$E100</f>
        <v>1240000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620000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692846</v>
      </c>
      <c r="D101" s="163">
        <f>INDEX(Data[],MATCH($A101,Data[Dist],0),MATCH(D$6,Data[#Headers],0))</f>
        <v>689098</v>
      </c>
      <c r="E101" s="163">
        <f>INDEX(Data[],MATCH($A101,Data[Dist],0),MATCH(E$6,Data[#Headers],0))</f>
        <v>689099</v>
      </c>
      <c r="F101" s="163">
        <f>INDEX(Data[],MATCH($A101,Data[Dist],0),MATCH(F$6,Data[#Headers],0))</f>
        <v>689097</v>
      </c>
      <c r="G101" s="22">
        <f>INDEX(Data[],MATCH($A101,Data[Dist],0),MATCH(G$6,Data[#Headers],0))</f>
        <v>5527778</v>
      </c>
      <c r="H101" s="22">
        <f>INDEX(Data[],MATCH($A101,Data[Dist],0),MATCH(H$6,Data[#Headers],0))-G101</f>
        <v>1378196</v>
      </c>
      <c r="I101" s="25"/>
      <c r="J101" s="22">
        <f>INDEX(Notes!$I$2:$N$11,MATCH(Notes!$B$2,Notes!$I$2:$I$11,0),4)*$C101</f>
        <v>2771384</v>
      </c>
      <c r="K101" s="22">
        <f>INDEX(Notes!$I$2:$N$11,MATCH(Notes!$B$2,Notes!$I$2:$I$11,0),5)*$D101</f>
        <v>1378196</v>
      </c>
      <c r="L101" s="22">
        <f>INDEX(Notes!$I$2:$N$11,MATCH(Notes!$B$2,Notes!$I$2:$I$11,0),6)*$E101</f>
        <v>1378198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689099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377521</v>
      </c>
      <c r="D102" s="163">
        <f>INDEX(Data[],MATCH($A102,Data[Dist],0),MATCH(D$6,Data[#Headers],0))</f>
        <v>375236</v>
      </c>
      <c r="E102" s="163">
        <f>INDEX(Data[],MATCH($A102,Data[Dist],0),MATCH(E$6,Data[#Headers],0))</f>
        <v>375236</v>
      </c>
      <c r="F102" s="163">
        <f>INDEX(Data[],MATCH($A102,Data[Dist],0),MATCH(F$6,Data[#Headers],0))</f>
        <v>375235</v>
      </c>
      <c r="G102" s="22">
        <f>INDEX(Data[],MATCH($A102,Data[Dist],0),MATCH(G$6,Data[#Headers],0))</f>
        <v>3011028</v>
      </c>
      <c r="H102" s="22">
        <f>INDEX(Data[],MATCH($A102,Data[Dist],0),MATCH(H$6,Data[#Headers],0))-G102</f>
        <v>750471</v>
      </c>
      <c r="I102" s="25"/>
      <c r="J102" s="22">
        <f>INDEX(Notes!$I$2:$N$11,MATCH(Notes!$B$2,Notes!$I$2:$I$11,0),4)*$C102</f>
        <v>1510084</v>
      </c>
      <c r="K102" s="22">
        <f>INDEX(Notes!$I$2:$N$11,MATCH(Notes!$B$2,Notes!$I$2:$I$11,0),5)*$D102</f>
        <v>750472</v>
      </c>
      <c r="L102" s="22">
        <f>INDEX(Notes!$I$2:$N$11,MATCH(Notes!$B$2,Notes!$I$2:$I$11,0),6)*$E102</f>
        <v>750472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375236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376409</v>
      </c>
      <c r="D103" s="163">
        <f>INDEX(Data[],MATCH($A103,Data[Dist],0),MATCH(D$6,Data[#Headers],0))</f>
        <v>374218</v>
      </c>
      <c r="E103" s="163">
        <f>INDEX(Data[],MATCH($A103,Data[Dist],0),MATCH(E$6,Data[#Headers],0))</f>
        <v>374217</v>
      </c>
      <c r="F103" s="163">
        <f>INDEX(Data[],MATCH($A103,Data[Dist],0),MATCH(F$6,Data[#Headers],0))</f>
        <v>374218</v>
      </c>
      <c r="G103" s="22">
        <f>INDEX(Data[],MATCH($A103,Data[Dist],0),MATCH(G$6,Data[#Headers],0))</f>
        <v>3002506</v>
      </c>
      <c r="H103" s="22">
        <f>INDEX(Data[],MATCH($A103,Data[Dist],0),MATCH(H$6,Data[#Headers],0))-G103</f>
        <v>748435</v>
      </c>
      <c r="I103" s="25"/>
      <c r="J103" s="22">
        <f>INDEX(Notes!$I$2:$N$11,MATCH(Notes!$B$2,Notes!$I$2:$I$11,0),4)*$C103</f>
        <v>1505636</v>
      </c>
      <c r="K103" s="22">
        <f>INDEX(Notes!$I$2:$N$11,MATCH(Notes!$B$2,Notes!$I$2:$I$11,0),5)*$D103</f>
        <v>748436</v>
      </c>
      <c r="L103" s="22">
        <f>INDEX(Notes!$I$2:$N$11,MATCH(Notes!$B$2,Notes!$I$2:$I$11,0),6)*$E103</f>
        <v>748434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374217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370910</v>
      </c>
      <c r="D104" s="163">
        <f>INDEX(Data[],MATCH($A104,Data[Dist],0),MATCH(D$6,Data[#Headers],0))</f>
        <v>368681</v>
      </c>
      <c r="E104" s="163">
        <f>INDEX(Data[],MATCH($A104,Data[Dist],0),MATCH(E$6,Data[#Headers],0))</f>
        <v>368682</v>
      </c>
      <c r="F104" s="163">
        <f>INDEX(Data[],MATCH($A104,Data[Dist],0),MATCH(F$6,Data[#Headers],0))</f>
        <v>368680</v>
      </c>
      <c r="G104" s="22">
        <f>INDEX(Data[],MATCH($A104,Data[Dist],0),MATCH(G$6,Data[#Headers],0))</f>
        <v>2958366</v>
      </c>
      <c r="H104" s="22">
        <f>INDEX(Data[],MATCH($A104,Data[Dist],0),MATCH(H$6,Data[#Headers],0))-G104</f>
        <v>737362</v>
      </c>
      <c r="I104" s="25"/>
      <c r="J104" s="22">
        <f>INDEX(Notes!$I$2:$N$11,MATCH(Notes!$B$2,Notes!$I$2:$I$11,0),4)*$C104</f>
        <v>1483640</v>
      </c>
      <c r="K104" s="22">
        <f>INDEX(Notes!$I$2:$N$11,MATCH(Notes!$B$2,Notes!$I$2:$I$11,0),5)*$D104</f>
        <v>737362</v>
      </c>
      <c r="L104" s="22">
        <f>INDEX(Notes!$I$2:$N$11,MATCH(Notes!$B$2,Notes!$I$2:$I$11,0),6)*$E104</f>
        <v>737364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368682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353537</v>
      </c>
      <c r="D105" s="163">
        <f>INDEX(Data[],MATCH($A105,Data[Dist],0),MATCH(D$6,Data[#Headers],0))</f>
        <v>351537</v>
      </c>
      <c r="E105" s="163">
        <f>INDEX(Data[],MATCH($A105,Data[Dist],0),MATCH(E$6,Data[#Headers],0))</f>
        <v>351537</v>
      </c>
      <c r="F105" s="163">
        <f>INDEX(Data[],MATCH($A105,Data[Dist],0),MATCH(F$6,Data[#Headers],0))</f>
        <v>351538</v>
      </c>
      <c r="G105" s="22">
        <f>INDEX(Data[],MATCH($A105,Data[Dist],0),MATCH(G$6,Data[#Headers],0))</f>
        <v>2820296</v>
      </c>
      <c r="H105" s="22">
        <f>INDEX(Data[],MATCH($A105,Data[Dist],0),MATCH(H$6,Data[#Headers],0))-G105</f>
        <v>703075</v>
      </c>
      <c r="I105" s="25"/>
      <c r="J105" s="22">
        <f>INDEX(Notes!$I$2:$N$11,MATCH(Notes!$B$2,Notes!$I$2:$I$11,0),4)*$C105</f>
        <v>1414148</v>
      </c>
      <c r="K105" s="22">
        <f>INDEX(Notes!$I$2:$N$11,MATCH(Notes!$B$2,Notes!$I$2:$I$11,0),5)*$D105</f>
        <v>703074</v>
      </c>
      <c r="L105" s="22">
        <f>INDEX(Notes!$I$2:$N$11,MATCH(Notes!$B$2,Notes!$I$2:$I$11,0),6)*$E105</f>
        <v>703074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351537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161200</v>
      </c>
      <c r="D106" s="163">
        <f>INDEX(Data[],MATCH($A106,Data[Dist],0),MATCH(D$6,Data[#Headers],0))</f>
        <v>159925</v>
      </c>
      <c r="E106" s="163">
        <f>INDEX(Data[],MATCH($A106,Data[Dist],0),MATCH(E$6,Data[#Headers],0))</f>
        <v>159925</v>
      </c>
      <c r="F106" s="163">
        <f>INDEX(Data[],MATCH($A106,Data[Dist],0),MATCH(F$6,Data[#Headers],0))</f>
        <v>159926</v>
      </c>
      <c r="G106" s="22">
        <f>INDEX(Data[],MATCH($A106,Data[Dist],0),MATCH(G$6,Data[#Headers],0))</f>
        <v>1284500</v>
      </c>
      <c r="H106" s="22">
        <f>INDEX(Data[],MATCH($A106,Data[Dist],0),MATCH(H$6,Data[#Headers],0))-G106</f>
        <v>319851</v>
      </c>
      <c r="I106" s="25"/>
      <c r="J106" s="22">
        <f>INDEX(Notes!$I$2:$N$11,MATCH(Notes!$B$2,Notes!$I$2:$I$11,0),4)*$C106</f>
        <v>644800</v>
      </c>
      <c r="K106" s="22">
        <f>INDEX(Notes!$I$2:$N$11,MATCH(Notes!$B$2,Notes!$I$2:$I$11,0),5)*$D106</f>
        <v>319850</v>
      </c>
      <c r="L106" s="22">
        <f>INDEX(Notes!$I$2:$N$11,MATCH(Notes!$B$2,Notes!$I$2:$I$11,0),6)*$E106</f>
        <v>319850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159925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228397</v>
      </c>
      <c r="D107" s="163">
        <f>INDEX(Data[],MATCH($A107,Data[Dist],0),MATCH(D$6,Data[#Headers],0))</f>
        <v>226785</v>
      </c>
      <c r="E107" s="163">
        <f>INDEX(Data[],MATCH($A107,Data[Dist],0),MATCH(E$6,Data[#Headers],0))</f>
        <v>225449</v>
      </c>
      <c r="F107" s="163">
        <f>INDEX(Data[],MATCH($A107,Data[Dist],0),MATCH(F$6,Data[#Headers],0))</f>
        <v>225447</v>
      </c>
      <c r="G107" s="22">
        <f>INDEX(Data[],MATCH($A107,Data[Dist],0),MATCH(G$6,Data[#Headers],0))</f>
        <v>1818056</v>
      </c>
      <c r="H107" s="22">
        <f>INDEX(Data[],MATCH($A107,Data[Dist],0),MATCH(H$6,Data[#Headers],0))-G107</f>
        <v>450896</v>
      </c>
      <c r="I107" s="25"/>
      <c r="J107" s="22">
        <f>INDEX(Notes!$I$2:$N$11,MATCH(Notes!$B$2,Notes!$I$2:$I$11,0),4)*$C107</f>
        <v>913588</v>
      </c>
      <c r="K107" s="22">
        <f>INDEX(Notes!$I$2:$N$11,MATCH(Notes!$B$2,Notes!$I$2:$I$11,0),5)*$D107</f>
        <v>453570</v>
      </c>
      <c r="L107" s="22">
        <f>INDEX(Notes!$I$2:$N$11,MATCH(Notes!$B$2,Notes!$I$2:$I$11,0),6)*$E107</f>
        <v>450898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225449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251346</v>
      </c>
      <c r="D108" s="163">
        <f>INDEX(Data[],MATCH($A108,Data[Dist],0),MATCH(D$6,Data[#Headers],0))</f>
        <v>249759</v>
      </c>
      <c r="E108" s="163">
        <f>INDEX(Data[],MATCH($A108,Data[Dist],0),MATCH(E$6,Data[#Headers],0))</f>
        <v>249759</v>
      </c>
      <c r="F108" s="163">
        <f>INDEX(Data[],MATCH($A108,Data[Dist],0),MATCH(F$6,Data[#Headers],0))</f>
        <v>249757</v>
      </c>
      <c r="G108" s="22">
        <f>INDEX(Data[],MATCH($A108,Data[Dist],0),MATCH(G$6,Data[#Headers],0))</f>
        <v>2004420</v>
      </c>
      <c r="H108" s="22">
        <f>INDEX(Data[],MATCH($A108,Data[Dist],0),MATCH(H$6,Data[#Headers],0))-G108</f>
        <v>499516</v>
      </c>
      <c r="I108" s="25"/>
      <c r="J108" s="22">
        <f>INDEX(Notes!$I$2:$N$11,MATCH(Notes!$B$2,Notes!$I$2:$I$11,0),4)*$C108</f>
        <v>1005384</v>
      </c>
      <c r="K108" s="22">
        <f>INDEX(Notes!$I$2:$N$11,MATCH(Notes!$B$2,Notes!$I$2:$I$11,0),5)*$D108</f>
        <v>499518</v>
      </c>
      <c r="L108" s="22">
        <f>INDEX(Notes!$I$2:$N$11,MATCH(Notes!$B$2,Notes!$I$2:$I$11,0),6)*$E108</f>
        <v>499518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249759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401579</v>
      </c>
      <c r="D109" s="163">
        <f>INDEX(Data[],MATCH($A109,Data[Dist],0),MATCH(D$6,Data[#Headers],0))</f>
        <v>399311</v>
      </c>
      <c r="E109" s="163">
        <f>INDEX(Data[],MATCH($A109,Data[Dist],0),MATCH(E$6,Data[#Headers],0))</f>
        <v>399311</v>
      </c>
      <c r="F109" s="163">
        <f>INDEX(Data[],MATCH($A109,Data[Dist],0),MATCH(F$6,Data[#Headers],0))</f>
        <v>399310</v>
      </c>
      <c r="G109" s="22">
        <f>INDEX(Data[],MATCH($A109,Data[Dist],0),MATCH(G$6,Data[#Headers],0))</f>
        <v>3203560</v>
      </c>
      <c r="H109" s="22">
        <f>INDEX(Data[],MATCH($A109,Data[Dist],0),MATCH(H$6,Data[#Headers],0))-G109</f>
        <v>798621</v>
      </c>
      <c r="I109" s="25"/>
      <c r="J109" s="22">
        <f>INDEX(Notes!$I$2:$N$11,MATCH(Notes!$B$2,Notes!$I$2:$I$11,0),4)*$C109</f>
        <v>1606316</v>
      </c>
      <c r="K109" s="22">
        <f>INDEX(Notes!$I$2:$N$11,MATCH(Notes!$B$2,Notes!$I$2:$I$11,0),5)*$D109</f>
        <v>798622</v>
      </c>
      <c r="L109" s="22">
        <f>INDEX(Notes!$I$2:$N$11,MATCH(Notes!$B$2,Notes!$I$2:$I$11,0),6)*$E109</f>
        <v>798622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399311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367095</v>
      </c>
      <c r="D110" s="163">
        <f>INDEX(Data[],MATCH($A110,Data[Dist],0),MATCH(D$6,Data[#Headers],0))</f>
        <v>364511</v>
      </c>
      <c r="E110" s="163">
        <f>INDEX(Data[],MATCH($A110,Data[Dist],0),MATCH(E$6,Data[#Headers],0))</f>
        <v>364510</v>
      </c>
      <c r="F110" s="163">
        <f>INDEX(Data[],MATCH($A110,Data[Dist],0),MATCH(F$6,Data[#Headers],0))</f>
        <v>364511</v>
      </c>
      <c r="G110" s="22">
        <f>INDEX(Data[],MATCH($A110,Data[Dist],0),MATCH(G$6,Data[#Headers],0))</f>
        <v>2926422</v>
      </c>
      <c r="H110" s="22">
        <f>INDEX(Data[],MATCH($A110,Data[Dist],0),MATCH(H$6,Data[#Headers],0))-G110</f>
        <v>729021</v>
      </c>
      <c r="I110" s="25"/>
      <c r="J110" s="22">
        <f>INDEX(Notes!$I$2:$N$11,MATCH(Notes!$B$2,Notes!$I$2:$I$11,0),4)*$C110</f>
        <v>1468380</v>
      </c>
      <c r="K110" s="22">
        <f>INDEX(Notes!$I$2:$N$11,MATCH(Notes!$B$2,Notes!$I$2:$I$11,0),5)*$D110</f>
        <v>729022</v>
      </c>
      <c r="L110" s="22">
        <f>INDEX(Notes!$I$2:$N$11,MATCH(Notes!$B$2,Notes!$I$2:$I$11,0),6)*$E110</f>
        <v>729020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364510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296391</v>
      </c>
      <c r="D111" s="163">
        <f>INDEX(Data[],MATCH($A111,Data[Dist],0),MATCH(D$6,Data[#Headers],0))</f>
        <v>294518</v>
      </c>
      <c r="E111" s="163">
        <f>INDEX(Data[],MATCH($A111,Data[Dist],0),MATCH(E$6,Data[#Headers],0))</f>
        <v>294518</v>
      </c>
      <c r="F111" s="163">
        <f>INDEX(Data[],MATCH($A111,Data[Dist],0),MATCH(F$6,Data[#Headers],0))</f>
        <v>294519</v>
      </c>
      <c r="G111" s="22">
        <f>INDEX(Data[],MATCH($A111,Data[Dist],0),MATCH(G$6,Data[#Headers],0))</f>
        <v>2363636</v>
      </c>
      <c r="H111" s="22">
        <f>INDEX(Data[],MATCH($A111,Data[Dist],0),MATCH(H$6,Data[#Headers],0))-G111</f>
        <v>589037</v>
      </c>
      <c r="I111" s="25"/>
      <c r="J111" s="22">
        <f>INDEX(Notes!$I$2:$N$11,MATCH(Notes!$B$2,Notes!$I$2:$I$11,0),4)*$C111</f>
        <v>1185564</v>
      </c>
      <c r="K111" s="22">
        <f>INDEX(Notes!$I$2:$N$11,MATCH(Notes!$B$2,Notes!$I$2:$I$11,0),5)*$D111</f>
        <v>589036</v>
      </c>
      <c r="L111" s="22">
        <f>INDEX(Notes!$I$2:$N$11,MATCH(Notes!$B$2,Notes!$I$2:$I$11,0),6)*$E111</f>
        <v>589036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294518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125006</v>
      </c>
      <c r="D112" s="163">
        <f>INDEX(Data[],MATCH($A112,Data[Dist],0),MATCH(D$6,Data[#Headers],0))</f>
        <v>124245</v>
      </c>
      <c r="E112" s="163">
        <f>INDEX(Data[],MATCH($A112,Data[Dist],0),MATCH(E$6,Data[#Headers],0))</f>
        <v>124245</v>
      </c>
      <c r="F112" s="163">
        <f>INDEX(Data[],MATCH($A112,Data[Dist],0),MATCH(F$6,Data[#Headers],0))</f>
        <v>124243</v>
      </c>
      <c r="G112" s="22">
        <f>INDEX(Data[],MATCH($A112,Data[Dist],0),MATCH(G$6,Data[#Headers],0))</f>
        <v>997004</v>
      </c>
      <c r="H112" s="22">
        <f>INDEX(Data[],MATCH($A112,Data[Dist],0),MATCH(H$6,Data[#Headers],0))-G112</f>
        <v>248488</v>
      </c>
      <c r="I112" s="25"/>
      <c r="J112" s="22">
        <f>INDEX(Notes!$I$2:$N$11,MATCH(Notes!$B$2,Notes!$I$2:$I$11,0),4)*$C112</f>
        <v>500024</v>
      </c>
      <c r="K112" s="22">
        <f>INDEX(Notes!$I$2:$N$11,MATCH(Notes!$B$2,Notes!$I$2:$I$11,0),5)*$D112</f>
        <v>248490</v>
      </c>
      <c r="L112" s="22">
        <f>INDEX(Notes!$I$2:$N$11,MATCH(Notes!$B$2,Notes!$I$2:$I$11,0),6)*$E112</f>
        <v>248490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124245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825186</v>
      </c>
      <c r="D113" s="163">
        <f>INDEX(Data[],MATCH($A113,Data[Dist],0),MATCH(D$6,Data[#Headers],0))</f>
        <v>820324</v>
      </c>
      <c r="E113" s="163">
        <f>INDEX(Data[],MATCH($A113,Data[Dist],0),MATCH(E$6,Data[#Headers],0))</f>
        <v>820323</v>
      </c>
      <c r="F113" s="163">
        <f>INDEX(Data[],MATCH($A113,Data[Dist],0),MATCH(F$6,Data[#Headers],0))</f>
        <v>820324</v>
      </c>
      <c r="G113" s="22">
        <f>INDEX(Data[],MATCH($A113,Data[Dist],0),MATCH(G$6,Data[#Headers],0))</f>
        <v>6582038</v>
      </c>
      <c r="H113" s="22">
        <f>INDEX(Data[],MATCH($A113,Data[Dist],0),MATCH(H$6,Data[#Headers],0))-G113</f>
        <v>1640647</v>
      </c>
      <c r="I113" s="25"/>
      <c r="J113" s="22">
        <f>INDEX(Notes!$I$2:$N$11,MATCH(Notes!$B$2,Notes!$I$2:$I$11,0),4)*$C113</f>
        <v>3300744</v>
      </c>
      <c r="K113" s="22">
        <f>INDEX(Notes!$I$2:$N$11,MATCH(Notes!$B$2,Notes!$I$2:$I$11,0),5)*$D113</f>
        <v>1640648</v>
      </c>
      <c r="L113" s="22">
        <f>INDEX(Notes!$I$2:$N$11,MATCH(Notes!$B$2,Notes!$I$2:$I$11,0),6)*$E113</f>
        <v>1640646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820323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228878</v>
      </c>
      <c r="D114" s="163">
        <f>INDEX(Data[],MATCH($A114,Data[Dist],0),MATCH(D$6,Data[#Headers],0))</f>
        <v>227290</v>
      </c>
      <c r="E114" s="163">
        <f>INDEX(Data[],MATCH($A114,Data[Dist],0),MATCH(E$6,Data[#Headers],0))</f>
        <v>227291</v>
      </c>
      <c r="F114" s="163">
        <f>INDEX(Data[],MATCH($A114,Data[Dist],0),MATCH(F$6,Data[#Headers],0))</f>
        <v>227289</v>
      </c>
      <c r="G114" s="22">
        <f>INDEX(Data[],MATCH($A114,Data[Dist],0),MATCH(G$6,Data[#Headers],0))</f>
        <v>1824674</v>
      </c>
      <c r="H114" s="22">
        <f>INDEX(Data[],MATCH($A114,Data[Dist],0),MATCH(H$6,Data[#Headers],0))-G114</f>
        <v>454580</v>
      </c>
      <c r="I114" s="25"/>
      <c r="J114" s="22">
        <f>INDEX(Notes!$I$2:$N$11,MATCH(Notes!$B$2,Notes!$I$2:$I$11,0),4)*$C114</f>
        <v>915512</v>
      </c>
      <c r="K114" s="22">
        <f>INDEX(Notes!$I$2:$N$11,MATCH(Notes!$B$2,Notes!$I$2:$I$11,0),5)*$D114</f>
        <v>454580</v>
      </c>
      <c r="L114" s="22">
        <f>INDEX(Notes!$I$2:$N$11,MATCH(Notes!$B$2,Notes!$I$2:$I$11,0),6)*$E114</f>
        <v>454582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227291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937113</v>
      </c>
      <c r="D115" s="163">
        <f>INDEX(Data[],MATCH($A115,Data[Dist],0),MATCH(D$6,Data[#Headers],0))</f>
        <v>930768</v>
      </c>
      <c r="E115" s="163">
        <f>INDEX(Data[],MATCH($A115,Data[Dist],0),MATCH(E$6,Data[#Headers],0))</f>
        <v>930768</v>
      </c>
      <c r="F115" s="163">
        <f>INDEX(Data[],MATCH($A115,Data[Dist],0),MATCH(F$6,Data[#Headers],0))</f>
        <v>930768</v>
      </c>
      <c r="G115" s="22">
        <f>INDEX(Data[],MATCH($A115,Data[Dist],0),MATCH(G$6,Data[#Headers],0))</f>
        <v>7471524</v>
      </c>
      <c r="H115" s="22">
        <f>INDEX(Data[],MATCH($A115,Data[Dist],0),MATCH(H$6,Data[#Headers],0))-G115</f>
        <v>1861536</v>
      </c>
      <c r="I115" s="25"/>
      <c r="J115" s="22">
        <f>INDEX(Notes!$I$2:$N$11,MATCH(Notes!$B$2,Notes!$I$2:$I$11,0),4)*$C115</f>
        <v>3748452</v>
      </c>
      <c r="K115" s="22">
        <f>INDEX(Notes!$I$2:$N$11,MATCH(Notes!$B$2,Notes!$I$2:$I$11,0),5)*$D115</f>
        <v>1861536</v>
      </c>
      <c r="L115" s="22">
        <f>INDEX(Notes!$I$2:$N$11,MATCH(Notes!$B$2,Notes!$I$2:$I$11,0),6)*$E115</f>
        <v>1861536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930768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650694</v>
      </c>
      <c r="D116" s="163">
        <f>INDEX(Data[],MATCH($A116,Data[Dist],0),MATCH(D$6,Data[#Headers],0))</f>
        <v>646554</v>
      </c>
      <c r="E116" s="163">
        <f>INDEX(Data[],MATCH($A116,Data[Dist],0),MATCH(E$6,Data[#Headers],0))</f>
        <v>646554</v>
      </c>
      <c r="F116" s="163">
        <f>INDEX(Data[],MATCH($A116,Data[Dist],0),MATCH(F$6,Data[#Headers],0))</f>
        <v>646552</v>
      </c>
      <c r="G116" s="22">
        <f>INDEX(Data[],MATCH($A116,Data[Dist],0),MATCH(G$6,Data[#Headers],0))</f>
        <v>5188992</v>
      </c>
      <c r="H116" s="22">
        <f>INDEX(Data[],MATCH($A116,Data[Dist],0),MATCH(H$6,Data[#Headers],0))-G116</f>
        <v>1293106</v>
      </c>
      <c r="I116" s="25"/>
      <c r="J116" s="22">
        <f>INDEX(Notes!$I$2:$N$11,MATCH(Notes!$B$2,Notes!$I$2:$I$11,0),4)*$C116</f>
        <v>2602776</v>
      </c>
      <c r="K116" s="22">
        <f>INDEX(Notes!$I$2:$N$11,MATCH(Notes!$B$2,Notes!$I$2:$I$11,0),5)*$D116</f>
        <v>1293108</v>
      </c>
      <c r="L116" s="22">
        <f>INDEX(Notes!$I$2:$N$11,MATCH(Notes!$B$2,Notes!$I$2:$I$11,0),6)*$E116</f>
        <v>1293108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646554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2708167</v>
      </c>
      <c r="D117" s="163">
        <f>INDEX(Data[],MATCH($A117,Data[Dist],0),MATCH(D$6,Data[#Headers],0))</f>
        <v>2693620</v>
      </c>
      <c r="E117" s="163">
        <f>INDEX(Data[],MATCH($A117,Data[Dist],0),MATCH(E$6,Data[#Headers],0))</f>
        <v>2693620</v>
      </c>
      <c r="F117" s="163">
        <f>INDEX(Data[],MATCH($A117,Data[Dist],0),MATCH(F$6,Data[#Headers],0))</f>
        <v>2693618</v>
      </c>
      <c r="G117" s="22">
        <f>INDEX(Data[],MATCH($A117,Data[Dist],0),MATCH(G$6,Data[#Headers],0))</f>
        <v>21607148</v>
      </c>
      <c r="H117" s="22">
        <f>INDEX(Data[],MATCH($A117,Data[Dist],0),MATCH(H$6,Data[#Headers],0))-G117</f>
        <v>5387238</v>
      </c>
      <c r="I117" s="25"/>
      <c r="J117" s="22">
        <f>INDEX(Notes!$I$2:$N$11,MATCH(Notes!$B$2,Notes!$I$2:$I$11,0),4)*$C117</f>
        <v>10832668</v>
      </c>
      <c r="K117" s="22">
        <f>INDEX(Notes!$I$2:$N$11,MATCH(Notes!$B$2,Notes!$I$2:$I$11,0),5)*$D117</f>
        <v>5387240</v>
      </c>
      <c r="L117" s="22">
        <f>INDEX(Notes!$I$2:$N$11,MATCH(Notes!$B$2,Notes!$I$2:$I$11,0),6)*$E117</f>
        <v>5387240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2693620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1372706</v>
      </c>
      <c r="D118" s="163">
        <f>INDEX(Data[],MATCH($A118,Data[Dist],0),MATCH(D$6,Data[#Headers],0))</f>
        <v>1364473</v>
      </c>
      <c r="E118" s="163">
        <f>INDEX(Data[],MATCH($A118,Data[Dist],0),MATCH(E$6,Data[#Headers],0))</f>
        <v>1276864</v>
      </c>
      <c r="F118" s="163">
        <f>INDEX(Data[],MATCH($A118,Data[Dist],0),MATCH(F$6,Data[#Headers],0))</f>
        <v>1276864</v>
      </c>
      <c r="G118" s="22">
        <f>INDEX(Data[],MATCH($A118,Data[Dist],0),MATCH(G$6,Data[#Headers],0))</f>
        <v>10773498</v>
      </c>
      <c r="H118" s="22">
        <f>INDEX(Data[],MATCH($A118,Data[Dist],0),MATCH(H$6,Data[#Headers],0))-G118</f>
        <v>2553728</v>
      </c>
      <c r="I118" s="25"/>
      <c r="J118" s="22">
        <f>INDEX(Notes!$I$2:$N$11,MATCH(Notes!$B$2,Notes!$I$2:$I$11,0),4)*$C118</f>
        <v>5490824</v>
      </c>
      <c r="K118" s="22">
        <f>INDEX(Notes!$I$2:$N$11,MATCH(Notes!$B$2,Notes!$I$2:$I$11,0),5)*$D118</f>
        <v>2728946</v>
      </c>
      <c r="L118" s="22">
        <f>INDEX(Notes!$I$2:$N$11,MATCH(Notes!$B$2,Notes!$I$2:$I$11,0),6)*$E118</f>
        <v>2553728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1276864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294884</v>
      </c>
      <c r="D119" s="163">
        <f>INDEX(Data[],MATCH($A119,Data[Dist],0),MATCH(D$6,Data[#Headers],0))</f>
        <v>293118</v>
      </c>
      <c r="E119" s="163">
        <f>INDEX(Data[],MATCH($A119,Data[Dist],0),MATCH(E$6,Data[#Headers],0))</f>
        <v>293119</v>
      </c>
      <c r="F119" s="163">
        <f>INDEX(Data[],MATCH($A119,Data[Dist],0),MATCH(F$6,Data[#Headers],0))</f>
        <v>293117</v>
      </c>
      <c r="G119" s="22">
        <f>INDEX(Data[],MATCH($A119,Data[Dist],0),MATCH(G$6,Data[#Headers],0))</f>
        <v>2352010</v>
      </c>
      <c r="H119" s="22">
        <f>INDEX(Data[],MATCH($A119,Data[Dist],0),MATCH(H$6,Data[#Headers],0))-G119</f>
        <v>586236</v>
      </c>
      <c r="I119" s="25"/>
      <c r="J119" s="22">
        <f>INDEX(Notes!$I$2:$N$11,MATCH(Notes!$B$2,Notes!$I$2:$I$11,0),4)*$C119</f>
        <v>1179536</v>
      </c>
      <c r="K119" s="22">
        <f>INDEX(Notes!$I$2:$N$11,MATCH(Notes!$B$2,Notes!$I$2:$I$11,0),5)*$D119</f>
        <v>586236</v>
      </c>
      <c r="L119" s="22">
        <f>INDEX(Notes!$I$2:$N$11,MATCH(Notes!$B$2,Notes!$I$2:$I$11,0),6)*$E119</f>
        <v>586238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293119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261594</v>
      </c>
      <c r="D120" s="163">
        <f>INDEX(Data[],MATCH($A120,Data[Dist],0),MATCH(D$6,Data[#Headers],0))</f>
        <v>259742</v>
      </c>
      <c r="E120" s="163">
        <f>INDEX(Data[],MATCH($A120,Data[Dist],0),MATCH(E$6,Data[#Headers],0))</f>
        <v>259742</v>
      </c>
      <c r="F120" s="163">
        <f>INDEX(Data[],MATCH($A120,Data[Dist],0),MATCH(F$6,Data[#Headers],0))</f>
        <v>259741</v>
      </c>
      <c r="G120" s="22">
        <f>INDEX(Data[],MATCH($A120,Data[Dist],0),MATCH(G$6,Data[#Headers],0))</f>
        <v>2085344</v>
      </c>
      <c r="H120" s="22">
        <f>INDEX(Data[],MATCH($A120,Data[Dist],0),MATCH(H$6,Data[#Headers],0))-G120</f>
        <v>519483</v>
      </c>
      <c r="I120" s="25"/>
      <c r="J120" s="22">
        <f>INDEX(Notes!$I$2:$N$11,MATCH(Notes!$B$2,Notes!$I$2:$I$11,0),4)*$C120</f>
        <v>1046376</v>
      </c>
      <c r="K120" s="22">
        <f>INDEX(Notes!$I$2:$N$11,MATCH(Notes!$B$2,Notes!$I$2:$I$11,0),5)*$D120</f>
        <v>519484</v>
      </c>
      <c r="L120" s="22">
        <f>INDEX(Notes!$I$2:$N$11,MATCH(Notes!$B$2,Notes!$I$2:$I$11,0),6)*$E120</f>
        <v>519484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259742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376968</v>
      </c>
      <c r="D121" s="163">
        <f>INDEX(Data[],MATCH($A121,Data[Dist],0),MATCH(D$6,Data[#Headers],0))</f>
        <v>373647</v>
      </c>
      <c r="E121" s="163">
        <f>INDEX(Data[],MATCH($A121,Data[Dist],0),MATCH(E$6,Data[#Headers],0))</f>
        <v>373646</v>
      </c>
      <c r="F121" s="163">
        <f>INDEX(Data[],MATCH($A121,Data[Dist],0),MATCH(F$6,Data[#Headers],0))</f>
        <v>373647</v>
      </c>
      <c r="G121" s="22">
        <f>INDEX(Data[],MATCH($A121,Data[Dist],0),MATCH(G$6,Data[#Headers],0))</f>
        <v>3002458</v>
      </c>
      <c r="H121" s="22">
        <f>INDEX(Data[],MATCH($A121,Data[Dist],0),MATCH(H$6,Data[#Headers],0))-G121</f>
        <v>747293</v>
      </c>
      <c r="I121" s="25"/>
      <c r="J121" s="22">
        <f>INDEX(Notes!$I$2:$N$11,MATCH(Notes!$B$2,Notes!$I$2:$I$11,0),4)*$C121</f>
        <v>1507872</v>
      </c>
      <c r="K121" s="22">
        <f>INDEX(Notes!$I$2:$N$11,MATCH(Notes!$B$2,Notes!$I$2:$I$11,0),5)*$D121</f>
        <v>747294</v>
      </c>
      <c r="L121" s="22">
        <f>INDEX(Notes!$I$2:$N$11,MATCH(Notes!$B$2,Notes!$I$2:$I$11,0),6)*$E121</f>
        <v>747292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373646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228126</v>
      </c>
      <c r="D122" s="163">
        <f>INDEX(Data[],MATCH($A122,Data[Dist],0),MATCH(D$6,Data[#Headers],0))</f>
        <v>226443</v>
      </c>
      <c r="E122" s="163">
        <f>INDEX(Data[],MATCH($A122,Data[Dist],0),MATCH(E$6,Data[#Headers],0))</f>
        <v>226443</v>
      </c>
      <c r="F122" s="163">
        <f>INDEX(Data[],MATCH($A122,Data[Dist],0),MATCH(F$6,Data[#Headers],0))</f>
        <v>226443</v>
      </c>
      <c r="G122" s="22">
        <f>INDEX(Data[],MATCH($A122,Data[Dist],0),MATCH(G$6,Data[#Headers],0))</f>
        <v>1818276</v>
      </c>
      <c r="H122" s="22">
        <f>INDEX(Data[],MATCH($A122,Data[Dist],0),MATCH(H$6,Data[#Headers],0))-G122</f>
        <v>452886</v>
      </c>
      <c r="I122" s="25"/>
      <c r="J122" s="22">
        <f>INDEX(Notes!$I$2:$N$11,MATCH(Notes!$B$2,Notes!$I$2:$I$11,0),4)*$C122</f>
        <v>912504</v>
      </c>
      <c r="K122" s="22">
        <f>INDEX(Notes!$I$2:$N$11,MATCH(Notes!$B$2,Notes!$I$2:$I$11,0),5)*$D122</f>
        <v>452886</v>
      </c>
      <c r="L122" s="22">
        <f>INDEX(Notes!$I$2:$N$11,MATCH(Notes!$B$2,Notes!$I$2:$I$11,0),6)*$E122</f>
        <v>452886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226443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893044</v>
      </c>
      <c r="D123" s="163">
        <f>INDEX(Data[],MATCH($A123,Data[Dist],0),MATCH(D$6,Data[#Headers],0))</f>
        <v>886971</v>
      </c>
      <c r="E123" s="163">
        <f>INDEX(Data[],MATCH($A123,Data[Dist],0),MATCH(E$6,Data[#Headers],0))</f>
        <v>886971</v>
      </c>
      <c r="F123" s="163">
        <f>INDEX(Data[],MATCH($A123,Data[Dist],0),MATCH(F$6,Data[#Headers],0))</f>
        <v>886971</v>
      </c>
      <c r="G123" s="22">
        <f>INDEX(Data[],MATCH($A123,Data[Dist],0),MATCH(G$6,Data[#Headers],0))</f>
        <v>7120060</v>
      </c>
      <c r="H123" s="22">
        <f>INDEX(Data[],MATCH($A123,Data[Dist],0),MATCH(H$6,Data[#Headers],0))-G123</f>
        <v>1773942</v>
      </c>
      <c r="I123" s="25"/>
      <c r="J123" s="22">
        <f>INDEX(Notes!$I$2:$N$11,MATCH(Notes!$B$2,Notes!$I$2:$I$11,0),4)*$C123</f>
        <v>3572176</v>
      </c>
      <c r="K123" s="22">
        <f>INDEX(Notes!$I$2:$N$11,MATCH(Notes!$B$2,Notes!$I$2:$I$11,0),5)*$D123</f>
        <v>1773942</v>
      </c>
      <c r="L123" s="22">
        <f>INDEX(Notes!$I$2:$N$11,MATCH(Notes!$B$2,Notes!$I$2:$I$11,0),6)*$E123</f>
        <v>1773942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886971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105984</v>
      </c>
      <c r="D124" s="163">
        <f>INDEX(Data[],MATCH($A124,Data[Dist],0),MATCH(D$6,Data[#Headers],0))</f>
        <v>105327</v>
      </c>
      <c r="E124" s="163">
        <f>INDEX(Data[],MATCH($A124,Data[Dist],0),MATCH(E$6,Data[#Headers],0))</f>
        <v>105326</v>
      </c>
      <c r="F124" s="163">
        <f>INDEX(Data[],MATCH($A124,Data[Dist],0),MATCH(F$6,Data[#Headers],0))</f>
        <v>105327</v>
      </c>
      <c r="G124" s="22">
        <f>INDEX(Data[],MATCH($A124,Data[Dist],0),MATCH(G$6,Data[#Headers],0))</f>
        <v>845242</v>
      </c>
      <c r="H124" s="22">
        <f>INDEX(Data[],MATCH($A124,Data[Dist],0),MATCH(H$6,Data[#Headers],0))-G124</f>
        <v>210653</v>
      </c>
      <c r="I124" s="25"/>
      <c r="J124" s="22">
        <f>INDEX(Notes!$I$2:$N$11,MATCH(Notes!$B$2,Notes!$I$2:$I$11,0),4)*$C124</f>
        <v>423936</v>
      </c>
      <c r="K124" s="22">
        <f>INDEX(Notes!$I$2:$N$11,MATCH(Notes!$B$2,Notes!$I$2:$I$11,0),5)*$D124</f>
        <v>210654</v>
      </c>
      <c r="L124" s="22">
        <f>INDEX(Notes!$I$2:$N$11,MATCH(Notes!$B$2,Notes!$I$2:$I$11,0),6)*$E124</f>
        <v>210652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105326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346774</v>
      </c>
      <c r="D125" s="163">
        <f>INDEX(Data[],MATCH($A125,Data[Dist],0),MATCH(D$6,Data[#Headers],0))</f>
        <v>344442</v>
      </c>
      <c r="E125" s="163">
        <f>INDEX(Data[],MATCH($A125,Data[Dist],0),MATCH(E$6,Data[#Headers],0))</f>
        <v>344442</v>
      </c>
      <c r="F125" s="163">
        <f>INDEX(Data[],MATCH($A125,Data[Dist],0),MATCH(F$6,Data[#Headers],0))</f>
        <v>344442</v>
      </c>
      <c r="G125" s="22">
        <f>INDEX(Data[],MATCH($A125,Data[Dist],0),MATCH(G$6,Data[#Headers],0))</f>
        <v>2764864</v>
      </c>
      <c r="H125" s="22">
        <f>INDEX(Data[],MATCH($A125,Data[Dist],0),MATCH(H$6,Data[#Headers],0))-G125</f>
        <v>688884</v>
      </c>
      <c r="I125" s="25"/>
      <c r="J125" s="22">
        <f>INDEX(Notes!$I$2:$N$11,MATCH(Notes!$B$2,Notes!$I$2:$I$11,0),4)*$C125</f>
        <v>1387096</v>
      </c>
      <c r="K125" s="22">
        <f>INDEX(Notes!$I$2:$N$11,MATCH(Notes!$B$2,Notes!$I$2:$I$11,0),5)*$D125</f>
        <v>688884</v>
      </c>
      <c r="L125" s="22">
        <f>INDEX(Notes!$I$2:$N$11,MATCH(Notes!$B$2,Notes!$I$2:$I$11,0),6)*$E125</f>
        <v>688884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344442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1248262</v>
      </c>
      <c r="D126" s="163">
        <f>INDEX(Data[],MATCH($A126,Data[Dist],0),MATCH(D$6,Data[#Headers],0))</f>
        <v>1240634</v>
      </c>
      <c r="E126" s="163">
        <f>INDEX(Data[],MATCH($A126,Data[Dist],0),MATCH(E$6,Data[#Headers],0))</f>
        <v>1240634</v>
      </c>
      <c r="F126" s="163">
        <f>INDEX(Data[],MATCH($A126,Data[Dist],0),MATCH(F$6,Data[#Headers],0))</f>
        <v>1240634</v>
      </c>
      <c r="G126" s="22">
        <f>INDEX(Data[],MATCH($A126,Data[Dist],0),MATCH(G$6,Data[#Headers],0))</f>
        <v>9955584</v>
      </c>
      <c r="H126" s="22">
        <f>INDEX(Data[],MATCH($A126,Data[Dist],0),MATCH(H$6,Data[#Headers],0))-G126</f>
        <v>2481268</v>
      </c>
      <c r="I126" s="25"/>
      <c r="J126" s="22">
        <f>INDEX(Notes!$I$2:$N$11,MATCH(Notes!$B$2,Notes!$I$2:$I$11,0),4)*$C126</f>
        <v>4993048</v>
      </c>
      <c r="K126" s="22">
        <f>INDEX(Notes!$I$2:$N$11,MATCH(Notes!$B$2,Notes!$I$2:$I$11,0),5)*$D126</f>
        <v>2481268</v>
      </c>
      <c r="L126" s="22">
        <f>INDEX(Notes!$I$2:$N$11,MATCH(Notes!$B$2,Notes!$I$2:$I$11,0),6)*$E126</f>
        <v>2481268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1240634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161721</v>
      </c>
      <c r="D127" s="163">
        <f>INDEX(Data[],MATCH($A127,Data[Dist],0),MATCH(D$6,Data[#Headers],0))</f>
        <v>160616</v>
      </c>
      <c r="E127" s="163">
        <f>INDEX(Data[],MATCH($A127,Data[Dist],0),MATCH(E$6,Data[#Headers],0))</f>
        <v>160616</v>
      </c>
      <c r="F127" s="163">
        <f>INDEX(Data[],MATCH($A127,Data[Dist],0),MATCH(F$6,Data[#Headers],0))</f>
        <v>160614</v>
      </c>
      <c r="G127" s="22">
        <f>INDEX(Data[],MATCH($A127,Data[Dist],0),MATCH(G$6,Data[#Headers],0))</f>
        <v>1289348</v>
      </c>
      <c r="H127" s="22">
        <f>INDEX(Data[],MATCH($A127,Data[Dist],0),MATCH(H$6,Data[#Headers],0))-G127</f>
        <v>321230</v>
      </c>
      <c r="I127" s="25"/>
      <c r="J127" s="22">
        <f>INDEX(Notes!$I$2:$N$11,MATCH(Notes!$B$2,Notes!$I$2:$I$11,0),4)*$C127</f>
        <v>646884</v>
      </c>
      <c r="K127" s="22">
        <f>INDEX(Notes!$I$2:$N$11,MATCH(Notes!$B$2,Notes!$I$2:$I$11,0),5)*$D127</f>
        <v>321232</v>
      </c>
      <c r="L127" s="22">
        <f>INDEX(Notes!$I$2:$N$11,MATCH(Notes!$B$2,Notes!$I$2:$I$11,0),6)*$E127</f>
        <v>321232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160616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190757</v>
      </c>
      <c r="D128" s="163">
        <f>INDEX(Data[],MATCH($A128,Data[Dist],0),MATCH(D$6,Data[#Headers],0))</f>
        <v>189224</v>
      </c>
      <c r="E128" s="163">
        <f>INDEX(Data[],MATCH($A128,Data[Dist],0),MATCH(E$6,Data[#Headers],0))</f>
        <v>189224</v>
      </c>
      <c r="F128" s="163">
        <f>INDEX(Data[],MATCH($A128,Data[Dist],0),MATCH(F$6,Data[#Headers],0))</f>
        <v>189224</v>
      </c>
      <c r="G128" s="22">
        <f>INDEX(Data[],MATCH($A128,Data[Dist],0),MATCH(G$6,Data[#Headers],0))</f>
        <v>1519924</v>
      </c>
      <c r="H128" s="22">
        <f>INDEX(Data[],MATCH($A128,Data[Dist],0),MATCH(H$6,Data[#Headers],0))-G128</f>
        <v>378448</v>
      </c>
      <c r="I128" s="25"/>
      <c r="J128" s="22">
        <f>INDEX(Notes!$I$2:$N$11,MATCH(Notes!$B$2,Notes!$I$2:$I$11,0),4)*$C128</f>
        <v>763028</v>
      </c>
      <c r="K128" s="22">
        <f>INDEX(Notes!$I$2:$N$11,MATCH(Notes!$B$2,Notes!$I$2:$I$11,0),5)*$D128</f>
        <v>378448</v>
      </c>
      <c r="L128" s="22">
        <f>INDEX(Notes!$I$2:$N$11,MATCH(Notes!$B$2,Notes!$I$2:$I$11,0),6)*$E128</f>
        <v>378448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189224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390061</v>
      </c>
      <c r="D129" s="163">
        <f>INDEX(Data[],MATCH($A129,Data[Dist],0),MATCH(D$6,Data[#Headers],0))</f>
        <v>387581</v>
      </c>
      <c r="E129" s="163">
        <f>INDEX(Data[],MATCH($A129,Data[Dist],0),MATCH(E$6,Data[#Headers],0))</f>
        <v>387580</v>
      </c>
      <c r="F129" s="163">
        <f>INDEX(Data[],MATCH($A129,Data[Dist],0),MATCH(F$6,Data[#Headers],0))</f>
        <v>387581</v>
      </c>
      <c r="G129" s="22">
        <f>INDEX(Data[],MATCH($A129,Data[Dist],0),MATCH(G$6,Data[#Headers],0))</f>
        <v>3110566</v>
      </c>
      <c r="H129" s="22">
        <f>INDEX(Data[],MATCH($A129,Data[Dist],0),MATCH(H$6,Data[#Headers],0))-G129</f>
        <v>775161</v>
      </c>
      <c r="I129" s="25"/>
      <c r="J129" s="22">
        <f>INDEX(Notes!$I$2:$N$11,MATCH(Notes!$B$2,Notes!$I$2:$I$11,0),4)*$C129</f>
        <v>1560244</v>
      </c>
      <c r="K129" s="22">
        <f>INDEX(Notes!$I$2:$N$11,MATCH(Notes!$B$2,Notes!$I$2:$I$11,0),5)*$D129</f>
        <v>775162</v>
      </c>
      <c r="L129" s="22">
        <f>INDEX(Notes!$I$2:$N$11,MATCH(Notes!$B$2,Notes!$I$2:$I$11,0),6)*$E129</f>
        <v>775160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387580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111890</v>
      </c>
      <c r="D130" s="163">
        <f>INDEX(Data[],MATCH($A130,Data[Dist],0),MATCH(D$6,Data[#Headers],0))</f>
        <v>110898</v>
      </c>
      <c r="E130" s="163">
        <f>INDEX(Data[],MATCH($A130,Data[Dist],0),MATCH(E$6,Data[#Headers],0))</f>
        <v>110898</v>
      </c>
      <c r="F130" s="163">
        <f>INDEX(Data[],MATCH($A130,Data[Dist],0),MATCH(F$6,Data[#Headers],0))</f>
        <v>110897</v>
      </c>
      <c r="G130" s="22">
        <f>INDEX(Data[],MATCH($A130,Data[Dist],0),MATCH(G$6,Data[#Headers],0))</f>
        <v>891152</v>
      </c>
      <c r="H130" s="22">
        <f>INDEX(Data[],MATCH($A130,Data[Dist],0),MATCH(H$6,Data[#Headers],0))-G130</f>
        <v>221795</v>
      </c>
      <c r="I130" s="25"/>
      <c r="J130" s="22">
        <f>INDEX(Notes!$I$2:$N$11,MATCH(Notes!$B$2,Notes!$I$2:$I$11,0),4)*$C130</f>
        <v>447560</v>
      </c>
      <c r="K130" s="22">
        <f>INDEX(Notes!$I$2:$N$11,MATCH(Notes!$B$2,Notes!$I$2:$I$11,0),5)*$D130</f>
        <v>221796</v>
      </c>
      <c r="L130" s="22">
        <f>INDEX(Notes!$I$2:$N$11,MATCH(Notes!$B$2,Notes!$I$2:$I$11,0),6)*$E130</f>
        <v>221796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110898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1002578</v>
      </c>
      <c r="D131" s="163">
        <f>INDEX(Data[],MATCH($A131,Data[Dist],0),MATCH(D$6,Data[#Headers],0))</f>
        <v>996356</v>
      </c>
      <c r="E131" s="163">
        <f>INDEX(Data[],MATCH($A131,Data[Dist],0),MATCH(E$6,Data[#Headers],0))</f>
        <v>996355</v>
      </c>
      <c r="F131" s="163">
        <f>INDEX(Data[],MATCH($A131,Data[Dist],0),MATCH(F$6,Data[#Headers],0))</f>
        <v>996356</v>
      </c>
      <c r="G131" s="22">
        <f>INDEX(Data[],MATCH($A131,Data[Dist],0),MATCH(G$6,Data[#Headers],0))</f>
        <v>7995734</v>
      </c>
      <c r="H131" s="22">
        <f>INDEX(Data[],MATCH($A131,Data[Dist],0),MATCH(H$6,Data[#Headers],0))-G131</f>
        <v>1992711</v>
      </c>
      <c r="I131" s="25"/>
      <c r="J131" s="22">
        <f>INDEX(Notes!$I$2:$N$11,MATCH(Notes!$B$2,Notes!$I$2:$I$11,0),4)*$C131</f>
        <v>4010312</v>
      </c>
      <c r="K131" s="22">
        <f>INDEX(Notes!$I$2:$N$11,MATCH(Notes!$B$2,Notes!$I$2:$I$11,0),5)*$D131</f>
        <v>1992712</v>
      </c>
      <c r="L131" s="22">
        <f>INDEX(Notes!$I$2:$N$11,MATCH(Notes!$B$2,Notes!$I$2:$I$11,0),6)*$E131</f>
        <v>1992710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996355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274669</v>
      </c>
      <c r="D132" s="163">
        <f>INDEX(Data[],MATCH($A132,Data[Dist],0),MATCH(D$6,Data[#Headers],0))</f>
        <v>272879</v>
      </c>
      <c r="E132" s="163">
        <f>INDEX(Data[],MATCH($A132,Data[Dist],0),MATCH(E$6,Data[#Headers],0))</f>
        <v>272880</v>
      </c>
      <c r="F132" s="163">
        <f>INDEX(Data[],MATCH($A132,Data[Dist],0),MATCH(F$6,Data[#Headers],0))</f>
        <v>272878</v>
      </c>
      <c r="G132" s="22">
        <f>INDEX(Data[],MATCH($A132,Data[Dist],0),MATCH(G$6,Data[#Headers],0))</f>
        <v>2190194</v>
      </c>
      <c r="H132" s="22">
        <f>INDEX(Data[],MATCH($A132,Data[Dist],0),MATCH(H$6,Data[#Headers],0))-G132</f>
        <v>545758</v>
      </c>
      <c r="I132" s="25"/>
      <c r="J132" s="22">
        <f>INDEX(Notes!$I$2:$N$11,MATCH(Notes!$B$2,Notes!$I$2:$I$11,0),4)*$C132</f>
        <v>1098676</v>
      </c>
      <c r="K132" s="22">
        <f>INDEX(Notes!$I$2:$N$11,MATCH(Notes!$B$2,Notes!$I$2:$I$11,0),5)*$D132</f>
        <v>545758</v>
      </c>
      <c r="L132" s="22">
        <f>INDEX(Notes!$I$2:$N$11,MATCH(Notes!$B$2,Notes!$I$2:$I$11,0),6)*$E132</f>
        <v>545760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272880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431502</v>
      </c>
      <c r="D133" s="163">
        <f>INDEX(Data[],MATCH($A133,Data[Dist],0),MATCH(D$6,Data[#Headers],0))</f>
        <v>428892</v>
      </c>
      <c r="E133" s="163">
        <f>INDEX(Data[],MATCH($A133,Data[Dist],0),MATCH(E$6,Data[#Headers],0))</f>
        <v>428892</v>
      </c>
      <c r="F133" s="163">
        <f>INDEX(Data[],MATCH($A133,Data[Dist],0),MATCH(F$6,Data[#Headers],0))</f>
        <v>428893</v>
      </c>
      <c r="G133" s="22">
        <f>INDEX(Data[],MATCH($A133,Data[Dist],0),MATCH(G$6,Data[#Headers],0))</f>
        <v>3441576</v>
      </c>
      <c r="H133" s="22">
        <f>INDEX(Data[],MATCH($A133,Data[Dist],0),MATCH(H$6,Data[#Headers],0))-G133</f>
        <v>857785</v>
      </c>
      <c r="I133" s="25"/>
      <c r="J133" s="22">
        <f>INDEX(Notes!$I$2:$N$11,MATCH(Notes!$B$2,Notes!$I$2:$I$11,0),4)*$C133</f>
        <v>1726008</v>
      </c>
      <c r="K133" s="22">
        <f>INDEX(Notes!$I$2:$N$11,MATCH(Notes!$B$2,Notes!$I$2:$I$11,0),5)*$D133</f>
        <v>857784</v>
      </c>
      <c r="L133" s="22">
        <f>INDEX(Notes!$I$2:$N$11,MATCH(Notes!$B$2,Notes!$I$2:$I$11,0),6)*$E133</f>
        <v>857784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428892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253632</v>
      </c>
      <c r="D134" s="163">
        <f>INDEX(Data[],MATCH($A134,Data[Dist],0),MATCH(D$6,Data[#Headers],0))</f>
        <v>252025</v>
      </c>
      <c r="E134" s="163">
        <f>INDEX(Data[],MATCH($A134,Data[Dist],0),MATCH(E$6,Data[#Headers],0))</f>
        <v>252024</v>
      </c>
      <c r="F134" s="163">
        <f>INDEX(Data[],MATCH($A134,Data[Dist],0),MATCH(F$6,Data[#Headers],0))</f>
        <v>252025</v>
      </c>
      <c r="G134" s="22">
        <f>INDEX(Data[],MATCH($A134,Data[Dist],0),MATCH(G$6,Data[#Headers],0))</f>
        <v>2022626</v>
      </c>
      <c r="H134" s="22">
        <f>INDEX(Data[],MATCH($A134,Data[Dist],0),MATCH(H$6,Data[#Headers],0))-G134</f>
        <v>504049</v>
      </c>
      <c r="I134" s="25"/>
      <c r="J134" s="22">
        <f>INDEX(Notes!$I$2:$N$11,MATCH(Notes!$B$2,Notes!$I$2:$I$11,0),4)*$C134</f>
        <v>1014528</v>
      </c>
      <c r="K134" s="22">
        <f>INDEX(Notes!$I$2:$N$11,MATCH(Notes!$B$2,Notes!$I$2:$I$11,0),5)*$D134</f>
        <v>504050</v>
      </c>
      <c r="L134" s="22">
        <f>INDEX(Notes!$I$2:$N$11,MATCH(Notes!$B$2,Notes!$I$2:$I$11,0),6)*$E134</f>
        <v>504048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252024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297402</v>
      </c>
      <c r="D135" s="163">
        <f>INDEX(Data[],MATCH($A135,Data[Dist],0),MATCH(D$6,Data[#Headers],0))</f>
        <v>295049</v>
      </c>
      <c r="E135" s="163">
        <f>INDEX(Data[],MATCH($A135,Data[Dist],0),MATCH(E$6,Data[#Headers],0))</f>
        <v>295049</v>
      </c>
      <c r="F135" s="163">
        <f>INDEX(Data[],MATCH($A135,Data[Dist],0),MATCH(F$6,Data[#Headers],0))</f>
        <v>295047</v>
      </c>
      <c r="G135" s="22">
        <f>INDEX(Data[],MATCH($A135,Data[Dist],0),MATCH(G$6,Data[#Headers],0))</f>
        <v>2369804</v>
      </c>
      <c r="H135" s="22">
        <f>INDEX(Data[],MATCH($A135,Data[Dist],0),MATCH(H$6,Data[#Headers],0))-G135</f>
        <v>590096</v>
      </c>
      <c r="I135" s="25"/>
      <c r="J135" s="22">
        <f>INDEX(Notes!$I$2:$N$11,MATCH(Notes!$B$2,Notes!$I$2:$I$11,0),4)*$C135</f>
        <v>1189608</v>
      </c>
      <c r="K135" s="22">
        <f>INDEX(Notes!$I$2:$N$11,MATCH(Notes!$B$2,Notes!$I$2:$I$11,0),5)*$D135</f>
        <v>590098</v>
      </c>
      <c r="L135" s="22">
        <f>INDEX(Notes!$I$2:$N$11,MATCH(Notes!$B$2,Notes!$I$2:$I$11,0),6)*$E135</f>
        <v>590098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295049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203211</v>
      </c>
      <c r="D136" s="163">
        <f>INDEX(Data[],MATCH($A136,Data[Dist],0),MATCH(D$6,Data[#Headers],0))</f>
        <v>201882</v>
      </c>
      <c r="E136" s="163">
        <f>INDEX(Data[],MATCH($A136,Data[Dist],0),MATCH(E$6,Data[#Headers],0))</f>
        <v>201883</v>
      </c>
      <c r="F136" s="163">
        <f>INDEX(Data[],MATCH($A136,Data[Dist],0),MATCH(F$6,Data[#Headers],0))</f>
        <v>201881</v>
      </c>
      <c r="G136" s="22">
        <f>INDEX(Data[],MATCH($A136,Data[Dist],0),MATCH(G$6,Data[#Headers],0))</f>
        <v>1620374</v>
      </c>
      <c r="H136" s="22">
        <f>INDEX(Data[],MATCH($A136,Data[Dist],0),MATCH(H$6,Data[#Headers],0))-G136</f>
        <v>403764</v>
      </c>
      <c r="I136" s="25"/>
      <c r="J136" s="22">
        <f>INDEX(Notes!$I$2:$N$11,MATCH(Notes!$B$2,Notes!$I$2:$I$11,0),4)*$C136</f>
        <v>812844</v>
      </c>
      <c r="K136" s="22">
        <f>INDEX(Notes!$I$2:$N$11,MATCH(Notes!$B$2,Notes!$I$2:$I$11,0),5)*$D136</f>
        <v>403764</v>
      </c>
      <c r="L136" s="22">
        <f>INDEX(Notes!$I$2:$N$11,MATCH(Notes!$B$2,Notes!$I$2:$I$11,0),6)*$E136</f>
        <v>403766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201883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INDEX($A$7:$H$333,MATCH($S136,$A$7:$A$333,0),5)-Q136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108237</v>
      </c>
      <c r="D137" s="163">
        <f>INDEX(Data[],MATCH($A137,Data[Dist],0),MATCH(D$6,Data[#Headers],0))</f>
        <v>107460</v>
      </c>
      <c r="E137" s="163">
        <f>INDEX(Data[],MATCH($A137,Data[Dist],0),MATCH(E$6,Data[#Headers],0))</f>
        <v>107461</v>
      </c>
      <c r="F137" s="163">
        <f>INDEX(Data[],MATCH($A137,Data[Dist],0),MATCH(F$6,Data[#Headers],0))</f>
        <v>107459</v>
      </c>
      <c r="G137" s="22">
        <f>INDEX(Data[],MATCH($A137,Data[Dist],0),MATCH(G$6,Data[#Headers],0))</f>
        <v>862790</v>
      </c>
      <c r="H137" s="22">
        <f>INDEX(Data[],MATCH($A137,Data[Dist],0),MATCH(H$6,Data[#Headers],0))-G137</f>
        <v>214920</v>
      </c>
      <c r="I137" s="25"/>
      <c r="J137" s="22">
        <f>INDEX(Notes!$I$2:$N$11,MATCH(Notes!$B$2,Notes!$I$2:$I$11,0),4)*$C137</f>
        <v>432948</v>
      </c>
      <c r="K137" s="22">
        <f>INDEX(Notes!$I$2:$N$11,MATCH(Notes!$B$2,Notes!$I$2:$I$11,0),5)*$D137</f>
        <v>214920</v>
      </c>
      <c r="L137" s="22">
        <f>INDEX(Notes!$I$2:$N$11,MATCH(Notes!$B$2,Notes!$I$2:$I$11,0),6)*$E137</f>
        <v>214922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107461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781234</v>
      </c>
      <c r="D138" s="163">
        <f>INDEX(Data[],MATCH($A138,Data[Dist],0),MATCH(D$6,Data[#Headers],0))</f>
        <v>776797</v>
      </c>
      <c r="E138" s="163">
        <f>INDEX(Data[],MATCH($A138,Data[Dist],0),MATCH(E$6,Data[#Headers],0))</f>
        <v>776797</v>
      </c>
      <c r="F138" s="163">
        <f>INDEX(Data[],MATCH($A138,Data[Dist],0),MATCH(F$6,Data[#Headers],0))</f>
        <v>776798</v>
      </c>
      <c r="G138" s="22">
        <f>INDEX(Data[],MATCH($A138,Data[Dist],0),MATCH(G$6,Data[#Headers],0))</f>
        <v>6232124</v>
      </c>
      <c r="H138" s="22">
        <f>INDEX(Data[],MATCH($A138,Data[Dist],0),MATCH(H$6,Data[#Headers],0))-G138</f>
        <v>1553595</v>
      </c>
      <c r="I138" s="25"/>
      <c r="J138" s="22">
        <f>INDEX(Notes!$I$2:$N$11,MATCH(Notes!$B$2,Notes!$I$2:$I$11,0),4)*$C138</f>
        <v>3124936</v>
      </c>
      <c r="K138" s="22">
        <f>INDEX(Notes!$I$2:$N$11,MATCH(Notes!$B$2,Notes!$I$2:$I$11,0),5)*$D138</f>
        <v>1553594</v>
      </c>
      <c r="L138" s="22">
        <f>INDEX(Notes!$I$2:$N$11,MATCH(Notes!$B$2,Notes!$I$2:$I$11,0),6)*$E138</f>
        <v>1553594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776797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847387</v>
      </c>
      <c r="D139" s="163">
        <f>INDEX(Data[],MATCH($A139,Data[Dist],0),MATCH(D$6,Data[#Headers],0))</f>
        <v>842024</v>
      </c>
      <c r="E139" s="163">
        <f>INDEX(Data[],MATCH($A139,Data[Dist],0),MATCH(E$6,Data[#Headers],0))</f>
        <v>842024</v>
      </c>
      <c r="F139" s="163">
        <f>INDEX(Data[],MATCH($A139,Data[Dist],0),MATCH(F$6,Data[#Headers],0))</f>
        <v>842023</v>
      </c>
      <c r="G139" s="22">
        <f>INDEX(Data[],MATCH($A139,Data[Dist],0),MATCH(G$6,Data[#Headers],0))</f>
        <v>6757644</v>
      </c>
      <c r="H139" s="22">
        <f>INDEX(Data[],MATCH($A139,Data[Dist],0),MATCH(H$6,Data[#Headers],0))-G139</f>
        <v>1684047</v>
      </c>
      <c r="I139" s="25"/>
      <c r="J139" s="22">
        <f>INDEX(Notes!$I$2:$N$11,MATCH(Notes!$B$2,Notes!$I$2:$I$11,0),4)*$C139</f>
        <v>3389548</v>
      </c>
      <c r="K139" s="22">
        <f>INDEX(Notes!$I$2:$N$11,MATCH(Notes!$B$2,Notes!$I$2:$I$11,0),5)*$D139</f>
        <v>1684048</v>
      </c>
      <c r="L139" s="22">
        <f>INDEX(Notes!$I$2:$N$11,MATCH(Notes!$B$2,Notes!$I$2:$I$11,0),6)*$E139</f>
        <v>1684048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842024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100519</v>
      </c>
      <c r="D140" s="163">
        <f>INDEX(Data[],MATCH($A140,Data[Dist],0),MATCH(D$6,Data[#Headers],0))</f>
        <v>99351</v>
      </c>
      <c r="E140" s="163">
        <f>INDEX(Data[],MATCH($A140,Data[Dist],0),MATCH(E$6,Data[#Headers],0))</f>
        <v>99350</v>
      </c>
      <c r="F140" s="163">
        <f>INDEX(Data[],MATCH($A140,Data[Dist],0),MATCH(F$6,Data[#Headers],0))</f>
        <v>99351</v>
      </c>
      <c r="G140" s="22">
        <f>INDEX(Data[],MATCH($A140,Data[Dist],0),MATCH(G$6,Data[#Headers],0))</f>
        <v>799478</v>
      </c>
      <c r="H140" s="22">
        <f>INDEX(Data[],MATCH($A140,Data[Dist],0),MATCH(H$6,Data[#Headers],0))-G140</f>
        <v>198701</v>
      </c>
      <c r="I140" s="25"/>
      <c r="J140" s="22">
        <f>INDEX(Notes!$I$2:$N$11,MATCH(Notes!$B$2,Notes!$I$2:$I$11,0),4)*$C140</f>
        <v>402076</v>
      </c>
      <c r="K140" s="22">
        <f>INDEX(Notes!$I$2:$N$11,MATCH(Notes!$B$2,Notes!$I$2:$I$11,0),5)*$D140</f>
        <v>198702</v>
      </c>
      <c r="L140" s="22">
        <f>INDEX(Notes!$I$2:$N$11,MATCH(Notes!$B$2,Notes!$I$2:$I$11,0),6)*$E140</f>
        <v>198700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99350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306067</v>
      </c>
      <c r="D141" s="163">
        <f>INDEX(Data[],MATCH($A141,Data[Dist],0),MATCH(D$6,Data[#Headers],0))</f>
        <v>303643</v>
      </c>
      <c r="E141" s="163">
        <f>INDEX(Data[],MATCH($A141,Data[Dist],0),MATCH(E$6,Data[#Headers],0))</f>
        <v>303644</v>
      </c>
      <c r="F141" s="163">
        <f>INDEX(Data[],MATCH($A141,Data[Dist],0),MATCH(F$6,Data[#Headers],0))</f>
        <v>303642</v>
      </c>
      <c r="G141" s="22">
        <f>INDEX(Data[],MATCH($A141,Data[Dist],0),MATCH(G$6,Data[#Headers],0))</f>
        <v>2438842</v>
      </c>
      <c r="H141" s="22">
        <f>INDEX(Data[],MATCH($A141,Data[Dist],0),MATCH(H$6,Data[#Headers],0))-G141</f>
        <v>607286</v>
      </c>
      <c r="I141" s="25"/>
      <c r="J141" s="22">
        <f>INDEX(Notes!$I$2:$N$11,MATCH(Notes!$B$2,Notes!$I$2:$I$11,0),4)*$C141</f>
        <v>1224268</v>
      </c>
      <c r="K141" s="22">
        <f>INDEX(Notes!$I$2:$N$11,MATCH(Notes!$B$2,Notes!$I$2:$I$11,0),5)*$D141</f>
        <v>607286</v>
      </c>
      <c r="L141" s="22">
        <f>INDEX(Notes!$I$2:$N$11,MATCH(Notes!$B$2,Notes!$I$2:$I$11,0),6)*$E141</f>
        <v>607288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303644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341377</v>
      </c>
      <c r="D142" s="163">
        <f>INDEX(Data[],MATCH($A142,Data[Dist],0),MATCH(D$6,Data[#Headers],0))</f>
        <v>338966</v>
      </c>
      <c r="E142" s="163">
        <f>INDEX(Data[],MATCH($A142,Data[Dist],0),MATCH(E$6,Data[#Headers],0))</f>
        <v>338966</v>
      </c>
      <c r="F142" s="163">
        <f>INDEX(Data[],MATCH($A142,Data[Dist],0),MATCH(F$6,Data[#Headers],0))</f>
        <v>338965</v>
      </c>
      <c r="G142" s="22">
        <f>INDEX(Data[],MATCH($A142,Data[Dist],0),MATCH(G$6,Data[#Headers],0))</f>
        <v>2721372</v>
      </c>
      <c r="H142" s="22">
        <f>INDEX(Data[],MATCH($A142,Data[Dist],0),MATCH(H$6,Data[#Headers],0))-G142</f>
        <v>677931</v>
      </c>
      <c r="I142" s="25"/>
      <c r="J142" s="22">
        <f>INDEX(Notes!$I$2:$N$11,MATCH(Notes!$B$2,Notes!$I$2:$I$11,0),4)*$C142</f>
        <v>1365508</v>
      </c>
      <c r="K142" s="22">
        <f>INDEX(Notes!$I$2:$N$11,MATCH(Notes!$B$2,Notes!$I$2:$I$11,0),5)*$D142</f>
        <v>677932</v>
      </c>
      <c r="L142" s="22">
        <f>INDEX(Notes!$I$2:$N$11,MATCH(Notes!$B$2,Notes!$I$2:$I$11,0),6)*$E142</f>
        <v>677932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338966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301803</v>
      </c>
      <c r="D143" s="163">
        <f>INDEX(Data[],MATCH($A143,Data[Dist],0),MATCH(D$6,Data[#Headers],0))</f>
        <v>299740</v>
      </c>
      <c r="E143" s="163">
        <f>INDEX(Data[],MATCH($A143,Data[Dist],0),MATCH(E$6,Data[#Headers],0))</f>
        <v>289363</v>
      </c>
      <c r="F143" s="163">
        <f>INDEX(Data[],MATCH($A143,Data[Dist],0),MATCH(F$6,Data[#Headers],0))</f>
        <v>289361</v>
      </c>
      <c r="G143" s="22">
        <f>INDEX(Data[],MATCH($A143,Data[Dist],0),MATCH(G$6,Data[#Headers],0))</f>
        <v>2385418</v>
      </c>
      <c r="H143" s="22">
        <f>INDEX(Data[],MATCH($A143,Data[Dist],0),MATCH(H$6,Data[#Headers],0))-G143</f>
        <v>578724</v>
      </c>
      <c r="I143" s="25"/>
      <c r="J143" s="22">
        <f>INDEX(Notes!$I$2:$N$11,MATCH(Notes!$B$2,Notes!$I$2:$I$11,0),4)*$C143</f>
        <v>1207212</v>
      </c>
      <c r="K143" s="22">
        <f>INDEX(Notes!$I$2:$N$11,MATCH(Notes!$B$2,Notes!$I$2:$I$11,0),5)*$D143</f>
        <v>599480</v>
      </c>
      <c r="L143" s="22">
        <f>INDEX(Notes!$I$2:$N$11,MATCH(Notes!$B$2,Notes!$I$2:$I$11,0),6)*$E143</f>
        <v>578726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289363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687164</v>
      </c>
      <c r="D144" s="163">
        <f>INDEX(Data[],MATCH($A144,Data[Dist],0),MATCH(D$6,Data[#Headers],0))</f>
        <v>682712</v>
      </c>
      <c r="E144" s="163">
        <f>INDEX(Data[],MATCH($A144,Data[Dist],0),MATCH(E$6,Data[#Headers],0))</f>
        <v>682712</v>
      </c>
      <c r="F144" s="163">
        <f>INDEX(Data[],MATCH($A144,Data[Dist],0),MATCH(F$6,Data[#Headers],0))</f>
        <v>682710</v>
      </c>
      <c r="G144" s="22">
        <f>INDEX(Data[],MATCH($A144,Data[Dist],0),MATCH(G$6,Data[#Headers],0))</f>
        <v>5479504</v>
      </c>
      <c r="H144" s="22">
        <f>INDEX(Data[],MATCH($A144,Data[Dist],0),MATCH(H$6,Data[#Headers],0))-G144</f>
        <v>1365422</v>
      </c>
      <c r="I144" s="25"/>
      <c r="J144" s="22">
        <f>INDEX(Notes!$I$2:$N$11,MATCH(Notes!$B$2,Notes!$I$2:$I$11,0),4)*$C144</f>
        <v>2748656</v>
      </c>
      <c r="K144" s="22">
        <f>INDEX(Notes!$I$2:$N$11,MATCH(Notes!$B$2,Notes!$I$2:$I$11,0),5)*$D144</f>
        <v>1365424</v>
      </c>
      <c r="L144" s="22">
        <f>INDEX(Notes!$I$2:$N$11,MATCH(Notes!$B$2,Notes!$I$2:$I$11,0),6)*$E144</f>
        <v>1365424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682712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191754</v>
      </c>
      <c r="D145" s="163">
        <f>INDEX(Data[],MATCH($A145,Data[Dist],0),MATCH(D$6,Data[#Headers],0))</f>
        <v>190094</v>
      </c>
      <c r="E145" s="163">
        <f>INDEX(Data[],MATCH($A145,Data[Dist],0),MATCH(E$6,Data[#Headers],0))</f>
        <v>190093</v>
      </c>
      <c r="F145" s="163">
        <f>INDEX(Data[],MATCH($A145,Data[Dist],0),MATCH(F$6,Data[#Headers],0))</f>
        <v>190094</v>
      </c>
      <c r="G145" s="22">
        <f>INDEX(Data[],MATCH($A145,Data[Dist],0),MATCH(G$6,Data[#Headers],0))</f>
        <v>1527390</v>
      </c>
      <c r="H145" s="22">
        <f>INDEX(Data[],MATCH($A145,Data[Dist],0),MATCH(H$6,Data[#Headers],0))-G145</f>
        <v>380187</v>
      </c>
      <c r="I145" s="25"/>
      <c r="J145" s="22">
        <f>INDEX(Notes!$I$2:$N$11,MATCH(Notes!$B$2,Notes!$I$2:$I$11,0),4)*$C145</f>
        <v>767016</v>
      </c>
      <c r="K145" s="22">
        <f>INDEX(Notes!$I$2:$N$11,MATCH(Notes!$B$2,Notes!$I$2:$I$11,0),5)*$D145</f>
        <v>380188</v>
      </c>
      <c r="L145" s="22">
        <f>INDEX(Notes!$I$2:$N$11,MATCH(Notes!$B$2,Notes!$I$2:$I$11,0),6)*$E145</f>
        <v>380186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190093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471074</v>
      </c>
      <c r="D146" s="163">
        <f>INDEX(Data[],MATCH($A146,Data[Dist],0),MATCH(D$6,Data[#Headers],0))</f>
        <v>468375</v>
      </c>
      <c r="E146" s="163">
        <f>INDEX(Data[],MATCH($A146,Data[Dist],0),MATCH(E$6,Data[#Headers],0))</f>
        <v>468375</v>
      </c>
      <c r="F146" s="163">
        <f>INDEX(Data[],MATCH($A146,Data[Dist],0),MATCH(F$6,Data[#Headers],0))</f>
        <v>468375</v>
      </c>
      <c r="G146" s="22">
        <f>INDEX(Data[],MATCH($A146,Data[Dist],0),MATCH(G$6,Data[#Headers],0))</f>
        <v>3757796</v>
      </c>
      <c r="H146" s="22">
        <f>INDEX(Data[],MATCH($A146,Data[Dist],0),MATCH(H$6,Data[#Headers],0))-G146</f>
        <v>936750</v>
      </c>
      <c r="I146" s="25"/>
      <c r="J146" s="22">
        <f>INDEX(Notes!$I$2:$N$11,MATCH(Notes!$B$2,Notes!$I$2:$I$11,0),4)*$C146</f>
        <v>1884296</v>
      </c>
      <c r="K146" s="22">
        <f>INDEX(Notes!$I$2:$N$11,MATCH(Notes!$B$2,Notes!$I$2:$I$11,0),5)*$D146</f>
        <v>936750</v>
      </c>
      <c r="L146" s="22">
        <f>INDEX(Notes!$I$2:$N$11,MATCH(Notes!$B$2,Notes!$I$2:$I$11,0),6)*$E146</f>
        <v>936750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468375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777856</v>
      </c>
      <c r="D147" s="163">
        <f>INDEX(Data[],MATCH($A147,Data[Dist],0),MATCH(D$6,Data[#Headers],0))</f>
        <v>772938</v>
      </c>
      <c r="E147" s="163">
        <f>INDEX(Data[],MATCH($A147,Data[Dist],0),MATCH(E$6,Data[#Headers],0))</f>
        <v>772938</v>
      </c>
      <c r="F147" s="163">
        <f>INDEX(Data[],MATCH($A147,Data[Dist],0),MATCH(F$6,Data[#Headers],0))</f>
        <v>772939</v>
      </c>
      <c r="G147" s="22">
        <f>INDEX(Data[],MATCH($A147,Data[Dist],0),MATCH(G$6,Data[#Headers],0))</f>
        <v>6203176</v>
      </c>
      <c r="H147" s="22">
        <f>INDEX(Data[],MATCH($A147,Data[Dist],0),MATCH(H$6,Data[#Headers],0))-G147</f>
        <v>1545877</v>
      </c>
      <c r="I147" s="25"/>
      <c r="J147" s="22">
        <f>INDEX(Notes!$I$2:$N$11,MATCH(Notes!$B$2,Notes!$I$2:$I$11,0),4)*$C147</f>
        <v>3111424</v>
      </c>
      <c r="K147" s="22">
        <f>INDEX(Notes!$I$2:$N$11,MATCH(Notes!$B$2,Notes!$I$2:$I$11,0),5)*$D147</f>
        <v>1545876</v>
      </c>
      <c r="L147" s="22">
        <f>INDEX(Notes!$I$2:$N$11,MATCH(Notes!$B$2,Notes!$I$2:$I$11,0),6)*$E147</f>
        <v>1545876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772938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944483</v>
      </c>
      <c r="D148" s="163">
        <f>INDEX(Data[],MATCH($A148,Data[Dist],0),MATCH(D$6,Data[#Headers],0))</f>
        <v>938978</v>
      </c>
      <c r="E148" s="163">
        <f>INDEX(Data[],MATCH($A148,Data[Dist],0),MATCH(E$6,Data[#Headers],0))</f>
        <v>938978</v>
      </c>
      <c r="F148" s="163">
        <f>INDEX(Data[],MATCH($A148,Data[Dist],0),MATCH(F$6,Data[#Headers],0))</f>
        <v>938977</v>
      </c>
      <c r="G148" s="22">
        <f>INDEX(Data[],MATCH($A148,Data[Dist],0),MATCH(G$6,Data[#Headers],0))</f>
        <v>7533844</v>
      </c>
      <c r="H148" s="22">
        <f>INDEX(Data[],MATCH($A148,Data[Dist],0),MATCH(H$6,Data[#Headers],0))-G148</f>
        <v>1877955</v>
      </c>
      <c r="I148" s="25"/>
      <c r="J148" s="22">
        <f>INDEX(Notes!$I$2:$N$11,MATCH(Notes!$B$2,Notes!$I$2:$I$11,0),4)*$C148</f>
        <v>3777932</v>
      </c>
      <c r="K148" s="22">
        <f>INDEX(Notes!$I$2:$N$11,MATCH(Notes!$B$2,Notes!$I$2:$I$11,0),5)*$D148</f>
        <v>1877956</v>
      </c>
      <c r="L148" s="22">
        <f>INDEX(Notes!$I$2:$N$11,MATCH(Notes!$B$2,Notes!$I$2:$I$11,0),6)*$E148</f>
        <v>1877956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938978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2410208</v>
      </c>
      <c r="D149" s="163">
        <f>INDEX(Data[],MATCH($A149,Data[Dist],0),MATCH(D$6,Data[#Headers],0))</f>
        <v>2396447</v>
      </c>
      <c r="E149" s="163">
        <f>INDEX(Data[],MATCH($A149,Data[Dist],0),MATCH(E$6,Data[#Headers],0))</f>
        <v>2396447</v>
      </c>
      <c r="F149" s="163">
        <f>INDEX(Data[],MATCH($A149,Data[Dist],0),MATCH(F$6,Data[#Headers],0))</f>
        <v>2396445</v>
      </c>
      <c r="G149" s="22">
        <f>INDEX(Data[],MATCH($A149,Data[Dist],0),MATCH(G$6,Data[#Headers],0))</f>
        <v>19226620</v>
      </c>
      <c r="H149" s="22">
        <f>INDEX(Data[],MATCH($A149,Data[Dist],0),MATCH(H$6,Data[#Headers],0))-G149</f>
        <v>4792892</v>
      </c>
      <c r="I149" s="25"/>
      <c r="J149" s="22">
        <f>INDEX(Notes!$I$2:$N$11,MATCH(Notes!$B$2,Notes!$I$2:$I$11,0),4)*$C149</f>
        <v>9640832</v>
      </c>
      <c r="K149" s="22">
        <f>INDEX(Notes!$I$2:$N$11,MATCH(Notes!$B$2,Notes!$I$2:$I$11,0),5)*$D149</f>
        <v>4792894</v>
      </c>
      <c r="L149" s="22">
        <f>INDEX(Notes!$I$2:$N$11,MATCH(Notes!$B$2,Notes!$I$2:$I$11,0),6)*$E149</f>
        <v>4792894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2396447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530492</v>
      </c>
      <c r="D150" s="163">
        <f>INDEX(Data[],MATCH($A150,Data[Dist],0),MATCH(D$6,Data[#Headers],0))</f>
        <v>527277</v>
      </c>
      <c r="E150" s="163">
        <f>INDEX(Data[],MATCH($A150,Data[Dist],0),MATCH(E$6,Data[#Headers],0))</f>
        <v>527277</v>
      </c>
      <c r="F150" s="163">
        <f>INDEX(Data[],MATCH($A150,Data[Dist],0),MATCH(F$6,Data[#Headers],0))</f>
        <v>527275</v>
      </c>
      <c r="G150" s="22">
        <f>INDEX(Data[],MATCH($A150,Data[Dist],0),MATCH(G$6,Data[#Headers],0))</f>
        <v>4231076</v>
      </c>
      <c r="H150" s="22">
        <f>INDEX(Data[],MATCH($A150,Data[Dist],0),MATCH(H$6,Data[#Headers],0))-G150</f>
        <v>1054552</v>
      </c>
      <c r="I150" s="25"/>
      <c r="J150" s="22">
        <f>INDEX(Notes!$I$2:$N$11,MATCH(Notes!$B$2,Notes!$I$2:$I$11,0),4)*$C150</f>
        <v>2121968</v>
      </c>
      <c r="K150" s="22">
        <f>INDEX(Notes!$I$2:$N$11,MATCH(Notes!$B$2,Notes!$I$2:$I$11,0),5)*$D150</f>
        <v>1054554</v>
      </c>
      <c r="L150" s="22">
        <f>INDEX(Notes!$I$2:$N$11,MATCH(Notes!$B$2,Notes!$I$2:$I$11,0),6)*$E150</f>
        <v>1054554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527277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8043165</v>
      </c>
      <c r="D151" s="163">
        <f>INDEX(Data[],MATCH($A151,Data[Dist],0),MATCH(D$6,Data[#Headers],0))</f>
        <v>7986616</v>
      </c>
      <c r="E151" s="163">
        <f>INDEX(Data[],MATCH($A151,Data[Dist],0),MATCH(E$6,Data[#Headers],0))</f>
        <v>7986616</v>
      </c>
      <c r="F151" s="163">
        <f>INDEX(Data[],MATCH($A151,Data[Dist],0),MATCH(F$6,Data[#Headers],0))</f>
        <v>7986616</v>
      </c>
      <c r="G151" s="22">
        <f>INDEX(Data[],MATCH($A151,Data[Dist],0),MATCH(G$6,Data[#Headers],0))</f>
        <v>64119124</v>
      </c>
      <c r="H151" s="22">
        <f>INDEX(Data[],MATCH($A151,Data[Dist],0),MATCH(H$6,Data[#Headers],0))-G151</f>
        <v>15973232</v>
      </c>
      <c r="I151" s="25"/>
      <c r="J151" s="22">
        <f>INDEX(Notes!$I$2:$N$11,MATCH(Notes!$B$2,Notes!$I$2:$I$11,0),4)*$C151</f>
        <v>32172660</v>
      </c>
      <c r="K151" s="22">
        <f>INDEX(Notes!$I$2:$N$11,MATCH(Notes!$B$2,Notes!$I$2:$I$11,0),5)*$D151</f>
        <v>15973232</v>
      </c>
      <c r="L151" s="22">
        <f>INDEX(Notes!$I$2:$N$11,MATCH(Notes!$B$2,Notes!$I$2:$I$11,0),6)*$E151</f>
        <v>15973232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7986616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682889</v>
      </c>
      <c r="D152" s="163">
        <f>INDEX(Data[],MATCH($A152,Data[Dist],0),MATCH(D$6,Data[#Headers],0))</f>
        <v>678791</v>
      </c>
      <c r="E152" s="163">
        <f>INDEX(Data[],MATCH($A152,Data[Dist],0),MATCH(E$6,Data[#Headers],0))</f>
        <v>678792</v>
      </c>
      <c r="F152" s="163">
        <f>INDEX(Data[],MATCH($A152,Data[Dist],0),MATCH(F$6,Data[#Headers],0))</f>
        <v>678790</v>
      </c>
      <c r="G152" s="22">
        <f>INDEX(Data[],MATCH($A152,Data[Dist],0),MATCH(G$6,Data[#Headers],0))</f>
        <v>5446722</v>
      </c>
      <c r="H152" s="22">
        <f>INDEX(Data[],MATCH($A152,Data[Dist],0),MATCH(H$6,Data[#Headers],0))-G152</f>
        <v>1357582</v>
      </c>
      <c r="I152" s="25"/>
      <c r="J152" s="22">
        <f>INDEX(Notes!$I$2:$N$11,MATCH(Notes!$B$2,Notes!$I$2:$I$11,0),4)*$C152</f>
        <v>2731556</v>
      </c>
      <c r="K152" s="22">
        <f>INDEX(Notes!$I$2:$N$11,MATCH(Notes!$B$2,Notes!$I$2:$I$11,0),5)*$D152</f>
        <v>1357582</v>
      </c>
      <c r="L152" s="22">
        <f>INDEX(Notes!$I$2:$N$11,MATCH(Notes!$B$2,Notes!$I$2:$I$11,0),6)*$E152</f>
        <v>1357584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678792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350897</v>
      </c>
      <c r="D153" s="163">
        <f>INDEX(Data[],MATCH($A153,Data[Dist],0),MATCH(D$6,Data[#Headers],0))</f>
        <v>348841</v>
      </c>
      <c r="E153" s="163">
        <f>INDEX(Data[],MATCH($A153,Data[Dist],0),MATCH(E$6,Data[#Headers],0))</f>
        <v>348840</v>
      </c>
      <c r="F153" s="163">
        <f>INDEX(Data[],MATCH($A153,Data[Dist],0),MATCH(F$6,Data[#Headers],0))</f>
        <v>348841</v>
      </c>
      <c r="G153" s="22">
        <f>INDEX(Data[],MATCH($A153,Data[Dist],0),MATCH(G$6,Data[#Headers],0))</f>
        <v>2798950</v>
      </c>
      <c r="H153" s="22">
        <f>INDEX(Data[],MATCH($A153,Data[Dist],0),MATCH(H$6,Data[#Headers],0))-G153</f>
        <v>697681</v>
      </c>
      <c r="I153" s="25"/>
      <c r="J153" s="22">
        <f>INDEX(Notes!$I$2:$N$11,MATCH(Notes!$B$2,Notes!$I$2:$I$11,0),4)*$C153</f>
        <v>1403588</v>
      </c>
      <c r="K153" s="22">
        <f>INDEX(Notes!$I$2:$N$11,MATCH(Notes!$B$2,Notes!$I$2:$I$11,0),5)*$D153</f>
        <v>697682</v>
      </c>
      <c r="L153" s="22">
        <f>INDEX(Notes!$I$2:$N$11,MATCH(Notes!$B$2,Notes!$I$2:$I$11,0),6)*$E153</f>
        <v>697680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348840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371381</v>
      </c>
      <c r="D154" s="163">
        <f>INDEX(Data[],MATCH($A154,Data[Dist],0),MATCH(D$6,Data[#Headers],0))</f>
        <v>368697</v>
      </c>
      <c r="E154" s="163">
        <f>INDEX(Data[],MATCH($A154,Data[Dist],0),MATCH(E$6,Data[#Headers],0))</f>
        <v>368698</v>
      </c>
      <c r="F154" s="163">
        <f>INDEX(Data[],MATCH($A154,Data[Dist],0),MATCH(F$6,Data[#Headers],0))</f>
        <v>368696</v>
      </c>
      <c r="G154" s="22">
        <f>INDEX(Data[],MATCH($A154,Data[Dist],0),MATCH(G$6,Data[#Headers],0))</f>
        <v>2960314</v>
      </c>
      <c r="H154" s="22">
        <f>INDEX(Data[],MATCH($A154,Data[Dist],0),MATCH(H$6,Data[#Headers],0))-G154</f>
        <v>737394</v>
      </c>
      <c r="I154" s="25"/>
      <c r="J154" s="22">
        <f>INDEX(Notes!$I$2:$N$11,MATCH(Notes!$B$2,Notes!$I$2:$I$11,0),4)*$C154</f>
        <v>1485524</v>
      </c>
      <c r="K154" s="22">
        <f>INDEX(Notes!$I$2:$N$11,MATCH(Notes!$B$2,Notes!$I$2:$I$11,0),5)*$D154</f>
        <v>737394</v>
      </c>
      <c r="L154" s="22">
        <f>INDEX(Notes!$I$2:$N$11,MATCH(Notes!$B$2,Notes!$I$2:$I$11,0),6)*$E154</f>
        <v>737396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368698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290367</v>
      </c>
      <c r="D155" s="163">
        <f>INDEX(Data[],MATCH($A155,Data[Dist],0),MATCH(D$6,Data[#Headers],0))</f>
        <v>288617</v>
      </c>
      <c r="E155" s="163">
        <f>INDEX(Data[],MATCH($A155,Data[Dist],0),MATCH(E$6,Data[#Headers],0))</f>
        <v>288617</v>
      </c>
      <c r="F155" s="163">
        <f>INDEX(Data[],MATCH($A155,Data[Dist],0),MATCH(F$6,Data[#Headers],0))</f>
        <v>288615</v>
      </c>
      <c r="G155" s="22">
        <f>INDEX(Data[],MATCH($A155,Data[Dist],0),MATCH(G$6,Data[#Headers],0))</f>
        <v>2315936</v>
      </c>
      <c r="H155" s="22">
        <f>INDEX(Data[],MATCH($A155,Data[Dist],0),MATCH(H$6,Data[#Headers],0))-G155</f>
        <v>577232</v>
      </c>
      <c r="I155" s="25"/>
      <c r="J155" s="22">
        <f>INDEX(Notes!$I$2:$N$11,MATCH(Notes!$B$2,Notes!$I$2:$I$11,0),4)*$C155</f>
        <v>1161468</v>
      </c>
      <c r="K155" s="22">
        <f>INDEX(Notes!$I$2:$N$11,MATCH(Notes!$B$2,Notes!$I$2:$I$11,0),5)*$D155</f>
        <v>577234</v>
      </c>
      <c r="L155" s="22">
        <f>INDEX(Notes!$I$2:$N$11,MATCH(Notes!$B$2,Notes!$I$2:$I$11,0),6)*$E155</f>
        <v>577234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288617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709081</v>
      </c>
      <c r="D156" s="163">
        <f>INDEX(Data[],MATCH($A156,Data[Dist],0),MATCH(D$6,Data[#Headers],0))</f>
        <v>704490</v>
      </c>
      <c r="E156" s="163">
        <f>INDEX(Data[],MATCH($A156,Data[Dist],0),MATCH(E$6,Data[#Headers],0))</f>
        <v>704490</v>
      </c>
      <c r="F156" s="163">
        <f>INDEX(Data[],MATCH($A156,Data[Dist],0),MATCH(F$6,Data[#Headers],0))</f>
        <v>704490</v>
      </c>
      <c r="G156" s="22">
        <f>INDEX(Data[],MATCH($A156,Data[Dist],0),MATCH(G$6,Data[#Headers],0))</f>
        <v>5654284</v>
      </c>
      <c r="H156" s="22">
        <f>INDEX(Data[],MATCH($A156,Data[Dist],0),MATCH(H$6,Data[#Headers],0))-G156</f>
        <v>1408980</v>
      </c>
      <c r="I156" s="25"/>
      <c r="J156" s="22">
        <f>INDEX(Notes!$I$2:$N$11,MATCH(Notes!$B$2,Notes!$I$2:$I$11,0),4)*$C156</f>
        <v>2836324</v>
      </c>
      <c r="K156" s="22">
        <f>INDEX(Notes!$I$2:$N$11,MATCH(Notes!$B$2,Notes!$I$2:$I$11,0),5)*$D156</f>
        <v>1408980</v>
      </c>
      <c r="L156" s="22">
        <f>INDEX(Notes!$I$2:$N$11,MATCH(Notes!$B$2,Notes!$I$2:$I$11,0),6)*$E156</f>
        <v>1408980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704490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566415</v>
      </c>
      <c r="D157" s="163">
        <f>INDEX(Data[],MATCH($A157,Data[Dist],0),MATCH(D$6,Data[#Headers],0))</f>
        <v>562861</v>
      </c>
      <c r="E157" s="163">
        <f>INDEX(Data[],MATCH($A157,Data[Dist],0),MATCH(E$6,Data[#Headers],0))</f>
        <v>562860</v>
      </c>
      <c r="F157" s="163">
        <f>INDEX(Data[],MATCH($A157,Data[Dist],0),MATCH(F$6,Data[#Headers],0))</f>
        <v>562861</v>
      </c>
      <c r="G157" s="22">
        <f>INDEX(Data[],MATCH($A157,Data[Dist],0),MATCH(G$6,Data[#Headers],0))</f>
        <v>4517102</v>
      </c>
      <c r="H157" s="22">
        <f>INDEX(Data[],MATCH($A157,Data[Dist],0),MATCH(H$6,Data[#Headers],0))-G157</f>
        <v>1125721</v>
      </c>
      <c r="I157" s="25"/>
      <c r="J157" s="22">
        <f>INDEX(Notes!$I$2:$N$11,MATCH(Notes!$B$2,Notes!$I$2:$I$11,0),4)*$C157</f>
        <v>2265660</v>
      </c>
      <c r="K157" s="22">
        <f>INDEX(Notes!$I$2:$N$11,MATCH(Notes!$B$2,Notes!$I$2:$I$11,0),5)*$D157</f>
        <v>1125722</v>
      </c>
      <c r="L157" s="22">
        <f>INDEX(Notes!$I$2:$N$11,MATCH(Notes!$B$2,Notes!$I$2:$I$11,0),6)*$E157</f>
        <v>1125720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562860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4422226</v>
      </c>
      <c r="D158" s="163">
        <f>INDEX(Data[],MATCH($A158,Data[Dist],0),MATCH(D$6,Data[#Headers],0))</f>
        <v>4394497</v>
      </c>
      <c r="E158" s="163">
        <f>INDEX(Data[],MATCH($A158,Data[Dist],0),MATCH(E$6,Data[#Headers],0))</f>
        <v>4394497</v>
      </c>
      <c r="F158" s="163">
        <f>INDEX(Data[],MATCH($A158,Data[Dist],0),MATCH(F$6,Data[#Headers],0))</f>
        <v>4394498</v>
      </c>
      <c r="G158" s="22">
        <f>INDEX(Data[],MATCH($A158,Data[Dist],0),MATCH(G$6,Data[#Headers],0))</f>
        <v>35266892</v>
      </c>
      <c r="H158" s="22">
        <f>INDEX(Data[],MATCH($A158,Data[Dist],0),MATCH(H$6,Data[#Headers],0))-G158</f>
        <v>8788995</v>
      </c>
      <c r="I158" s="25"/>
      <c r="J158" s="22">
        <f>INDEX(Notes!$I$2:$N$11,MATCH(Notes!$B$2,Notes!$I$2:$I$11,0),4)*$C158</f>
        <v>17688904</v>
      </c>
      <c r="K158" s="22">
        <f>INDEX(Notes!$I$2:$N$11,MATCH(Notes!$B$2,Notes!$I$2:$I$11,0),5)*$D158</f>
        <v>8788994</v>
      </c>
      <c r="L158" s="22">
        <f>INDEX(Notes!$I$2:$N$11,MATCH(Notes!$B$2,Notes!$I$2:$I$11,0),6)*$E158</f>
        <v>8788994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4394497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1523177</v>
      </c>
      <c r="D159" s="163">
        <f>INDEX(Data[],MATCH($A159,Data[Dist],0),MATCH(D$6,Data[#Headers],0))</f>
        <v>1515645</v>
      </c>
      <c r="E159" s="163">
        <f>INDEX(Data[],MATCH($A159,Data[Dist],0),MATCH(E$6,Data[#Headers],0))</f>
        <v>1510861</v>
      </c>
      <c r="F159" s="163">
        <f>INDEX(Data[],MATCH($A159,Data[Dist],0),MATCH(F$6,Data[#Headers],0))</f>
        <v>1510860</v>
      </c>
      <c r="G159" s="22">
        <f>INDEX(Data[],MATCH($A159,Data[Dist],0),MATCH(G$6,Data[#Headers],0))</f>
        <v>12145720</v>
      </c>
      <c r="H159" s="22">
        <f>INDEX(Data[],MATCH($A159,Data[Dist],0),MATCH(H$6,Data[#Headers],0))-G159</f>
        <v>3021721</v>
      </c>
      <c r="I159" s="25"/>
      <c r="J159" s="22">
        <f>INDEX(Notes!$I$2:$N$11,MATCH(Notes!$B$2,Notes!$I$2:$I$11,0),4)*$C159</f>
        <v>6092708</v>
      </c>
      <c r="K159" s="22">
        <f>INDEX(Notes!$I$2:$N$11,MATCH(Notes!$B$2,Notes!$I$2:$I$11,0),5)*$D159</f>
        <v>3031290</v>
      </c>
      <c r="L159" s="22">
        <f>INDEX(Notes!$I$2:$N$11,MATCH(Notes!$B$2,Notes!$I$2:$I$11,0),6)*$E159</f>
        <v>3021722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1510861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198706</v>
      </c>
      <c r="D160" s="163">
        <f>INDEX(Data[],MATCH($A160,Data[Dist],0),MATCH(D$6,Data[#Headers],0))</f>
        <v>197319</v>
      </c>
      <c r="E160" s="163">
        <f>INDEX(Data[],MATCH($A160,Data[Dist],0),MATCH(E$6,Data[#Headers],0))</f>
        <v>197319</v>
      </c>
      <c r="F160" s="163">
        <f>INDEX(Data[],MATCH($A160,Data[Dist],0),MATCH(F$6,Data[#Headers],0))</f>
        <v>197317</v>
      </c>
      <c r="G160" s="22">
        <f>INDEX(Data[],MATCH($A160,Data[Dist],0),MATCH(G$6,Data[#Headers],0))</f>
        <v>1584100</v>
      </c>
      <c r="H160" s="22">
        <f>INDEX(Data[],MATCH($A160,Data[Dist],0),MATCH(H$6,Data[#Headers],0))-G160</f>
        <v>394636</v>
      </c>
      <c r="I160" s="25"/>
      <c r="J160" s="22">
        <f>INDEX(Notes!$I$2:$N$11,MATCH(Notes!$B$2,Notes!$I$2:$I$11,0),4)*$C160</f>
        <v>794824</v>
      </c>
      <c r="K160" s="22">
        <f>INDEX(Notes!$I$2:$N$11,MATCH(Notes!$B$2,Notes!$I$2:$I$11,0),5)*$D160</f>
        <v>394638</v>
      </c>
      <c r="L160" s="22">
        <f>INDEX(Notes!$I$2:$N$11,MATCH(Notes!$B$2,Notes!$I$2:$I$11,0),6)*$E160</f>
        <v>394638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197319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280439</v>
      </c>
      <c r="D161" s="163">
        <f>INDEX(Data[],MATCH($A161,Data[Dist],0),MATCH(D$6,Data[#Headers],0))</f>
        <v>278591</v>
      </c>
      <c r="E161" s="163">
        <f>INDEX(Data[],MATCH($A161,Data[Dist],0),MATCH(E$6,Data[#Headers],0))</f>
        <v>278591</v>
      </c>
      <c r="F161" s="163">
        <f>INDEX(Data[],MATCH($A161,Data[Dist],0),MATCH(F$6,Data[#Headers],0))</f>
        <v>278591</v>
      </c>
      <c r="G161" s="22">
        <f>INDEX(Data[],MATCH($A161,Data[Dist],0),MATCH(G$6,Data[#Headers],0))</f>
        <v>2236120</v>
      </c>
      <c r="H161" s="22">
        <f>INDEX(Data[],MATCH($A161,Data[Dist],0),MATCH(H$6,Data[#Headers],0))-G161</f>
        <v>557182</v>
      </c>
      <c r="I161" s="25"/>
      <c r="J161" s="22">
        <f>INDEX(Notes!$I$2:$N$11,MATCH(Notes!$B$2,Notes!$I$2:$I$11,0),4)*$C161</f>
        <v>1121756</v>
      </c>
      <c r="K161" s="22">
        <f>INDEX(Notes!$I$2:$N$11,MATCH(Notes!$B$2,Notes!$I$2:$I$11,0),5)*$D161</f>
        <v>557182</v>
      </c>
      <c r="L161" s="22">
        <f>INDEX(Notes!$I$2:$N$11,MATCH(Notes!$B$2,Notes!$I$2:$I$11,0),6)*$E161</f>
        <v>557182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278591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1284875</v>
      </c>
      <c r="D162" s="163">
        <f>INDEX(Data[],MATCH($A162,Data[Dist],0),MATCH(D$6,Data[#Headers],0))</f>
        <v>1277936</v>
      </c>
      <c r="E162" s="163">
        <f>INDEX(Data[],MATCH($A162,Data[Dist],0),MATCH(E$6,Data[#Headers],0))</f>
        <v>1277936</v>
      </c>
      <c r="F162" s="163">
        <f>INDEX(Data[],MATCH($A162,Data[Dist],0),MATCH(F$6,Data[#Headers],0))</f>
        <v>1277935</v>
      </c>
      <c r="G162" s="22">
        <f>INDEX(Data[],MATCH($A162,Data[Dist],0),MATCH(G$6,Data[#Headers],0))</f>
        <v>10251244</v>
      </c>
      <c r="H162" s="22">
        <f>INDEX(Data[],MATCH($A162,Data[Dist],0),MATCH(H$6,Data[#Headers],0))-G162</f>
        <v>2555871</v>
      </c>
      <c r="I162" s="25"/>
      <c r="J162" s="22">
        <f>INDEX(Notes!$I$2:$N$11,MATCH(Notes!$B$2,Notes!$I$2:$I$11,0),4)*$C162</f>
        <v>5139500</v>
      </c>
      <c r="K162" s="22">
        <f>INDEX(Notes!$I$2:$N$11,MATCH(Notes!$B$2,Notes!$I$2:$I$11,0),5)*$D162</f>
        <v>2555872</v>
      </c>
      <c r="L162" s="22">
        <f>INDEX(Notes!$I$2:$N$11,MATCH(Notes!$B$2,Notes!$I$2:$I$11,0),6)*$E162</f>
        <v>2555872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1277936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333190</v>
      </c>
      <c r="D163" s="163">
        <f>INDEX(Data[],MATCH($A163,Data[Dist],0),MATCH(D$6,Data[#Headers],0))</f>
        <v>330903</v>
      </c>
      <c r="E163" s="163">
        <f>INDEX(Data[],MATCH($A163,Data[Dist],0),MATCH(E$6,Data[#Headers],0))</f>
        <v>330903</v>
      </c>
      <c r="F163" s="163">
        <f>INDEX(Data[],MATCH($A163,Data[Dist],0),MATCH(F$6,Data[#Headers],0))</f>
        <v>330904</v>
      </c>
      <c r="G163" s="22">
        <f>INDEX(Data[],MATCH($A163,Data[Dist],0),MATCH(G$6,Data[#Headers],0))</f>
        <v>2656372</v>
      </c>
      <c r="H163" s="22">
        <f>INDEX(Data[],MATCH($A163,Data[Dist],0),MATCH(H$6,Data[#Headers],0))-G163</f>
        <v>661807</v>
      </c>
      <c r="I163" s="25"/>
      <c r="J163" s="22">
        <f>INDEX(Notes!$I$2:$N$11,MATCH(Notes!$B$2,Notes!$I$2:$I$11,0),4)*$C163</f>
        <v>1332760</v>
      </c>
      <c r="K163" s="22">
        <f>INDEX(Notes!$I$2:$N$11,MATCH(Notes!$B$2,Notes!$I$2:$I$11,0),5)*$D163</f>
        <v>661806</v>
      </c>
      <c r="L163" s="22">
        <f>INDEX(Notes!$I$2:$N$11,MATCH(Notes!$B$2,Notes!$I$2:$I$11,0),6)*$E163</f>
        <v>661806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330903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239872</v>
      </c>
      <c r="D164" s="163">
        <f>INDEX(Data[],MATCH($A164,Data[Dist],0),MATCH(D$6,Data[#Headers],0))</f>
        <v>238680</v>
      </c>
      <c r="E164" s="163">
        <f>INDEX(Data[],MATCH($A164,Data[Dist],0),MATCH(E$6,Data[#Headers],0))</f>
        <v>236891</v>
      </c>
      <c r="F164" s="163">
        <f>INDEX(Data[],MATCH($A164,Data[Dist],0),MATCH(F$6,Data[#Headers],0))</f>
        <v>236889</v>
      </c>
      <c r="G164" s="22">
        <f>INDEX(Data[],MATCH($A164,Data[Dist],0),MATCH(G$6,Data[#Headers],0))</f>
        <v>1910630</v>
      </c>
      <c r="H164" s="22">
        <f>INDEX(Data[],MATCH($A164,Data[Dist],0),MATCH(H$6,Data[#Headers],0))-G164</f>
        <v>473780</v>
      </c>
      <c r="I164" s="25"/>
      <c r="J164" s="22">
        <f>INDEX(Notes!$I$2:$N$11,MATCH(Notes!$B$2,Notes!$I$2:$I$11,0),4)*$C164</f>
        <v>959488</v>
      </c>
      <c r="K164" s="22">
        <f>INDEX(Notes!$I$2:$N$11,MATCH(Notes!$B$2,Notes!$I$2:$I$11,0),5)*$D164</f>
        <v>477360</v>
      </c>
      <c r="L164" s="22">
        <f>INDEX(Notes!$I$2:$N$11,MATCH(Notes!$B$2,Notes!$I$2:$I$11,0),6)*$E164</f>
        <v>473782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236891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156887</v>
      </c>
      <c r="D165" s="163">
        <f>INDEX(Data[],MATCH($A165,Data[Dist],0),MATCH(D$6,Data[#Headers],0))</f>
        <v>155826</v>
      </c>
      <c r="E165" s="163">
        <f>INDEX(Data[],MATCH($A165,Data[Dist],0),MATCH(E$6,Data[#Headers],0))</f>
        <v>155826</v>
      </c>
      <c r="F165" s="163">
        <f>INDEX(Data[],MATCH($A165,Data[Dist],0),MATCH(F$6,Data[#Headers],0))</f>
        <v>155827</v>
      </c>
      <c r="G165" s="22">
        <f>INDEX(Data[],MATCH($A165,Data[Dist],0),MATCH(G$6,Data[#Headers],0))</f>
        <v>1250852</v>
      </c>
      <c r="H165" s="22">
        <f>INDEX(Data[],MATCH($A165,Data[Dist],0),MATCH(H$6,Data[#Headers],0))-G165</f>
        <v>311653</v>
      </c>
      <c r="I165" s="25"/>
      <c r="J165" s="22">
        <f>INDEX(Notes!$I$2:$N$11,MATCH(Notes!$B$2,Notes!$I$2:$I$11,0),4)*$C165</f>
        <v>627548</v>
      </c>
      <c r="K165" s="22">
        <f>INDEX(Notes!$I$2:$N$11,MATCH(Notes!$B$2,Notes!$I$2:$I$11,0),5)*$D165</f>
        <v>311652</v>
      </c>
      <c r="L165" s="22">
        <f>INDEX(Notes!$I$2:$N$11,MATCH(Notes!$B$2,Notes!$I$2:$I$11,0),6)*$E165</f>
        <v>311652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155826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374503</v>
      </c>
      <c r="D166" s="163">
        <f>INDEX(Data[],MATCH($A166,Data[Dist],0),MATCH(D$6,Data[#Headers],0))</f>
        <v>372096</v>
      </c>
      <c r="E166" s="163">
        <f>INDEX(Data[],MATCH($A166,Data[Dist],0),MATCH(E$6,Data[#Headers],0))</f>
        <v>372096</v>
      </c>
      <c r="F166" s="163">
        <f>INDEX(Data[],MATCH($A166,Data[Dist],0),MATCH(F$6,Data[#Headers],0))</f>
        <v>372094</v>
      </c>
      <c r="G166" s="22">
        <f>INDEX(Data[],MATCH($A166,Data[Dist],0),MATCH(G$6,Data[#Headers],0))</f>
        <v>2986396</v>
      </c>
      <c r="H166" s="22">
        <f>INDEX(Data[],MATCH($A166,Data[Dist],0),MATCH(H$6,Data[#Headers],0))-G166</f>
        <v>744190</v>
      </c>
      <c r="I166" s="25"/>
      <c r="J166" s="22">
        <f>INDEX(Notes!$I$2:$N$11,MATCH(Notes!$B$2,Notes!$I$2:$I$11,0),4)*$C166</f>
        <v>1498012</v>
      </c>
      <c r="K166" s="22">
        <f>INDEX(Notes!$I$2:$N$11,MATCH(Notes!$B$2,Notes!$I$2:$I$11,0),5)*$D166</f>
        <v>744192</v>
      </c>
      <c r="L166" s="22">
        <f>INDEX(Notes!$I$2:$N$11,MATCH(Notes!$B$2,Notes!$I$2:$I$11,0),6)*$E166</f>
        <v>744192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372096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321291</v>
      </c>
      <c r="D167" s="163">
        <f>INDEX(Data[],MATCH($A167,Data[Dist],0),MATCH(D$6,Data[#Headers],0))</f>
        <v>319010</v>
      </c>
      <c r="E167" s="163">
        <f>INDEX(Data[],MATCH($A167,Data[Dist],0),MATCH(E$6,Data[#Headers],0))</f>
        <v>281960</v>
      </c>
      <c r="F167" s="163">
        <f>INDEX(Data[],MATCH($A167,Data[Dist],0),MATCH(F$6,Data[#Headers],0))</f>
        <v>281961</v>
      </c>
      <c r="G167" s="22">
        <f>INDEX(Data[],MATCH($A167,Data[Dist],0),MATCH(G$6,Data[#Headers],0))</f>
        <v>2487104</v>
      </c>
      <c r="H167" s="22">
        <f>INDEX(Data[],MATCH($A167,Data[Dist],0),MATCH(H$6,Data[#Headers],0))-G167</f>
        <v>563921</v>
      </c>
      <c r="I167" s="25"/>
      <c r="J167" s="22">
        <f>INDEX(Notes!$I$2:$N$11,MATCH(Notes!$B$2,Notes!$I$2:$I$11,0),4)*$C167</f>
        <v>1285164</v>
      </c>
      <c r="K167" s="22">
        <f>INDEX(Notes!$I$2:$N$11,MATCH(Notes!$B$2,Notes!$I$2:$I$11,0),5)*$D167</f>
        <v>638020</v>
      </c>
      <c r="L167" s="22">
        <f>INDEX(Notes!$I$2:$N$11,MATCH(Notes!$B$2,Notes!$I$2:$I$11,0),6)*$E167</f>
        <v>563920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281960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1410666</v>
      </c>
      <c r="D168" s="163">
        <f>INDEX(Data[],MATCH($A168,Data[Dist],0),MATCH(D$6,Data[#Headers],0))</f>
        <v>1401829</v>
      </c>
      <c r="E168" s="163">
        <f>INDEX(Data[],MATCH($A168,Data[Dist],0),MATCH(E$6,Data[#Headers],0))</f>
        <v>1357670</v>
      </c>
      <c r="F168" s="163">
        <f>INDEX(Data[],MATCH($A168,Data[Dist],0),MATCH(F$6,Data[#Headers],0))</f>
        <v>1357668</v>
      </c>
      <c r="G168" s="22">
        <f>INDEX(Data[],MATCH($A168,Data[Dist],0),MATCH(G$6,Data[#Headers],0))</f>
        <v>11161662</v>
      </c>
      <c r="H168" s="22">
        <f>INDEX(Data[],MATCH($A168,Data[Dist],0),MATCH(H$6,Data[#Headers],0))-G168</f>
        <v>2715338</v>
      </c>
      <c r="I168" s="25"/>
      <c r="J168" s="22">
        <f>INDEX(Notes!$I$2:$N$11,MATCH(Notes!$B$2,Notes!$I$2:$I$11,0),4)*$C168</f>
        <v>5642664</v>
      </c>
      <c r="K168" s="22">
        <f>INDEX(Notes!$I$2:$N$11,MATCH(Notes!$B$2,Notes!$I$2:$I$11,0),5)*$D168</f>
        <v>2803658</v>
      </c>
      <c r="L168" s="22">
        <f>INDEX(Notes!$I$2:$N$11,MATCH(Notes!$B$2,Notes!$I$2:$I$11,0),6)*$E168</f>
        <v>2715340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1357670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297778</v>
      </c>
      <c r="D169" s="163">
        <f>INDEX(Data[],MATCH($A169,Data[Dist],0),MATCH(D$6,Data[#Headers],0))</f>
        <v>295982</v>
      </c>
      <c r="E169" s="163">
        <f>INDEX(Data[],MATCH($A169,Data[Dist],0),MATCH(E$6,Data[#Headers],0))</f>
        <v>295981</v>
      </c>
      <c r="F169" s="163">
        <f>INDEX(Data[],MATCH($A169,Data[Dist],0),MATCH(F$6,Data[#Headers],0))</f>
        <v>295982</v>
      </c>
      <c r="G169" s="22">
        <f>INDEX(Data[],MATCH($A169,Data[Dist],0),MATCH(G$6,Data[#Headers],0))</f>
        <v>2375038</v>
      </c>
      <c r="H169" s="22">
        <f>INDEX(Data[],MATCH($A169,Data[Dist],0),MATCH(H$6,Data[#Headers],0))-G169</f>
        <v>591963</v>
      </c>
      <c r="I169" s="25"/>
      <c r="J169" s="22">
        <f>INDEX(Notes!$I$2:$N$11,MATCH(Notes!$B$2,Notes!$I$2:$I$11,0),4)*$C169</f>
        <v>1191112</v>
      </c>
      <c r="K169" s="22">
        <f>INDEX(Notes!$I$2:$N$11,MATCH(Notes!$B$2,Notes!$I$2:$I$11,0),5)*$D169</f>
        <v>591964</v>
      </c>
      <c r="L169" s="22">
        <f>INDEX(Notes!$I$2:$N$11,MATCH(Notes!$B$2,Notes!$I$2:$I$11,0),6)*$E169</f>
        <v>591962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295981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1373058</v>
      </c>
      <c r="D170" s="163">
        <f>INDEX(Data[],MATCH($A170,Data[Dist],0),MATCH(D$6,Data[#Headers],0))</f>
        <v>1362731</v>
      </c>
      <c r="E170" s="163">
        <f>INDEX(Data[],MATCH($A170,Data[Dist],0),MATCH(E$6,Data[#Headers],0))</f>
        <v>1362462</v>
      </c>
      <c r="F170" s="163">
        <f>INDEX(Data[],MATCH($A170,Data[Dist],0),MATCH(F$6,Data[#Headers],0))</f>
        <v>1362463</v>
      </c>
      <c r="G170" s="22">
        <f>INDEX(Data[],MATCH($A170,Data[Dist],0),MATCH(G$6,Data[#Headers],0))</f>
        <v>10942618</v>
      </c>
      <c r="H170" s="22">
        <f>INDEX(Data[],MATCH($A170,Data[Dist],0),MATCH(H$6,Data[#Headers],0))-G170</f>
        <v>2724925</v>
      </c>
      <c r="I170" s="25"/>
      <c r="J170" s="22">
        <f>INDEX(Notes!$I$2:$N$11,MATCH(Notes!$B$2,Notes!$I$2:$I$11,0),4)*$C170</f>
        <v>5492232</v>
      </c>
      <c r="K170" s="22">
        <f>INDEX(Notes!$I$2:$N$11,MATCH(Notes!$B$2,Notes!$I$2:$I$11,0),5)*$D170</f>
        <v>2725462</v>
      </c>
      <c r="L170" s="22">
        <f>INDEX(Notes!$I$2:$N$11,MATCH(Notes!$B$2,Notes!$I$2:$I$11,0),6)*$E170</f>
        <v>2724924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1362462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447495</v>
      </c>
      <c r="D171" s="163">
        <f>INDEX(Data[],MATCH($A171,Data[Dist],0),MATCH(D$6,Data[#Headers],0))</f>
        <v>444584</v>
      </c>
      <c r="E171" s="163">
        <f>INDEX(Data[],MATCH($A171,Data[Dist],0),MATCH(E$6,Data[#Headers],0))</f>
        <v>444584</v>
      </c>
      <c r="F171" s="163">
        <f>INDEX(Data[],MATCH($A171,Data[Dist],0),MATCH(F$6,Data[#Headers],0))</f>
        <v>444585</v>
      </c>
      <c r="G171" s="22">
        <f>INDEX(Data[],MATCH($A171,Data[Dist],0),MATCH(G$6,Data[#Headers],0))</f>
        <v>3568316</v>
      </c>
      <c r="H171" s="22">
        <f>INDEX(Data[],MATCH($A171,Data[Dist],0),MATCH(H$6,Data[#Headers],0))-G171</f>
        <v>889169</v>
      </c>
      <c r="I171" s="25"/>
      <c r="J171" s="22">
        <f>INDEX(Notes!$I$2:$N$11,MATCH(Notes!$B$2,Notes!$I$2:$I$11,0),4)*$C171</f>
        <v>1789980</v>
      </c>
      <c r="K171" s="22">
        <f>INDEX(Notes!$I$2:$N$11,MATCH(Notes!$B$2,Notes!$I$2:$I$11,0),5)*$D171</f>
        <v>889168</v>
      </c>
      <c r="L171" s="22">
        <f>INDEX(Notes!$I$2:$N$11,MATCH(Notes!$B$2,Notes!$I$2:$I$11,0),6)*$E171</f>
        <v>889168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444584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4944379</v>
      </c>
      <c r="D172" s="163">
        <f>INDEX(Data[],MATCH($A172,Data[Dist],0),MATCH(D$6,Data[#Headers],0))</f>
        <v>4914299</v>
      </c>
      <c r="E172" s="163">
        <f>INDEX(Data[],MATCH($A172,Data[Dist],0),MATCH(E$6,Data[#Headers],0))</f>
        <v>4914299</v>
      </c>
      <c r="F172" s="163">
        <f>INDEX(Data[],MATCH($A172,Data[Dist],0),MATCH(F$6,Data[#Headers],0))</f>
        <v>4914297</v>
      </c>
      <c r="G172" s="22">
        <f>INDEX(Data[],MATCH($A172,Data[Dist],0),MATCH(G$6,Data[#Headers],0))</f>
        <v>39434712</v>
      </c>
      <c r="H172" s="22">
        <f>INDEX(Data[],MATCH($A172,Data[Dist],0),MATCH(H$6,Data[#Headers],0))-G172</f>
        <v>9828596</v>
      </c>
      <c r="I172" s="25"/>
      <c r="J172" s="22">
        <f>INDEX(Notes!$I$2:$N$11,MATCH(Notes!$B$2,Notes!$I$2:$I$11,0),4)*$C172</f>
        <v>19777516</v>
      </c>
      <c r="K172" s="22">
        <f>INDEX(Notes!$I$2:$N$11,MATCH(Notes!$B$2,Notes!$I$2:$I$11,0),5)*$D172</f>
        <v>9828598</v>
      </c>
      <c r="L172" s="22">
        <f>INDEX(Notes!$I$2:$N$11,MATCH(Notes!$B$2,Notes!$I$2:$I$11,0),6)*$E172</f>
        <v>9828598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4914299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446366</v>
      </c>
      <c r="D173" s="163">
        <f>INDEX(Data[],MATCH($A173,Data[Dist],0),MATCH(D$6,Data[#Headers],0))</f>
        <v>443779</v>
      </c>
      <c r="E173" s="163">
        <f>INDEX(Data[],MATCH($A173,Data[Dist],0),MATCH(E$6,Data[#Headers],0))</f>
        <v>443779</v>
      </c>
      <c r="F173" s="163">
        <f>INDEX(Data[],MATCH($A173,Data[Dist],0),MATCH(F$6,Data[#Headers],0))</f>
        <v>443777</v>
      </c>
      <c r="G173" s="22">
        <f>INDEX(Data[],MATCH($A173,Data[Dist],0),MATCH(G$6,Data[#Headers],0))</f>
        <v>3560580</v>
      </c>
      <c r="H173" s="22">
        <f>INDEX(Data[],MATCH($A173,Data[Dist],0),MATCH(H$6,Data[#Headers],0))-G173</f>
        <v>887556</v>
      </c>
      <c r="I173" s="25"/>
      <c r="J173" s="22">
        <f>INDEX(Notes!$I$2:$N$11,MATCH(Notes!$B$2,Notes!$I$2:$I$11,0),4)*$C173</f>
        <v>1785464</v>
      </c>
      <c r="K173" s="22">
        <f>INDEX(Notes!$I$2:$N$11,MATCH(Notes!$B$2,Notes!$I$2:$I$11,0),5)*$D173</f>
        <v>887558</v>
      </c>
      <c r="L173" s="22">
        <f>INDEX(Notes!$I$2:$N$11,MATCH(Notes!$B$2,Notes!$I$2:$I$11,0),6)*$E173</f>
        <v>887558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443779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354706</v>
      </c>
      <c r="D174" s="163">
        <f>INDEX(Data[],MATCH($A174,Data[Dist],0),MATCH(D$6,Data[#Headers],0))</f>
        <v>352552</v>
      </c>
      <c r="E174" s="163">
        <f>INDEX(Data[],MATCH($A174,Data[Dist],0),MATCH(E$6,Data[#Headers],0))</f>
        <v>352552</v>
      </c>
      <c r="F174" s="163">
        <f>INDEX(Data[],MATCH($A174,Data[Dist],0),MATCH(F$6,Data[#Headers],0))</f>
        <v>352552</v>
      </c>
      <c r="G174" s="22">
        <f>INDEX(Data[],MATCH($A174,Data[Dist],0),MATCH(G$6,Data[#Headers],0))</f>
        <v>2829032</v>
      </c>
      <c r="H174" s="22">
        <f>INDEX(Data[],MATCH($A174,Data[Dist],0),MATCH(H$6,Data[#Headers],0))-G174</f>
        <v>705104</v>
      </c>
      <c r="I174" s="25"/>
      <c r="J174" s="22">
        <f>INDEX(Notes!$I$2:$N$11,MATCH(Notes!$B$2,Notes!$I$2:$I$11,0),4)*$C174</f>
        <v>1418824</v>
      </c>
      <c r="K174" s="22">
        <f>INDEX(Notes!$I$2:$N$11,MATCH(Notes!$B$2,Notes!$I$2:$I$11,0),5)*$D174</f>
        <v>705104</v>
      </c>
      <c r="L174" s="22">
        <f>INDEX(Notes!$I$2:$N$11,MATCH(Notes!$B$2,Notes!$I$2:$I$11,0),6)*$E174</f>
        <v>705104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352552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219877</v>
      </c>
      <c r="D175" s="163">
        <f>INDEX(Data[],MATCH($A175,Data[Dist],0),MATCH(D$6,Data[#Headers],0))</f>
        <v>218413</v>
      </c>
      <c r="E175" s="163">
        <f>INDEX(Data[],MATCH($A175,Data[Dist],0),MATCH(E$6,Data[#Headers],0))</f>
        <v>217717</v>
      </c>
      <c r="F175" s="163">
        <f>INDEX(Data[],MATCH($A175,Data[Dist],0),MATCH(F$6,Data[#Headers],0))</f>
        <v>217717</v>
      </c>
      <c r="G175" s="22">
        <f>INDEX(Data[],MATCH($A175,Data[Dist],0),MATCH(G$6,Data[#Headers],0))</f>
        <v>1751768</v>
      </c>
      <c r="H175" s="22">
        <f>INDEX(Data[],MATCH($A175,Data[Dist],0),MATCH(H$6,Data[#Headers],0))-G175</f>
        <v>435434</v>
      </c>
      <c r="I175" s="25"/>
      <c r="J175" s="22">
        <f>INDEX(Notes!$I$2:$N$11,MATCH(Notes!$B$2,Notes!$I$2:$I$11,0),4)*$C175</f>
        <v>879508</v>
      </c>
      <c r="K175" s="22">
        <f>INDEX(Notes!$I$2:$N$11,MATCH(Notes!$B$2,Notes!$I$2:$I$11,0),5)*$D175</f>
        <v>436826</v>
      </c>
      <c r="L175" s="22">
        <f>INDEX(Notes!$I$2:$N$11,MATCH(Notes!$B$2,Notes!$I$2:$I$11,0),6)*$E175</f>
        <v>435434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217717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453319</v>
      </c>
      <c r="D176" s="163">
        <f>INDEX(Data[],MATCH($A176,Data[Dist],0),MATCH(D$6,Data[#Headers],0))</f>
        <v>450520</v>
      </c>
      <c r="E176" s="163">
        <f>INDEX(Data[],MATCH($A176,Data[Dist],0),MATCH(E$6,Data[#Headers],0))</f>
        <v>450520</v>
      </c>
      <c r="F176" s="163">
        <f>INDEX(Data[],MATCH($A176,Data[Dist],0),MATCH(F$6,Data[#Headers],0))</f>
        <v>450521</v>
      </c>
      <c r="G176" s="22">
        <f>INDEX(Data[],MATCH($A176,Data[Dist],0),MATCH(G$6,Data[#Headers],0))</f>
        <v>3615356</v>
      </c>
      <c r="H176" s="22">
        <f>INDEX(Data[],MATCH($A176,Data[Dist],0),MATCH(H$6,Data[#Headers],0))-G176</f>
        <v>901041</v>
      </c>
      <c r="I176" s="25"/>
      <c r="J176" s="22">
        <f>INDEX(Notes!$I$2:$N$11,MATCH(Notes!$B$2,Notes!$I$2:$I$11,0),4)*$C176</f>
        <v>1813276</v>
      </c>
      <c r="K176" s="22">
        <f>INDEX(Notes!$I$2:$N$11,MATCH(Notes!$B$2,Notes!$I$2:$I$11,0),5)*$D176</f>
        <v>901040</v>
      </c>
      <c r="L176" s="22">
        <f>INDEX(Notes!$I$2:$N$11,MATCH(Notes!$B$2,Notes!$I$2:$I$11,0),6)*$E176</f>
        <v>901040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450520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37021</v>
      </c>
      <c r="D177" s="163">
        <f>INDEX(Data[],MATCH($A177,Data[Dist],0),MATCH(D$6,Data[#Headers],0))</f>
        <v>36395</v>
      </c>
      <c r="E177" s="163">
        <f>INDEX(Data[],MATCH($A177,Data[Dist],0),MATCH(E$6,Data[#Headers],0))</f>
        <v>36395</v>
      </c>
      <c r="F177" s="163">
        <f>INDEX(Data[],MATCH($A177,Data[Dist],0),MATCH(F$6,Data[#Headers],0))</f>
        <v>36394</v>
      </c>
      <c r="G177" s="22">
        <f>INDEX(Data[],MATCH($A177,Data[Dist],0),MATCH(G$6,Data[#Headers],0))</f>
        <v>293664</v>
      </c>
      <c r="H177" s="22">
        <f>INDEX(Data[],MATCH($A177,Data[Dist],0),MATCH(H$6,Data[#Headers],0))-G177</f>
        <v>72789</v>
      </c>
      <c r="I177" s="25"/>
      <c r="J177" s="22">
        <f>INDEX(Notes!$I$2:$N$11,MATCH(Notes!$B$2,Notes!$I$2:$I$11,0),4)*$C177</f>
        <v>148084</v>
      </c>
      <c r="K177" s="22">
        <f>INDEX(Notes!$I$2:$N$11,MATCH(Notes!$B$2,Notes!$I$2:$I$11,0),5)*$D177</f>
        <v>72790</v>
      </c>
      <c r="L177" s="22">
        <f>INDEX(Notes!$I$2:$N$11,MATCH(Notes!$B$2,Notes!$I$2:$I$11,0),6)*$E177</f>
        <v>72790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36395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259852</v>
      </c>
      <c r="D178" s="163">
        <f>INDEX(Data[],MATCH($A178,Data[Dist],0),MATCH(D$6,Data[#Headers],0))</f>
        <v>258131</v>
      </c>
      <c r="E178" s="163">
        <f>INDEX(Data[],MATCH($A178,Data[Dist],0),MATCH(E$6,Data[#Headers],0))</f>
        <v>258131</v>
      </c>
      <c r="F178" s="163">
        <f>INDEX(Data[],MATCH($A178,Data[Dist],0),MATCH(F$6,Data[#Headers],0))</f>
        <v>258131</v>
      </c>
      <c r="G178" s="22">
        <f>INDEX(Data[],MATCH($A178,Data[Dist],0),MATCH(G$6,Data[#Headers],0))</f>
        <v>2071932</v>
      </c>
      <c r="H178" s="22">
        <f>INDEX(Data[],MATCH($A178,Data[Dist],0),MATCH(H$6,Data[#Headers],0))-G178</f>
        <v>516262</v>
      </c>
      <c r="I178" s="25"/>
      <c r="J178" s="22">
        <f>INDEX(Notes!$I$2:$N$11,MATCH(Notes!$B$2,Notes!$I$2:$I$11,0),4)*$C178</f>
        <v>1039408</v>
      </c>
      <c r="K178" s="22">
        <f>INDEX(Notes!$I$2:$N$11,MATCH(Notes!$B$2,Notes!$I$2:$I$11,0),5)*$D178</f>
        <v>516262</v>
      </c>
      <c r="L178" s="22">
        <f>INDEX(Notes!$I$2:$N$11,MATCH(Notes!$B$2,Notes!$I$2:$I$11,0),6)*$E178</f>
        <v>516262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258131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503788</v>
      </c>
      <c r="D179" s="163">
        <f>INDEX(Data[],MATCH($A179,Data[Dist],0),MATCH(D$6,Data[#Headers],0))</f>
        <v>501114</v>
      </c>
      <c r="E179" s="163">
        <f>INDEX(Data[],MATCH($A179,Data[Dist],0),MATCH(E$6,Data[#Headers],0))</f>
        <v>501114</v>
      </c>
      <c r="F179" s="163">
        <f>INDEX(Data[],MATCH($A179,Data[Dist],0),MATCH(F$6,Data[#Headers],0))</f>
        <v>501112</v>
      </c>
      <c r="G179" s="22">
        <f>INDEX(Data[],MATCH($A179,Data[Dist],0),MATCH(G$6,Data[#Headers],0))</f>
        <v>4019608</v>
      </c>
      <c r="H179" s="22">
        <f>INDEX(Data[],MATCH($A179,Data[Dist],0),MATCH(H$6,Data[#Headers],0))-G179</f>
        <v>1002226</v>
      </c>
      <c r="I179" s="25"/>
      <c r="J179" s="22">
        <f>INDEX(Notes!$I$2:$N$11,MATCH(Notes!$B$2,Notes!$I$2:$I$11,0),4)*$C179</f>
        <v>2015152</v>
      </c>
      <c r="K179" s="22">
        <f>INDEX(Notes!$I$2:$N$11,MATCH(Notes!$B$2,Notes!$I$2:$I$11,0),5)*$D179</f>
        <v>1002228</v>
      </c>
      <c r="L179" s="22">
        <f>INDEX(Notes!$I$2:$N$11,MATCH(Notes!$B$2,Notes!$I$2:$I$11,0),6)*$E179</f>
        <v>1002228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501114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309349</v>
      </c>
      <c r="D180" s="163">
        <f>INDEX(Data[],MATCH($A180,Data[Dist],0),MATCH(D$6,Data[#Headers],0))</f>
        <v>307187</v>
      </c>
      <c r="E180" s="163">
        <f>INDEX(Data[],MATCH($A180,Data[Dist],0),MATCH(E$6,Data[#Headers],0))</f>
        <v>307187</v>
      </c>
      <c r="F180" s="163">
        <f>INDEX(Data[],MATCH($A180,Data[Dist],0),MATCH(F$6,Data[#Headers],0))</f>
        <v>307188</v>
      </c>
      <c r="G180" s="22">
        <f>INDEX(Data[],MATCH($A180,Data[Dist],0),MATCH(G$6,Data[#Headers],0))</f>
        <v>2466144</v>
      </c>
      <c r="H180" s="22">
        <f>INDEX(Data[],MATCH($A180,Data[Dist],0),MATCH(H$6,Data[#Headers],0))-G180</f>
        <v>614375</v>
      </c>
      <c r="I180" s="25"/>
      <c r="J180" s="22">
        <f>INDEX(Notes!$I$2:$N$11,MATCH(Notes!$B$2,Notes!$I$2:$I$11,0),4)*$C180</f>
        <v>1237396</v>
      </c>
      <c r="K180" s="22">
        <f>INDEX(Notes!$I$2:$N$11,MATCH(Notes!$B$2,Notes!$I$2:$I$11,0),5)*$D180</f>
        <v>614374</v>
      </c>
      <c r="L180" s="22">
        <f>INDEX(Notes!$I$2:$N$11,MATCH(Notes!$B$2,Notes!$I$2:$I$11,0),6)*$E180</f>
        <v>614374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307187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319105</v>
      </c>
      <c r="D181" s="163">
        <f>INDEX(Data[],MATCH($A181,Data[Dist],0),MATCH(D$6,Data[#Headers],0))</f>
        <v>316523</v>
      </c>
      <c r="E181" s="163">
        <f>INDEX(Data[],MATCH($A181,Data[Dist],0),MATCH(E$6,Data[#Headers],0))</f>
        <v>316524</v>
      </c>
      <c r="F181" s="163">
        <f>INDEX(Data[],MATCH($A181,Data[Dist],0),MATCH(F$6,Data[#Headers],0))</f>
        <v>316522</v>
      </c>
      <c r="G181" s="22">
        <f>INDEX(Data[],MATCH($A181,Data[Dist],0),MATCH(G$6,Data[#Headers],0))</f>
        <v>2542514</v>
      </c>
      <c r="H181" s="22">
        <f>INDEX(Data[],MATCH($A181,Data[Dist],0),MATCH(H$6,Data[#Headers],0))-G181</f>
        <v>633046</v>
      </c>
      <c r="I181" s="25"/>
      <c r="J181" s="22">
        <f>INDEX(Notes!$I$2:$N$11,MATCH(Notes!$B$2,Notes!$I$2:$I$11,0),4)*$C181</f>
        <v>1276420</v>
      </c>
      <c r="K181" s="22">
        <f>INDEX(Notes!$I$2:$N$11,MATCH(Notes!$B$2,Notes!$I$2:$I$11,0),5)*$D181</f>
        <v>633046</v>
      </c>
      <c r="L181" s="22">
        <f>INDEX(Notes!$I$2:$N$11,MATCH(Notes!$B$2,Notes!$I$2:$I$11,0),6)*$E181</f>
        <v>633048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316524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299110</v>
      </c>
      <c r="D182" s="163">
        <f>INDEX(Data[],MATCH($A182,Data[Dist],0),MATCH(D$6,Data[#Headers],0))</f>
        <v>296739</v>
      </c>
      <c r="E182" s="163">
        <f>INDEX(Data[],MATCH($A182,Data[Dist],0),MATCH(E$6,Data[#Headers],0))</f>
        <v>296738</v>
      </c>
      <c r="F182" s="163">
        <f>INDEX(Data[],MATCH($A182,Data[Dist],0),MATCH(F$6,Data[#Headers],0))</f>
        <v>296739</v>
      </c>
      <c r="G182" s="22">
        <f>INDEX(Data[],MATCH($A182,Data[Dist],0),MATCH(G$6,Data[#Headers],0))</f>
        <v>2383394</v>
      </c>
      <c r="H182" s="22">
        <f>INDEX(Data[],MATCH($A182,Data[Dist],0),MATCH(H$6,Data[#Headers],0))-G182</f>
        <v>593477</v>
      </c>
      <c r="I182" s="25"/>
      <c r="J182" s="22">
        <f>INDEX(Notes!$I$2:$N$11,MATCH(Notes!$B$2,Notes!$I$2:$I$11,0),4)*$C182</f>
        <v>1196440</v>
      </c>
      <c r="K182" s="22">
        <f>INDEX(Notes!$I$2:$N$11,MATCH(Notes!$B$2,Notes!$I$2:$I$11,0),5)*$D182</f>
        <v>593478</v>
      </c>
      <c r="L182" s="22">
        <f>INDEX(Notes!$I$2:$N$11,MATCH(Notes!$B$2,Notes!$I$2:$I$11,0),6)*$E182</f>
        <v>593476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296738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954894</v>
      </c>
      <c r="D183" s="163">
        <f>INDEX(Data[],MATCH($A183,Data[Dist],0),MATCH(D$6,Data[#Headers],0))</f>
        <v>949904</v>
      </c>
      <c r="E183" s="163">
        <f>INDEX(Data[],MATCH($A183,Data[Dist],0),MATCH(E$6,Data[#Headers],0))</f>
        <v>949904</v>
      </c>
      <c r="F183" s="163">
        <f>INDEX(Data[],MATCH($A183,Data[Dist],0),MATCH(F$6,Data[#Headers],0))</f>
        <v>949902</v>
      </c>
      <c r="G183" s="22">
        <f>INDEX(Data[],MATCH($A183,Data[Dist],0),MATCH(G$6,Data[#Headers],0))</f>
        <v>7619192</v>
      </c>
      <c r="H183" s="22">
        <f>INDEX(Data[],MATCH($A183,Data[Dist],0),MATCH(H$6,Data[#Headers],0))-G183</f>
        <v>1899806</v>
      </c>
      <c r="I183" s="25"/>
      <c r="J183" s="22">
        <f>INDEX(Notes!$I$2:$N$11,MATCH(Notes!$B$2,Notes!$I$2:$I$11,0),4)*$C183</f>
        <v>3819576</v>
      </c>
      <c r="K183" s="22">
        <f>INDEX(Notes!$I$2:$N$11,MATCH(Notes!$B$2,Notes!$I$2:$I$11,0),5)*$D183</f>
        <v>1899808</v>
      </c>
      <c r="L183" s="22">
        <f>INDEX(Notes!$I$2:$N$11,MATCH(Notes!$B$2,Notes!$I$2:$I$11,0),6)*$E183</f>
        <v>1899808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949904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357552</v>
      </c>
      <c r="D184" s="163">
        <f>INDEX(Data[],MATCH($A184,Data[Dist],0),MATCH(D$6,Data[#Headers],0))</f>
        <v>354873</v>
      </c>
      <c r="E184" s="163">
        <f>INDEX(Data[],MATCH($A184,Data[Dist],0),MATCH(E$6,Data[#Headers],0))</f>
        <v>354874</v>
      </c>
      <c r="F184" s="163">
        <f>INDEX(Data[],MATCH($A184,Data[Dist],0),MATCH(F$6,Data[#Headers],0))</f>
        <v>354872</v>
      </c>
      <c r="G184" s="22">
        <f>INDEX(Data[],MATCH($A184,Data[Dist],0),MATCH(G$6,Data[#Headers],0))</f>
        <v>2849702</v>
      </c>
      <c r="H184" s="22">
        <f>INDEX(Data[],MATCH($A184,Data[Dist],0),MATCH(H$6,Data[#Headers],0))-G184</f>
        <v>709746</v>
      </c>
      <c r="I184" s="25"/>
      <c r="J184" s="22">
        <f>INDEX(Notes!$I$2:$N$11,MATCH(Notes!$B$2,Notes!$I$2:$I$11,0),4)*$C184</f>
        <v>1430208</v>
      </c>
      <c r="K184" s="22">
        <f>INDEX(Notes!$I$2:$N$11,MATCH(Notes!$B$2,Notes!$I$2:$I$11,0),5)*$D184</f>
        <v>709746</v>
      </c>
      <c r="L184" s="22">
        <f>INDEX(Notes!$I$2:$N$11,MATCH(Notes!$B$2,Notes!$I$2:$I$11,0),6)*$E184</f>
        <v>709748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354874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181867</v>
      </c>
      <c r="D185" s="163">
        <f>INDEX(Data[],MATCH($A185,Data[Dist],0),MATCH(D$6,Data[#Headers],0))</f>
        <v>180140</v>
      </c>
      <c r="E185" s="163">
        <f>INDEX(Data[],MATCH($A185,Data[Dist],0),MATCH(E$6,Data[#Headers],0))</f>
        <v>180140</v>
      </c>
      <c r="F185" s="163">
        <f>INDEX(Data[],MATCH($A185,Data[Dist],0),MATCH(F$6,Data[#Headers],0))</f>
        <v>180139</v>
      </c>
      <c r="G185" s="22">
        <f>INDEX(Data[],MATCH($A185,Data[Dist],0),MATCH(G$6,Data[#Headers],0))</f>
        <v>1448028</v>
      </c>
      <c r="H185" s="22">
        <f>INDEX(Data[],MATCH($A185,Data[Dist],0),MATCH(H$6,Data[#Headers],0))-G185</f>
        <v>360279</v>
      </c>
      <c r="I185" s="25"/>
      <c r="J185" s="22">
        <f>INDEX(Notes!$I$2:$N$11,MATCH(Notes!$B$2,Notes!$I$2:$I$11,0),4)*$C185</f>
        <v>727468</v>
      </c>
      <c r="K185" s="22">
        <f>INDEX(Notes!$I$2:$N$11,MATCH(Notes!$B$2,Notes!$I$2:$I$11,0),5)*$D185</f>
        <v>360280</v>
      </c>
      <c r="L185" s="22">
        <f>INDEX(Notes!$I$2:$N$11,MATCH(Notes!$B$2,Notes!$I$2:$I$11,0),6)*$E185</f>
        <v>360280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180140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1416339</v>
      </c>
      <c r="D186" s="163">
        <f>INDEX(Data[],MATCH($A186,Data[Dist],0),MATCH(D$6,Data[#Headers],0))</f>
        <v>1408769</v>
      </c>
      <c r="E186" s="163">
        <f>INDEX(Data[],MATCH($A186,Data[Dist],0),MATCH(E$6,Data[#Headers],0))</f>
        <v>1408768</v>
      </c>
      <c r="F186" s="163">
        <f>INDEX(Data[],MATCH($A186,Data[Dist],0),MATCH(F$6,Data[#Headers],0))</f>
        <v>1408769</v>
      </c>
      <c r="G186" s="22">
        <f>INDEX(Data[],MATCH($A186,Data[Dist],0),MATCH(G$6,Data[#Headers],0))</f>
        <v>11300430</v>
      </c>
      <c r="H186" s="22">
        <f>INDEX(Data[],MATCH($A186,Data[Dist],0),MATCH(H$6,Data[#Headers],0))-G186</f>
        <v>2817537</v>
      </c>
      <c r="I186" s="25"/>
      <c r="J186" s="22">
        <f>INDEX(Notes!$I$2:$N$11,MATCH(Notes!$B$2,Notes!$I$2:$I$11,0),4)*$C186</f>
        <v>5665356</v>
      </c>
      <c r="K186" s="22">
        <f>INDEX(Notes!$I$2:$N$11,MATCH(Notes!$B$2,Notes!$I$2:$I$11,0),5)*$D186</f>
        <v>2817538</v>
      </c>
      <c r="L186" s="22">
        <f>INDEX(Notes!$I$2:$N$11,MATCH(Notes!$B$2,Notes!$I$2:$I$11,0),6)*$E186</f>
        <v>2817536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1408768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4227330</v>
      </c>
      <c r="D187" s="163">
        <f>INDEX(Data[],MATCH($A187,Data[Dist],0),MATCH(D$6,Data[#Headers],0))</f>
        <v>4206220</v>
      </c>
      <c r="E187" s="163">
        <f>INDEX(Data[],MATCH($A187,Data[Dist],0),MATCH(E$6,Data[#Headers],0))</f>
        <v>4206220</v>
      </c>
      <c r="F187" s="163">
        <f>INDEX(Data[],MATCH($A187,Data[Dist],0),MATCH(F$6,Data[#Headers],0))</f>
        <v>4206221</v>
      </c>
      <c r="G187" s="22">
        <f>INDEX(Data[],MATCH($A187,Data[Dist],0),MATCH(G$6,Data[#Headers],0))</f>
        <v>33734200</v>
      </c>
      <c r="H187" s="22">
        <f>INDEX(Data[],MATCH($A187,Data[Dist],0),MATCH(H$6,Data[#Headers],0))-G187</f>
        <v>8412441</v>
      </c>
      <c r="I187" s="25"/>
      <c r="J187" s="22">
        <f>INDEX(Notes!$I$2:$N$11,MATCH(Notes!$B$2,Notes!$I$2:$I$11,0),4)*$C187</f>
        <v>16909320</v>
      </c>
      <c r="K187" s="22">
        <f>INDEX(Notes!$I$2:$N$11,MATCH(Notes!$B$2,Notes!$I$2:$I$11,0),5)*$D187</f>
        <v>8412440</v>
      </c>
      <c r="L187" s="22">
        <f>INDEX(Notes!$I$2:$N$11,MATCH(Notes!$B$2,Notes!$I$2:$I$11,0),6)*$E187</f>
        <v>8412440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4206220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317580</v>
      </c>
      <c r="D188" s="163">
        <f>INDEX(Data[],MATCH($A188,Data[Dist],0),MATCH(D$6,Data[#Headers],0))</f>
        <v>315541</v>
      </c>
      <c r="E188" s="163">
        <f>INDEX(Data[],MATCH($A188,Data[Dist],0),MATCH(E$6,Data[#Headers],0))</f>
        <v>315540</v>
      </c>
      <c r="F188" s="163">
        <f>INDEX(Data[],MATCH($A188,Data[Dist],0),MATCH(F$6,Data[#Headers],0))</f>
        <v>315541</v>
      </c>
      <c r="G188" s="22">
        <f>INDEX(Data[],MATCH($A188,Data[Dist],0),MATCH(G$6,Data[#Headers],0))</f>
        <v>2532482</v>
      </c>
      <c r="H188" s="22">
        <f>INDEX(Data[],MATCH($A188,Data[Dist],0),MATCH(H$6,Data[#Headers],0))-G188</f>
        <v>631081</v>
      </c>
      <c r="I188" s="25"/>
      <c r="J188" s="22">
        <f>INDEX(Notes!$I$2:$N$11,MATCH(Notes!$B$2,Notes!$I$2:$I$11,0),4)*$C188</f>
        <v>1270320</v>
      </c>
      <c r="K188" s="22">
        <f>INDEX(Notes!$I$2:$N$11,MATCH(Notes!$B$2,Notes!$I$2:$I$11,0),5)*$D188</f>
        <v>631082</v>
      </c>
      <c r="L188" s="22">
        <f>INDEX(Notes!$I$2:$N$11,MATCH(Notes!$B$2,Notes!$I$2:$I$11,0),6)*$E188</f>
        <v>631080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315540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2307793</v>
      </c>
      <c r="D189" s="163">
        <f>INDEX(Data[],MATCH($A189,Data[Dist],0),MATCH(D$6,Data[#Headers],0))</f>
        <v>2293961</v>
      </c>
      <c r="E189" s="163">
        <f>INDEX(Data[],MATCH($A189,Data[Dist],0),MATCH(E$6,Data[#Headers],0))</f>
        <v>2293961</v>
      </c>
      <c r="F189" s="163">
        <f>INDEX(Data[],MATCH($A189,Data[Dist],0),MATCH(F$6,Data[#Headers],0))</f>
        <v>2293961</v>
      </c>
      <c r="G189" s="22">
        <f>INDEX(Data[],MATCH($A189,Data[Dist],0),MATCH(G$6,Data[#Headers],0))</f>
        <v>18407016</v>
      </c>
      <c r="H189" s="22">
        <f>INDEX(Data[],MATCH($A189,Data[Dist],0),MATCH(H$6,Data[#Headers],0))-G189</f>
        <v>4587922</v>
      </c>
      <c r="I189" s="25"/>
      <c r="J189" s="22">
        <f>INDEX(Notes!$I$2:$N$11,MATCH(Notes!$B$2,Notes!$I$2:$I$11,0),4)*$C189</f>
        <v>9231172</v>
      </c>
      <c r="K189" s="22">
        <f>INDEX(Notes!$I$2:$N$11,MATCH(Notes!$B$2,Notes!$I$2:$I$11,0),5)*$D189</f>
        <v>4587922</v>
      </c>
      <c r="L189" s="22">
        <f>INDEX(Notes!$I$2:$N$11,MATCH(Notes!$B$2,Notes!$I$2:$I$11,0),6)*$E189</f>
        <v>4587922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2293961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879918</v>
      </c>
      <c r="D190" s="163">
        <f>INDEX(Data[],MATCH($A190,Data[Dist],0),MATCH(D$6,Data[#Headers],0))</f>
        <v>873988</v>
      </c>
      <c r="E190" s="163">
        <f>INDEX(Data[],MATCH($A190,Data[Dist],0),MATCH(E$6,Data[#Headers],0))</f>
        <v>873987</v>
      </c>
      <c r="F190" s="163">
        <f>INDEX(Data[],MATCH($A190,Data[Dist],0),MATCH(F$6,Data[#Headers],0))</f>
        <v>873988</v>
      </c>
      <c r="G190" s="22">
        <f>INDEX(Data[],MATCH($A190,Data[Dist],0),MATCH(G$6,Data[#Headers],0))</f>
        <v>7015622</v>
      </c>
      <c r="H190" s="22">
        <f>INDEX(Data[],MATCH($A190,Data[Dist],0),MATCH(H$6,Data[#Headers],0))-G190</f>
        <v>1747975</v>
      </c>
      <c r="I190" s="25"/>
      <c r="J190" s="22">
        <f>INDEX(Notes!$I$2:$N$11,MATCH(Notes!$B$2,Notes!$I$2:$I$11,0),4)*$C190</f>
        <v>3519672</v>
      </c>
      <c r="K190" s="22">
        <f>INDEX(Notes!$I$2:$N$11,MATCH(Notes!$B$2,Notes!$I$2:$I$11,0),5)*$D190</f>
        <v>1747976</v>
      </c>
      <c r="L190" s="22">
        <f>INDEX(Notes!$I$2:$N$11,MATCH(Notes!$B$2,Notes!$I$2:$I$11,0),6)*$E190</f>
        <v>1747974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873987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472080</v>
      </c>
      <c r="D191" s="163">
        <f>INDEX(Data[],MATCH($A191,Data[Dist],0),MATCH(D$6,Data[#Headers],0))</f>
        <v>468819</v>
      </c>
      <c r="E191" s="163">
        <f>INDEX(Data[],MATCH($A191,Data[Dist],0),MATCH(E$6,Data[#Headers],0))</f>
        <v>468819</v>
      </c>
      <c r="F191" s="163">
        <f>INDEX(Data[],MATCH($A191,Data[Dist],0),MATCH(F$6,Data[#Headers],0))</f>
        <v>468820</v>
      </c>
      <c r="G191" s="22">
        <f>INDEX(Data[],MATCH($A191,Data[Dist],0),MATCH(G$6,Data[#Headers],0))</f>
        <v>3763596</v>
      </c>
      <c r="H191" s="22">
        <f>INDEX(Data[],MATCH($A191,Data[Dist],0),MATCH(H$6,Data[#Headers],0))-G191</f>
        <v>937639</v>
      </c>
      <c r="I191" s="25"/>
      <c r="J191" s="22">
        <f>INDEX(Notes!$I$2:$N$11,MATCH(Notes!$B$2,Notes!$I$2:$I$11,0),4)*$C191</f>
        <v>1888320</v>
      </c>
      <c r="K191" s="22">
        <f>INDEX(Notes!$I$2:$N$11,MATCH(Notes!$B$2,Notes!$I$2:$I$11,0),5)*$D191</f>
        <v>937638</v>
      </c>
      <c r="L191" s="22">
        <f>INDEX(Notes!$I$2:$N$11,MATCH(Notes!$B$2,Notes!$I$2:$I$11,0),6)*$E191</f>
        <v>937638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468819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258858</v>
      </c>
      <c r="D192" s="163">
        <f>INDEX(Data[],MATCH($A192,Data[Dist],0),MATCH(D$6,Data[#Headers],0))</f>
        <v>257559</v>
      </c>
      <c r="E192" s="163">
        <f>INDEX(Data[],MATCH($A192,Data[Dist],0),MATCH(E$6,Data[#Headers],0))</f>
        <v>218442</v>
      </c>
      <c r="F192" s="163">
        <f>INDEX(Data[],MATCH($A192,Data[Dist],0),MATCH(F$6,Data[#Headers],0))</f>
        <v>218442</v>
      </c>
      <c r="G192" s="22">
        <f>INDEX(Data[],MATCH($A192,Data[Dist],0),MATCH(G$6,Data[#Headers],0))</f>
        <v>1987434</v>
      </c>
      <c r="H192" s="22">
        <f>INDEX(Data[],MATCH($A192,Data[Dist],0),MATCH(H$6,Data[#Headers],0))-G192</f>
        <v>436884</v>
      </c>
      <c r="I192" s="25"/>
      <c r="J192" s="22">
        <f>INDEX(Notes!$I$2:$N$11,MATCH(Notes!$B$2,Notes!$I$2:$I$11,0),4)*$C192</f>
        <v>1035432</v>
      </c>
      <c r="K192" s="22">
        <f>INDEX(Notes!$I$2:$N$11,MATCH(Notes!$B$2,Notes!$I$2:$I$11,0),5)*$D192</f>
        <v>515118</v>
      </c>
      <c r="L192" s="22">
        <f>INDEX(Notes!$I$2:$N$11,MATCH(Notes!$B$2,Notes!$I$2:$I$11,0),6)*$E192</f>
        <v>436884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218442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299381</v>
      </c>
      <c r="D193" s="163">
        <f>INDEX(Data[],MATCH($A193,Data[Dist],0),MATCH(D$6,Data[#Headers],0))</f>
        <v>297354</v>
      </c>
      <c r="E193" s="163">
        <f>INDEX(Data[],MATCH($A193,Data[Dist],0),MATCH(E$6,Data[#Headers],0))</f>
        <v>297354</v>
      </c>
      <c r="F193" s="163">
        <f>INDEX(Data[],MATCH($A193,Data[Dist],0),MATCH(F$6,Data[#Headers],0))</f>
        <v>297353</v>
      </c>
      <c r="G193" s="22">
        <f>INDEX(Data[],MATCH($A193,Data[Dist],0),MATCH(G$6,Data[#Headers],0))</f>
        <v>2386940</v>
      </c>
      <c r="H193" s="22">
        <f>INDEX(Data[],MATCH($A193,Data[Dist],0),MATCH(H$6,Data[#Headers],0))-G193</f>
        <v>594707</v>
      </c>
      <c r="I193" s="25"/>
      <c r="J193" s="22">
        <f>INDEX(Notes!$I$2:$N$11,MATCH(Notes!$B$2,Notes!$I$2:$I$11,0),4)*$C193</f>
        <v>1197524</v>
      </c>
      <c r="K193" s="22">
        <f>INDEX(Notes!$I$2:$N$11,MATCH(Notes!$B$2,Notes!$I$2:$I$11,0),5)*$D193</f>
        <v>594708</v>
      </c>
      <c r="L193" s="22">
        <f>INDEX(Notes!$I$2:$N$11,MATCH(Notes!$B$2,Notes!$I$2:$I$11,0),6)*$E193</f>
        <v>594708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297354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814614</v>
      </c>
      <c r="D194" s="163">
        <f>INDEX(Data[],MATCH($A194,Data[Dist],0),MATCH(D$6,Data[#Headers],0))</f>
        <v>809566</v>
      </c>
      <c r="E194" s="163">
        <f>INDEX(Data[],MATCH($A194,Data[Dist],0),MATCH(E$6,Data[#Headers],0))</f>
        <v>809567</v>
      </c>
      <c r="F194" s="163">
        <f>INDEX(Data[],MATCH($A194,Data[Dist],0),MATCH(F$6,Data[#Headers],0))</f>
        <v>809565</v>
      </c>
      <c r="G194" s="22">
        <f>INDEX(Data[],MATCH($A194,Data[Dist],0),MATCH(G$6,Data[#Headers],0))</f>
        <v>6496722</v>
      </c>
      <c r="H194" s="22">
        <f>INDEX(Data[],MATCH($A194,Data[Dist],0),MATCH(H$6,Data[#Headers],0))-G194</f>
        <v>1619132</v>
      </c>
      <c r="I194" s="25"/>
      <c r="J194" s="22">
        <f>INDEX(Notes!$I$2:$N$11,MATCH(Notes!$B$2,Notes!$I$2:$I$11,0),4)*$C194</f>
        <v>3258456</v>
      </c>
      <c r="K194" s="22">
        <f>INDEX(Notes!$I$2:$N$11,MATCH(Notes!$B$2,Notes!$I$2:$I$11,0),5)*$D194</f>
        <v>1619132</v>
      </c>
      <c r="L194" s="22">
        <f>INDEX(Notes!$I$2:$N$11,MATCH(Notes!$B$2,Notes!$I$2:$I$11,0),6)*$E194</f>
        <v>1619134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809567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493955</v>
      </c>
      <c r="D195" s="163">
        <f>INDEX(Data[],MATCH($A195,Data[Dist],0),MATCH(D$6,Data[#Headers],0))</f>
        <v>490899</v>
      </c>
      <c r="E195" s="163">
        <f>INDEX(Data[],MATCH($A195,Data[Dist],0),MATCH(E$6,Data[#Headers],0))</f>
        <v>490899</v>
      </c>
      <c r="F195" s="163">
        <f>INDEX(Data[],MATCH($A195,Data[Dist],0),MATCH(F$6,Data[#Headers],0))</f>
        <v>490899</v>
      </c>
      <c r="G195" s="22">
        <f>INDEX(Data[],MATCH($A195,Data[Dist],0),MATCH(G$6,Data[#Headers],0))</f>
        <v>3939416</v>
      </c>
      <c r="H195" s="22">
        <f>INDEX(Data[],MATCH($A195,Data[Dist],0),MATCH(H$6,Data[#Headers],0))-G195</f>
        <v>981798</v>
      </c>
      <c r="I195" s="25"/>
      <c r="J195" s="22">
        <f>INDEX(Notes!$I$2:$N$11,MATCH(Notes!$B$2,Notes!$I$2:$I$11,0),4)*$C195</f>
        <v>1975820</v>
      </c>
      <c r="K195" s="22">
        <f>INDEX(Notes!$I$2:$N$11,MATCH(Notes!$B$2,Notes!$I$2:$I$11,0),5)*$D195</f>
        <v>981798</v>
      </c>
      <c r="L195" s="22">
        <f>INDEX(Notes!$I$2:$N$11,MATCH(Notes!$B$2,Notes!$I$2:$I$11,0),6)*$E195</f>
        <v>981798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490899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531980</v>
      </c>
      <c r="D196" s="163">
        <f>INDEX(Data[],MATCH($A196,Data[Dist],0),MATCH(D$6,Data[#Headers],0))</f>
        <v>528838</v>
      </c>
      <c r="E196" s="163">
        <f>INDEX(Data[],MATCH($A196,Data[Dist],0),MATCH(E$6,Data[#Headers],0))</f>
        <v>528839</v>
      </c>
      <c r="F196" s="163">
        <f>INDEX(Data[],MATCH($A196,Data[Dist],0),MATCH(F$6,Data[#Headers],0))</f>
        <v>528837</v>
      </c>
      <c r="G196" s="22">
        <f>INDEX(Data[],MATCH($A196,Data[Dist],0),MATCH(G$6,Data[#Headers],0))</f>
        <v>4243274</v>
      </c>
      <c r="H196" s="22">
        <f>INDEX(Data[],MATCH($A196,Data[Dist],0),MATCH(H$6,Data[#Headers],0))-G196</f>
        <v>1057676</v>
      </c>
      <c r="I196" s="25"/>
      <c r="J196" s="22">
        <f>INDEX(Notes!$I$2:$N$11,MATCH(Notes!$B$2,Notes!$I$2:$I$11,0),4)*$C196</f>
        <v>2127920</v>
      </c>
      <c r="K196" s="22">
        <f>INDEX(Notes!$I$2:$N$11,MATCH(Notes!$B$2,Notes!$I$2:$I$11,0),5)*$D196</f>
        <v>1057676</v>
      </c>
      <c r="L196" s="22">
        <f>INDEX(Notes!$I$2:$N$11,MATCH(Notes!$B$2,Notes!$I$2:$I$11,0),6)*$E196</f>
        <v>1057678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528839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236860</v>
      </c>
      <c r="D197" s="163">
        <f>INDEX(Data[],MATCH($A197,Data[Dist],0),MATCH(D$6,Data[#Headers],0))</f>
        <v>234988</v>
      </c>
      <c r="E197" s="163">
        <f>INDEX(Data[],MATCH($A197,Data[Dist],0),MATCH(E$6,Data[#Headers],0))</f>
        <v>234665</v>
      </c>
      <c r="F197" s="163">
        <f>INDEX(Data[],MATCH($A197,Data[Dist],0),MATCH(F$6,Data[#Headers],0))</f>
        <v>234663</v>
      </c>
      <c r="G197" s="22">
        <f>INDEX(Data[],MATCH($A197,Data[Dist],0),MATCH(G$6,Data[#Headers],0))</f>
        <v>1886746</v>
      </c>
      <c r="H197" s="22">
        <f>INDEX(Data[],MATCH($A197,Data[Dist],0),MATCH(H$6,Data[#Headers],0))-G197</f>
        <v>469328</v>
      </c>
      <c r="I197" s="25"/>
      <c r="J197" s="22">
        <f>INDEX(Notes!$I$2:$N$11,MATCH(Notes!$B$2,Notes!$I$2:$I$11,0),4)*$C197</f>
        <v>947440</v>
      </c>
      <c r="K197" s="22">
        <f>INDEX(Notes!$I$2:$N$11,MATCH(Notes!$B$2,Notes!$I$2:$I$11,0),5)*$D197</f>
        <v>469976</v>
      </c>
      <c r="L197" s="22">
        <f>INDEX(Notes!$I$2:$N$11,MATCH(Notes!$B$2,Notes!$I$2:$I$11,0),6)*$E197</f>
        <v>469330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234665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604058</v>
      </c>
      <c r="D198" s="163">
        <f>INDEX(Data[],MATCH($A198,Data[Dist],0),MATCH(D$6,Data[#Headers],0))</f>
        <v>600282</v>
      </c>
      <c r="E198" s="163">
        <f>INDEX(Data[],MATCH($A198,Data[Dist],0),MATCH(E$6,Data[#Headers],0))</f>
        <v>600282</v>
      </c>
      <c r="F198" s="163">
        <f>INDEX(Data[],MATCH($A198,Data[Dist],0),MATCH(F$6,Data[#Headers],0))</f>
        <v>600281</v>
      </c>
      <c r="G198" s="22">
        <f>INDEX(Data[],MATCH($A198,Data[Dist],0),MATCH(G$6,Data[#Headers],0))</f>
        <v>4817360</v>
      </c>
      <c r="H198" s="22">
        <f>INDEX(Data[],MATCH($A198,Data[Dist],0),MATCH(H$6,Data[#Headers],0))-G198</f>
        <v>1200563</v>
      </c>
      <c r="I198" s="25"/>
      <c r="J198" s="22">
        <f>INDEX(Notes!$I$2:$N$11,MATCH(Notes!$B$2,Notes!$I$2:$I$11,0),4)*$C198</f>
        <v>2416232</v>
      </c>
      <c r="K198" s="22">
        <f>INDEX(Notes!$I$2:$N$11,MATCH(Notes!$B$2,Notes!$I$2:$I$11,0),5)*$D198</f>
        <v>1200564</v>
      </c>
      <c r="L198" s="22">
        <f>INDEX(Notes!$I$2:$N$11,MATCH(Notes!$B$2,Notes!$I$2:$I$11,0),6)*$E198</f>
        <v>1200564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600282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232121</v>
      </c>
      <c r="D199" s="163">
        <f>INDEX(Data[],MATCH($A199,Data[Dist],0),MATCH(D$6,Data[#Headers],0))</f>
        <v>230740</v>
      </c>
      <c r="E199" s="163">
        <f>INDEX(Data[],MATCH($A199,Data[Dist],0),MATCH(E$6,Data[#Headers],0))</f>
        <v>230740</v>
      </c>
      <c r="F199" s="163">
        <f>INDEX(Data[],MATCH($A199,Data[Dist],0),MATCH(F$6,Data[#Headers],0))</f>
        <v>230740</v>
      </c>
      <c r="G199" s="22">
        <f>INDEX(Data[],MATCH($A199,Data[Dist],0),MATCH(G$6,Data[#Headers],0))</f>
        <v>1851444</v>
      </c>
      <c r="H199" s="22">
        <f>INDEX(Data[],MATCH($A199,Data[Dist],0),MATCH(H$6,Data[#Headers],0))-G199</f>
        <v>461480</v>
      </c>
      <c r="I199" s="25"/>
      <c r="J199" s="22">
        <f>INDEX(Notes!$I$2:$N$11,MATCH(Notes!$B$2,Notes!$I$2:$I$11,0),4)*$C199</f>
        <v>928484</v>
      </c>
      <c r="K199" s="22">
        <f>INDEX(Notes!$I$2:$N$11,MATCH(Notes!$B$2,Notes!$I$2:$I$11,0),5)*$D199</f>
        <v>461480</v>
      </c>
      <c r="L199" s="22">
        <f>INDEX(Notes!$I$2:$N$11,MATCH(Notes!$B$2,Notes!$I$2:$I$11,0),6)*$E199</f>
        <v>461480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230740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158655</v>
      </c>
      <c r="D200" s="163">
        <f>INDEX(Data[],MATCH($A200,Data[Dist],0),MATCH(D$6,Data[#Headers],0))</f>
        <v>157773</v>
      </c>
      <c r="E200" s="163">
        <f>INDEX(Data[],MATCH($A200,Data[Dist],0),MATCH(E$6,Data[#Headers],0))</f>
        <v>157773</v>
      </c>
      <c r="F200" s="163">
        <f>INDEX(Data[],MATCH($A200,Data[Dist],0),MATCH(F$6,Data[#Headers],0))</f>
        <v>157772</v>
      </c>
      <c r="G200" s="22">
        <f>INDEX(Data[],MATCH($A200,Data[Dist],0),MATCH(G$6,Data[#Headers],0))</f>
        <v>1265712</v>
      </c>
      <c r="H200" s="22">
        <f>INDEX(Data[],MATCH($A200,Data[Dist],0),MATCH(H$6,Data[#Headers],0))-G200</f>
        <v>315545</v>
      </c>
      <c r="I200" s="25"/>
      <c r="J200" s="22">
        <f>INDEX(Notes!$I$2:$N$11,MATCH(Notes!$B$2,Notes!$I$2:$I$11,0),4)*$C200</f>
        <v>634620</v>
      </c>
      <c r="K200" s="22">
        <f>INDEX(Notes!$I$2:$N$11,MATCH(Notes!$B$2,Notes!$I$2:$I$11,0),5)*$D200</f>
        <v>315546</v>
      </c>
      <c r="L200" s="22">
        <f>INDEX(Notes!$I$2:$N$11,MATCH(Notes!$B$2,Notes!$I$2:$I$11,0),6)*$E200</f>
        <v>315546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157773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INDEX($A$7:$H$333,MATCH($S200,$A$7:$A$333,0),5)-Q200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128337</v>
      </c>
      <c r="D201" s="163">
        <f>INDEX(Data[],MATCH($A201,Data[Dist],0),MATCH(D$6,Data[#Headers],0))</f>
        <v>127585</v>
      </c>
      <c r="E201" s="163">
        <f>INDEX(Data[],MATCH($A201,Data[Dist],0),MATCH(E$6,Data[#Headers],0))</f>
        <v>127585</v>
      </c>
      <c r="F201" s="163">
        <f>INDEX(Data[],MATCH($A201,Data[Dist],0),MATCH(F$6,Data[#Headers],0))</f>
        <v>127586</v>
      </c>
      <c r="G201" s="22">
        <f>INDEX(Data[],MATCH($A201,Data[Dist],0),MATCH(G$6,Data[#Headers],0))</f>
        <v>1023688</v>
      </c>
      <c r="H201" s="22">
        <f>INDEX(Data[],MATCH($A201,Data[Dist],0),MATCH(H$6,Data[#Headers],0))-G201</f>
        <v>255171</v>
      </c>
      <c r="I201" s="25"/>
      <c r="J201" s="22">
        <f>INDEX(Notes!$I$2:$N$11,MATCH(Notes!$B$2,Notes!$I$2:$I$11,0),4)*$C201</f>
        <v>513348</v>
      </c>
      <c r="K201" s="22">
        <f>INDEX(Notes!$I$2:$N$11,MATCH(Notes!$B$2,Notes!$I$2:$I$11,0),5)*$D201</f>
        <v>255170</v>
      </c>
      <c r="L201" s="22">
        <f>INDEX(Notes!$I$2:$N$11,MATCH(Notes!$B$2,Notes!$I$2:$I$11,0),6)*$E201</f>
        <v>255170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127585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134926</v>
      </c>
      <c r="D202" s="163">
        <f>INDEX(Data[],MATCH($A202,Data[Dist],0),MATCH(D$6,Data[#Headers],0))</f>
        <v>134109</v>
      </c>
      <c r="E202" s="163">
        <f>INDEX(Data[],MATCH($A202,Data[Dist],0),MATCH(E$6,Data[#Headers],0))</f>
        <v>117301</v>
      </c>
      <c r="F202" s="163">
        <f>INDEX(Data[],MATCH($A202,Data[Dist],0),MATCH(F$6,Data[#Headers],0))</f>
        <v>117302</v>
      </c>
      <c r="G202" s="22">
        <f>INDEX(Data[],MATCH($A202,Data[Dist],0),MATCH(G$6,Data[#Headers],0))</f>
        <v>1042524</v>
      </c>
      <c r="H202" s="22">
        <f>INDEX(Data[],MATCH($A202,Data[Dist],0),MATCH(H$6,Data[#Headers],0))-G202</f>
        <v>234603</v>
      </c>
      <c r="I202" s="25"/>
      <c r="J202" s="22">
        <f>INDEX(Notes!$I$2:$N$11,MATCH(Notes!$B$2,Notes!$I$2:$I$11,0),4)*$C202</f>
        <v>539704</v>
      </c>
      <c r="K202" s="22">
        <f>INDEX(Notes!$I$2:$N$11,MATCH(Notes!$B$2,Notes!$I$2:$I$11,0),5)*$D202</f>
        <v>268218</v>
      </c>
      <c r="L202" s="22">
        <f>INDEX(Notes!$I$2:$N$11,MATCH(Notes!$B$2,Notes!$I$2:$I$11,0),6)*$E202</f>
        <v>234602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117301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332922</v>
      </c>
      <c r="D203" s="163">
        <f>INDEX(Data[],MATCH($A203,Data[Dist],0),MATCH(D$6,Data[#Headers],0))</f>
        <v>330639</v>
      </c>
      <c r="E203" s="163">
        <f>INDEX(Data[],MATCH($A203,Data[Dist],0),MATCH(E$6,Data[#Headers],0))</f>
        <v>330640</v>
      </c>
      <c r="F203" s="163">
        <f>INDEX(Data[],MATCH($A203,Data[Dist],0),MATCH(F$6,Data[#Headers],0))</f>
        <v>330638</v>
      </c>
      <c r="G203" s="22">
        <f>INDEX(Data[],MATCH($A203,Data[Dist],0),MATCH(G$6,Data[#Headers],0))</f>
        <v>2654246</v>
      </c>
      <c r="H203" s="22">
        <f>INDEX(Data[],MATCH($A203,Data[Dist],0),MATCH(H$6,Data[#Headers],0))-G203</f>
        <v>661278</v>
      </c>
      <c r="I203" s="25"/>
      <c r="J203" s="22">
        <f>INDEX(Notes!$I$2:$N$11,MATCH(Notes!$B$2,Notes!$I$2:$I$11,0),4)*$C203</f>
        <v>1331688</v>
      </c>
      <c r="K203" s="22">
        <f>INDEX(Notes!$I$2:$N$11,MATCH(Notes!$B$2,Notes!$I$2:$I$11,0),5)*$D203</f>
        <v>661278</v>
      </c>
      <c r="L203" s="22">
        <f>INDEX(Notes!$I$2:$N$11,MATCH(Notes!$B$2,Notes!$I$2:$I$11,0),6)*$E203</f>
        <v>661280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330640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1257849</v>
      </c>
      <c r="D204" s="163">
        <f>INDEX(Data[],MATCH($A204,Data[Dist],0),MATCH(D$6,Data[#Headers],0))</f>
        <v>1250492</v>
      </c>
      <c r="E204" s="163">
        <f>INDEX(Data[],MATCH($A204,Data[Dist],0),MATCH(E$6,Data[#Headers],0))</f>
        <v>1250492</v>
      </c>
      <c r="F204" s="163">
        <f>INDEX(Data[],MATCH($A204,Data[Dist],0),MATCH(F$6,Data[#Headers],0))</f>
        <v>1250493</v>
      </c>
      <c r="G204" s="22">
        <f>INDEX(Data[],MATCH($A204,Data[Dist],0),MATCH(G$6,Data[#Headers],0))</f>
        <v>10033364</v>
      </c>
      <c r="H204" s="22">
        <f>INDEX(Data[],MATCH($A204,Data[Dist],0),MATCH(H$6,Data[#Headers],0))-G204</f>
        <v>2500985</v>
      </c>
      <c r="I204" s="25"/>
      <c r="J204" s="22">
        <f>INDEX(Notes!$I$2:$N$11,MATCH(Notes!$B$2,Notes!$I$2:$I$11,0),4)*$C204</f>
        <v>5031396</v>
      </c>
      <c r="K204" s="22">
        <f>INDEX(Notes!$I$2:$N$11,MATCH(Notes!$B$2,Notes!$I$2:$I$11,0),5)*$D204</f>
        <v>2500984</v>
      </c>
      <c r="L204" s="22">
        <f>INDEX(Notes!$I$2:$N$11,MATCH(Notes!$B$2,Notes!$I$2:$I$11,0),6)*$E204</f>
        <v>2500984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1250492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734749</v>
      </c>
      <c r="D205" s="163">
        <f>INDEX(Data[],MATCH($A205,Data[Dist],0),MATCH(D$6,Data[#Headers],0))</f>
        <v>730306</v>
      </c>
      <c r="E205" s="163">
        <f>INDEX(Data[],MATCH($A205,Data[Dist],0),MATCH(E$6,Data[#Headers],0))</f>
        <v>730306</v>
      </c>
      <c r="F205" s="163">
        <f>INDEX(Data[],MATCH($A205,Data[Dist],0),MATCH(F$6,Data[#Headers],0))</f>
        <v>730306</v>
      </c>
      <c r="G205" s="22">
        <f>INDEX(Data[],MATCH($A205,Data[Dist],0),MATCH(G$6,Data[#Headers],0))</f>
        <v>5860220</v>
      </c>
      <c r="H205" s="22">
        <f>INDEX(Data[],MATCH($A205,Data[Dist],0),MATCH(H$6,Data[#Headers],0))-G205</f>
        <v>1460612</v>
      </c>
      <c r="I205" s="25"/>
      <c r="J205" s="22">
        <f>INDEX(Notes!$I$2:$N$11,MATCH(Notes!$B$2,Notes!$I$2:$I$11,0),4)*$C205</f>
        <v>2938996</v>
      </c>
      <c r="K205" s="22">
        <f>INDEX(Notes!$I$2:$N$11,MATCH(Notes!$B$2,Notes!$I$2:$I$11,0),5)*$D205</f>
        <v>1460612</v>
      </c>
      <c r="L205" s="22">
        <f>INDEX(Notes!$I$2:$N$11,MATCH(Notes!$B$2,Notes!$I$2:$I$11,0),6)*$E205</f>
        <v>1460612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730306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163162</v>
      </c>
      <c r="D206" s="163">
        <f>INDEX(Data[],MATCH($A206,Data[Dist],0),MATCH(D$6,Data[#Headers],0))</f>
        <v>162286</v>
      </c>
      <c r="E206" s="163">
        <f>INDEX(Data[],MATCH($A206,Data[Dist],0),MATCH(E$6,Data[#Headers],0))</f>
        <v>148171</v>
      </c>
      <c r="F206" s="163">
        <f>INDEX(Data[],MATCH($A206,Data[Dist],0),MATCH(F$6,Data[#Headers],0))</f>
        <v>148169</v>
      </c>
      <c r="G206" s="22">
        <f>INDEX(Data[],MATCH($A206,Data[Dist],0),MATCH(G$6,Data[#Headers],0))</f>
        <v>1273562</v>
      </c>
      <c r="H206" s="22">
        <f>INDEX(Data[],MATCH($A206,Data[Dist],0),MATCH(H$6,Data[#Headers],0))-G206</f>
        <v>296340</v>
      </c>
      <c r="I206" s="25"/>
      <c r="J206" s="22">
        <f>INDEX(Notes!$I$2:$N$11,MATCH(Notes!$B$2,Notes!$I$2:$I$11,0),4)*$C206</f>
        <v>652648</v>
      </c>
      <c r="K206" s="22">
        <f>INDEX(Notes!$I$2:$N$11,MATCH(Notes!$B$2,Notes!$I$2:$I$11,0),5)*$D206</f>
        <v>324572</v>
      </c>
      <c r="L206" s="22">
        <f>INDEX(Notes!$I$2:$N$11,MATCH(Notes!$B$2,Notes!$I$2:$I$11,0),6)*$E206</f>
        <v>296342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148171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3323931</v>
      </c>
      <c r="D207" s="163">
        <f>INDEX(Data[],MATCH($A207,Data[Dist],0),MATCH(D$6,Data[#Headers],0))</f>
        <v>3305363</v>
      </c>
      <c r="E207" s="163">
        <f>INDEX(Data[],MATCH($A207,Data[Dist],0),MATCH(E$6,Data[#Headers],0))</f>
        <v>3305363</v>
      </c>
      <c r="F207" s="163">
        <f>INDEX(Data[],MATCH($A207,Data[Dist],0),MATCH(F$6,Data[#Headers],0))</f>
        <v>3305363</v>
      </c>
      <c r="G207" s="22">
        <f>INDEX(Data[],MATCH($A207,Data[Dist],0),MATCH(G$6,Data[#Headers],0))</f>
        <v>26517176</v>
      </c>
      <c r="H207" s="22">
        <f>INDEX(Data[],MATCH($A207,Data[Dist],0),MATCH(H$6,Data[#Headers],0))-G207</f>
        <v>6610726</v>
      </c>
      <c r="I207" s="25"/>
      <c r="J207" s="22">
        <f>INDEX(Notes!$I$2:$N$11,MATCH(Notes!$B$2,Notes!$I$2:$I$11,0),4)*$C207</f>
        <v>13295724</v>
      </c>
      <c r="K207" s="22">
        <f>INDEX(Notes!$I$2:$N$11,MATCH(Notes!$B$2,Notes!$I$2:$I$11,0),5)*$D207</f>
        <v>6610726</v>
      </c>
      <c r="L207" s="22">
        <f>INDEX(Notes!$I$2:$N$11,MATCH(Notes!$B$2,Notes!$I$2:$I$11,0),6)*$E207</f>
        <v>6610726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3305363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377786</v>
      </c>
      <c r="D208" s="163">
        <f>INDEX(Data[],MATCH($A208,Data[Dist],0),MATCH(D$6,Data[#Headers],0))</f>
        <v>375429</v>
      </c>
      <c r="E208" s="163">
        <f>INDEX(Data[],MATCH($A208,Data[Dist],0),MATCH(E$6,Data[#Headers],0))</f>
        <v>375428</v>
      </c>
      <c r="F208" s="163">
        <f>INDEX(Data[],MATCH($A208,Data[Dist],0),MATCH(F$6,Data[#Headers],0))</f>
        <v>375429</v>
      </c>
      <c r="G208" s="22">
        <f>INDEX(Data[],MATCH($A208,Data[Dist],0),MATCH(G$6,Data[#Headers],0))</f>
        <v>3012858</v>
      </c>
      <c r="H208" s="22">
        <f>INDEX(Data[],MATCH($A208,Data[Dist],0),MATCH(H$6,Data[#Headers],0))-G208</f>
        <v>750857</v>
      </c>
      <c r="I208" s="25"/>
      <c r="J208" s="22">
        <f>INDEX(Notes!$I$2:$N$11,MATCH(Notes!$B$2,Notes!$I$2:$I$11,0),4)*$C208</f>
        <v>1511144</v>
      </c>
      <c r="K208" s="22">
        <f>INDEX(Notes!$I$2:$N$11,MATCH(Notes!$B$2,Notes!$I$2:$I$11,0),5)*$D208</f>
        <v>750858</v>
      </c>
      <c r="L208" s="22">
        <f>INDEX(Notes!$I$2:$N$11,MATCH(Notes!$B$2,Notes!$I$2:$I$11,0),6)*$E208</f>
        <v>750856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375428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975945</v>
      </c>
      <c r="D209" s="163">
        <f>INDEX(Data[],MATCH($A209,Data[Dist],0),MATCH(D$6,Data[#Headers],0))</f>
        <v>970122</v>
      </c>
      <c r="E209" s="163">
        <f>INDEX(Data[],MATCH($A209,Data[Dist],0),MATCH(E$6,Data[#Headers],0))</f>
        <v>970122</v>
      </c>
      <c r="F209" s="163">
        <f>INDEX(Data[],MATCH($A209,Data[Dist],0),MATCH(F$6,Data[#Headers],0))</f>
        <v>970122</v>
      </c>
      <c r="G209" s="22">
        <f>INDEX(Data[],MATCH($A209,Data[Dist],0),MATCH(G$6,Data[#Headers],0))</f>
        <v>7784268</v>
      </c>
      <c r="H209" s="22">
        <f>INDEX(Data[],MATCH($A209,Data[Dist],0),MATCH(H$6,Data[#Headers],0))-G209</f>
        <v>1940244</v>
      </c>
      <c r="I209" s="25"/>
      <c r="J209" s="22">
        <f>INDEX(Notes!$I$2:$N$11,MATCH(Notes!$B$2,Notes!$I$2:$I$11,0),4)*$C209</f>
        <v>3903780</v>
      </c>
      <c r="K209" s="22">
        <f>INDEX(Notes!$I$2:$N$11,MATCH(Notes!$B$2,Notes!$I$2:$I$11,0),5)*$D209</f>
        <v>1940244</v>
      </c>
      <c r="L209" s="22">
        <f>INDEX(Notes!$I$2:$N$11,MATCH(Notes!$B$2,Notes!$I$2:$I$11,0),6)*$E209</f>
        <v>1940244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970122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238813</v>
      </c>
      <c r="D210" s="163">
        <f>INDEX(Data[],MATCH($A210,Data[Dist],0),MATCH(D$6,Data[#Headers],0))</f>
        <v>236955</v>
      </c>
      <c r="E210" s="163">
        <f>INDEX(Data[],MATCH($A210,Data[Dist],0),MATCH(E$6,Data[#Headers],0))</f>
        <v>236955</v>
      </c>
      <c r="F210" s="163">
        <f>INDEX(Data[],MATCH($A210,Data[Dist],0),MATCH(F$6,Data[#Headers],0))</f>
        <v>236956</v>
      </c>
      <c r="G210" s="22">
        <f>INDEX(Data[],MATCH($A210,Data[Dist],0),MATCH(G$6,Data[#Headers],0))</f>
        <v>1903072</v>
      </c>
      <c r="H210" s="22">
        <f>INDEX(Data[],MATCH($A210,Data[Dist],0),MATCH(H$6,Data[#Headers],0))-G210</f>
        <v>473911</v>
      </c>
      <c r="I210" s="25"/>
      <c r="J210" s="22">
        <f>INDEX(Notes!$I$2:$N$11,MATCH(Notes!$B$2,Notes!$I$2:$I$11,0),4)*$C210</f>
        <v>955252</v>
      </c>
      <c r="K210" s="22">
        <f>INDEX(Notes!$I$2:$N$11,MATCH(Notes!$B$2,Notes!$I$2:$I$11,0),5)*$D210</f>
        <v>473910</v>
      </c>
      <c r="L210" s="22">
        <f>INDEX(Notes!$I$2:$N$11,MATCH(Notes!$B$2,Notes!$I$2:$I$11,0),6)*$E210</f>
        <v>473910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236955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502845</v>
      </c>
      <c r="D211" s="163">
        <f>INDEX(Data[],MATCH($A211,Data[Dist],0),MATCH(D$6,Data[#Headers],0))</f>
        <v>499171</v>
      </c>
      <c r="E211" s="163">
        <f>INDEX(Data[],MATCH($A211,Data[Dist],0),MATCH(E$6,Data[#Headers],0))</f>
        <v>499170</v>
      </c>
      <c r="F211" s="163">
        <f>INDEX(Data[],MATCH($A211,Data[Dist],0),MATCH(F$6,Data[#Headers],0))</f>
        <v>499171</v>
      </c>
      <c r="G211" s="22">
        <f>INDEX(Data[],MATCH($A211,Data[Dist],0),MATCH(G$6,Data[#Headers],0))</f>
        <v>4008062</v>
      </c>
      <c r="H211" s="22">
        <f>INDEX(Data[],MATCH($A211,Data[Dist],0),MATCH(H$6,Data[#Headers],0))-G211</f>
        <v>998341</v>
      </c>
      <c r="I211" s="25"/>
      <c r="J211" s="22">
        <f>INDEX(Notes!$I$2:$N$11,MATCH(Notes!$B$2,Notes!$I$2:$I$11,0),4)*$C211</f>
        <v>2011380</v>
      </c>
      <c r="K211" s="22">
        <f>INDEX(Notes!$I$2:$N$11,MATCH(Notes!$B$2,Notes!$I$2:$I$11,0),5)*$D211</f>
        <v>998342</v>
      </c>
      <c r="L211" s="22">
        <f>INDEX(Notes!$I$2:$N$11,MATCH(Notes!$B$2,Notes!$I$2:$I$11,0),6)*$E211</f>
        <v>998340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499170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360944</v>
      </c>
      <c r="D212" s="163">
        <f>INDEX(Data[],MATCH($A212,Data[Dist],0),MATCH(D$6,Data[#Headers],0))</f>
        <v>358956</v>
      </c>
      <c r="E212" s="163">
        <f>INDEX(Data[],MATCH($A212,Data[Dist],0),MATCH(E$6,Data[#Headers],0))</f>
        <v>358956</v>
      </c>
      <c r="F212" s="163">
        <f>INDEX(Data[],MATCH($A212,Data[Dist],0),MATCH(F$6,Data[#Headers],0))</f>
        <v>358954</v>
      </c>
      <c r="G212" s="22">
        <f>INDEX(Data[],MATCH($A212,Data[Dist],0),MATCH(G$6,Data[#Headers],0))</f>
        <v>2879600</v>
      </c>
      <c r="H212" s="22">
        <f>INDEX(Data[],MATCH($A212,Data[Dist],0),MATCH(H$6,Data[#Headers],0))-G212</f>
        <v>717910</v>
      </c>
      <c r="I212" s="25"/>
      <c r="J212" s="22">
        <f>INDEX(Notes!$I$2:$N$11,MATCH(Notes!$B$2,Notes!$I$2:$I$11,0),4)*$C212</f>
        <v>1443776</v>
      </c>
      <c r="K212" s="22">
        <f>INDEX(Notes!$I$2:$N$11,MATCH(Notes!$B$2,Notes!$I$2:$I$11,0),5)*$D212</f>
        <v>717912</v>
      </c>
      <c r="L212" s="22">
        <f>INDEX(Notes!$I$2:$N$11,MATCH(Notes!$B$2,Notes!$I$2:$I$11,0),6)*$E212</f>
        <v>717912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358956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2129759</v>
      </c>
      <c r="D213" s="163">
        <f>INDEX(Data[],MATCH($A213,Data[Dist],0),MATCH(D$6,Data[#Headers],0))</f>
        <v>2118088</v>
      </c>
      <c r="E213" s="163">
        <f>INDEX(Data[],MATCH($A213,Data[Dist],0),MATCH(E$6,Data[#Headers],0))</f>
        <v>2118088</v>
      </c>
      <c r="F213" s="163">
        <f>INDEX(Data[],MATCH($A213,Data[Dist],0),MATCH(F$6,Data[#Headers],0))</f>
        <v>2118087</v>
      </c>
      <c r="G213" s="22">
        <f>INDEX(Data[],MATCH($A213,Data[Dist],0),MATCH(G$6,Data[#Headers],0))</f>
        <v>16991388</v>
      </c>
      <c r="H213" s="22">
        <f>INDEX(Data[],MATCH($A213,Data[Dist],0),MATCH(H$6,Data[#Headers],0))-G213</f>
        <v>4236175</v>
      </c>
      <c r="I213" s="25"/>
      <c r="J213" s="22">
        <f>INDEX(Notes!$I$2:$N$11,MATCH(Notes!$B$2,Notes!$I$2:$I$11,0),4)*$C213</f>
        <v>8519036</v>
      </c>
      <c r="K213" s="22">
        <f>INDEX(Notes!$I$2:$N$11,MATCH(Notes!$B$2,Notes!$I$2:$I$11,0),5)*$D213</f>
        <v>4236176</v>
      </c>
      <c r="L213" s="22">
        <f>INDEX(Notes!$I$2:$N$11,MATCH(Notes!$B$2,Notes!$I$2:$I$11,0),6)*$E213</f>
        <v>4236176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2118088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462990</v>
      </c>
      <c r="D214" s="163">
        <f>INDEX(Data[],MATCH($A214,Data[Dist],0),MATCH(D$6,Data[#Headers],0))</f>
        <v>459937</v>
      </c>
      <c r="E214" s="163">
        <f>INDEX(Data[],MATCH($A214,Data[Dist],0),MATCH(E$6,Data[#Headers],0))</f>
        <v>459937</v>
      </c>
      <c r="F214" s="163">
        <f>INDEX(Data[],MATCH($A214,Data[Dist],0),MATCH(F$6,Data[#Headers],0))</f>
        <v>459935</v>
      </c>
      <c r="G214" s="22">
        <f>INDEX(Data[],MATCH($A214,Data[Dist],0),MATCH(G$6,Data[#Headers],0))</f>
        <v>3691708</v>
      </c>
      <c r="H214" s="22">
        <f>INDEX(Data[],MATCH($A214,Data[Dist],0),MATCH(H$6,Data[#Headers],0))-G214</f>
        <v>919872</v>
      </c>
      <c r="I214" s="25"/>
      <c r="J214" s="22">
        <f>INDEX(Notes!$I$2:$N$11,MATCH(Notes!$B$2,Notes!$I$2:$I$11,0),4)*$C214</f>
        <v>1851960</v>
      </c>
      <c r="K214" s="22">
        <f>INDEX(Notes!$I$2:$N$11,MATCH(Notes!$B$2,Notes!$I$2:$I$11,0),5)*$D214</f>
        <v>919874</v>
      </c>
      <c r="L214" s="22">
        <f>INDEX(Notes!$I$2:$N$11,MATCH(Notes!$B$2,Notes!$I$2:$I$11,0),6)*$E214</f>
        <v>919874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459937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327154</v>
      </c>
      <c r="D215" s="163">
        <f>INDEX(Data[],MATCH($A215,Data[Dist],0),MATCH(D$6,Data[#Headers],0))</f>
        <v>325082</v>
      </c>
      <c r="E215" s="163">
        <f>INDEX(Data[],MATCH($A215,Data[Dist],0),MATCH(E$6,Data[#Headers],0))</f>
        <v>325082</v>
      </c>
      <c r="F215" s="163">
        <f>INDEX(Data[],MATCH($A215,Data[Dist],0),MATCH(F$6,Data[#Headers],0))</f>
        <v>325083</v>
      </c>
      <c r="G215" s="22">
        <f>INDEX(Data[],MATCH($A215,Data[Dist],0),MATCH(G$6,Data[#Headers],0))</f>
        <v>2608944</v>
      </c>
      <c r="H215" s="22">
        <f>INDEX(Data[],MATCH($A215,Data[Dist],0),MATCH(H$6,Data[#Headers],0))-G215</f>
        <v>650165</v>
      </c>
      <c r="I215" s="25"/>
      <c r="J215" s="22">
        <f>INDEX(Notes!$I$2:$N$11,MATCH(Notes!$B$2,Notes!$I$2:$I$11,0),4)*$C215</f>
        <v>1308616</v>
      </c>
      <c r="K215" s="22">
        <f>INDEX(Notes!$I$2:$N$11,MATCH(Notes!$B$2,Notes!$I$2:$I$11,0),5)*$D215</f>
        <v>650164</v>
      </c>
      <c r="L215" s="22">
        <f>INDEX(Notes!$I$2:$N$11,MATCH(Notes!$B$2,Notes!$I$2:$I$11,0),6)*$E215</f>
        <v>650164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325082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752983</v>
      </c>
      <c r="D216" s="163">
        <f>INDEX(Data[],MATCH($A216,Data[Dist],0),MATCH(D$6,Data[#Headers],0))</f>
        <v>748634</v>
      </c>
      <c r="E216" s="163">
        <f>INDEX(Data[],MATCH($A216,Data[Dist],0),MATCH(E$6,Data[#Headers],0))</f>
        <v>748635</v>
      </c>
      <c r="F216" s="163">
        <f>INDEX(Data[],MATCH($A216,Data[Dist],0),MATCH(F$6,Data[#Headers],0))</f>
        <v>748633</v>
      </c>
      <c r="G216" s="22">
        <f>INDEX(Data[],MATCH($A216,Data[Dist],0),MATCH(G$6,Data[#Headers],0))</f>
        <v>6006470</v>
      </c>
      <c r="H216" s="22">
        <f>INDEX(Data[],MATCH($A216,Data[Dist],0),MATCH(H$6,Data[#Headers],0))-G216</f>
        <v>1497268</v>
      </c>
      <c r="I216" s="25"/>
      <c r="J216" s="22">
        <f>INDEX(Notes!$I$2:$N$11,MATCH(Notes!$B$2,Notes!$I$2:$I$11,0),4)*$C216</f>
        <v>3011932</v>
      </c>
      <c r="K216" s="22">
        <f>INDEX(Notes!$I$2:$N$11,MATCH(Notes!$B$2,Notes!$I$2:$I$11,0),5)*$D216</f>
        <v>1497268</v>
      </c>
      <c r="L216" s="22">
        <f>INDEX(Notes!$I$2:$N$11,MATCH(Notes!$B$2,Notes!$I$2:$I$11,0),6)*$E216</f>
        <v>1497270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748635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277523</v>
      </c>
      <c r="D217" s="163">
        <f>INDEX(Data[],MATCH($A217,Data[Dist],0),MATCH(D$6,Data[#Headers],0))</f>
        <v>275595</v>
      </c>
      <c r="E217" s="163">
        <f>INDEX(Data[],MATCH($A217,Data[Dist],0),MATCH(E$6,Data[#Headers],0))</f>
        <v>275595</v>
      </c>
      <c r="F217" s="163">
        <f>INDEX(Data[],MATCH($A217,Data[Dist],0),MATCH(F$6,Data[#Headers],0))</f>
        <v>275595</v>
      </c>
      <c r="G217" s="22">
        <f>INDEX(Data[],MATCH($A217,Data[Dist],0),MATCH(G$6,Data[#Headers],0))</f>
        <v>2212472</v>
      </c>
      <c r="H217" s="22">
        <f>INDEX(Data[],MATCH($A217,Data[Dist],0),MATCH(H$6,Data[#Headers],0))-G217</f>
        <v>551190</v>
      </c>
      <c r="I217" s="25"/>
      <c r="J217" s="22">
        <f>INDEX(Notes!$I$2:$N$11,MATCH(Notes!$B$2,Notes!$I$2:$I$11,0),4)*$C217</f>
        <v>1110092</v>
      </c>
      <c r="K217" s="22">
        <f>INDEX(Notes!$I$2:$N$11,MATCH(Notes!$B$2,Notes!$I$2:$I$11,0),5)*$D217</f>
        <v>551190</v>
      </c>
      <c r="L217" s="22">
        <f>INDEX(Notes!$I$2:$N$11,MATCH(Notes!$B$2,Notes!$I$2:$I$11,0),6)*$E217</f>
        <v>551190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275595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354849</v>
      </c>
      <c r="D218" s="163">
        <f>INDEX(Data[],MATCH($A218,Data[Dist],0),MATCH(D$6,Data[#Headers],0))</f>
        <v>352531</v>
      </c>
      <c r="E218" s="163">
        <f>INDEX(Data[],MATCH($A218,Data[Dist],0),MATCH(E$6,Data[#Headers],0))</f>
        <v>352531</v>
      </c>
      <c r="F218" s="163">
        <f>INDEX(Data[],MATCH($A218,Data[Dist],0),MATCH(F$6,Data[#Headers],0))</f>
        <v>352532</v>
      </c>
      <c r="G218" s="22">
        <f>INDEX(Data[],MATCH($A218,Data[Dist],0),MATCH(G$6,Data[#Headers],0))</f>
        <v>2829520</v>
      </c>
      <c r="H218" s="22">
        <f>INDEX(Data[],MATCH($A218,Data[Dist],0),MATCH(H$6,Data[#Headers],0))-G218</f>
        <v>705063</v>
      </c>
      <c r="I218" s="25"/>
      <c r="J218" s="22">
        <f>INDEX(Notes!$I$2:$N$11,MATCH(Notes!$B$2,Notes!$I$2:$I$11,0),4)*$C218</f>
        <v>1419396</v>
      </c>
      <c r="K218" s="22">
        <f>INDEX(Notes!$I$2:$N$11,MATCH(Notes!$B$2,Notes!$I$2:$I$11,0),5)*$D218</f>
        <v>705062</v>
      </c>
      <c r="L218" s="22">
        <f>INDEX(Notes!$I$2:$N$11,MATCH(Notes!$B$2,Notes!$I$2:$I$11,0),6)*$E218</f>
        <v>705062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352531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97310</v>
      </c>
      <c r="D219" s="163">
        <f>INDEX(Data[],MATCH($A219,Data[Dist],0),MATCH(D$6,Data[#Headers],0))</f>
        <v>96258</v>
      </c>
      <c r="E219" s="163">
        <f>INDEX(Data[],MATCH($A219,Data[Dist],0),MATCH(E$6,Data[#Headers],0))</f>
        <v>96258</v>
      </c>
      <c r="F219" s="163">
        <f>INDEX(Data[],MATCH($A219,Data[Dist],0),MATCH(F$6,Data[#Headers],0))</f>
        <v>96258</v>
      </c>
      <c r="G219" s="22">
        <f>INDEX(Data[],MATCH($A219,Data[Dist],0),MATCH(G$6,Data[#Headers],0))</f>
        <v>774272</v>
      </c>
      <c r="H219" s="22">
        <f>INDEX(Data[],MATCH($A219,Data[Dist],0),MATCH(H$6,Data[#Headers],0))-G219</f>
        <v>192516</v>
      </c>
      <c r="I219" s="25"/>
      <c r="J219" s="22">
        <f>INDEX(Notes!$I$2:$N$11,MATCH(Notes!$B$2,Notes!$I$2:$I$11,0),4)*$C219</f>
        <v>389240</v>
      </c>
      <c r="K219" s="22">
        <f>INDEX(Notes!$I$2:$N$11,MATCH(Notes!$B$2,Notes!$I$2:$I$11,0),5)*$D219</f>
        <v>192516</v>
      </c>
      <c r="L219" s="22">
        <f>INDEX(Notes!$I$2:$N$11,MATCH(Notes!$B$2,Notes!$I$2:$I$11,0),6)*$E219</f>
        <v>192516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96258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1264765</v>
      </c>
      <c r="D220" s="163">
        <f>INDEX(Data[],MATCH($A220,Data[Dist],0),MATCH(D$6,Data[#Headers],0))</f>
        <v>1257256</v>
      </c>
      <c r="E220" s="163">
        <f>INDEX(Data[],MATCH($A220,Data[Dist],0),MATCH(E$6,Data[#Headers],0))</f>
        <v>1257256</v>
      </c>
      <c r="F220" s="163">
        <f>INDEX(Data[],MATCH($A220,Data[Dist],0),MATCH(F$6,Data[#Headers],0))</f>
        <v>1257255</v>
      </c>
      <c r="G220" s="22">
        <f>INDEX(Data[],MATCH($A220,Data[Dist],0),MATCH(G$6,Data[#Headers],0))</f>
        <v>10088084</v>
      </c>
      <c r="H220" s="22">
        <f>INDEX(Data[],MATCH($A220,Data[Dist],0),MATCH(H$6,Data[#Headers],0))-G220</f>
        <v>2514511</v>
      </c>
      <c r="I220" s="25"/>
      <c r="J220" s="22">
        <f>INDEX(Notes!$I$2:$N$11,MATCH(Notes!$B$2,Notes!$I$2:$I$11,0),4)*$C220</f>
        <v>5059060</v>
      </c>
      <c r="K220" s="22">
        <f>INDEX(Notes!$I$2:$N$11,MATCH(Notes!$B$2,Notes!$I$2:$I$11,0),5)*$D220</f>
        <v>2514512</v>
      </c>
      <c r="L220" s="22">
        <f>INDEX(Notes!$I$2:$N$11,MATCH(Notes!$B$2,Notes!$I$2:$I$11,0),6)*$E220</f>
        <v>2514512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1257256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1870423</v>
      </c>
      <c r="D221" s="163">
        <f>INDEX(Data[],MATCH($A221,Data[Dist],0),MATCH(D$6,Data[#Headers],0))</f>
        <v>1858265</v>
      </c>
      <c r="E221" s="163">
        <f>INDEX(Data[],MATCH($A221,Data[Dist],0),MATCH(E$6,Data[#Headers],0))</f>
        <v>1858265</v>
      </c>
      <c r="F221" s="163">
        <f>INDEX(Data[],MATCH($A221,Data[Dist],0),MATCH(F$6,Data[#Headers],0))</f>
        <v>1858263</v>
      </c>
      <c r="G221" s="22">
        <f>INDEX(Data[],MATCH($A221,Data[Dist],0),MATCH(G$6,Data[#Headers],0))</f>
        <v>14914752</v>
      </c>
      <c r="H221" s="22">
        <f>INDEX(Data[],MATCH($A221,Data[Dist],0),MATCH(H$6,Data[#Headers],0))-G221</f>
        <v>3716528</v>
      </c>
      <c r="I221" s="25"/>
      <c r="J221" s="22">
        <f>INDEX(Notes!$I$2:$N$11,MATCH(Notes!$B$2,Notes!$I$2:$I$11,0),4)*$C221</f>
        <v>7481692</v>
      </c>
      <c r="K221" s="22">
        <f>INDEX(Notes!$I$2:$N$11,MATCH(Notes!$B$2,Notes!$I$2:$I$11,0),5)*$D221</f>
        <v>3716530</v>
      </c>
      <c r="L221" s="22">
        <f>INDEX(Notes!$I$2:$N$11,MATCH(Notes!$B$2,Notes!$I$2:$I$11,0),6)*$E221</f>
        <v>3716530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1858265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256248</v>
      </c>
      <c r="D222" s="163">
        <f>INDEX(Data[],MATCH($A222,Data[Dist],0),MATCH(D$6,Data[#Headers],0))</f>
        <v>254525</v>
      </c>
      <c r="E222" s="163">
        <f>INDEX(Data[],MATCH($A222,Data[Dist],0),MATCH(E$6,Data[#Headers],0))</f>
        <v>254525</v>
      </c>
      <c r="F222" s="163">
        <f>INDEX(Data[],MATCH($A222,Data[Dist],0),MATCH(F$6,Data[#Headers],0))</f>
        <v>254524</v>
      </c>
      <c r="G222" s="22">
        <f>INDEX(Data[],MATCH($A222,Data[Dist],0),MATCH(G$6,Data[#Headers],0))</f>
        <v>2043092</v>
      </c>
      <c r="H222" s="22">
        <f>INDEX(Data[],MATCH($A222,Data[Dist],0),MATCH(H$6,Data[#Headers],0))-G222</f>
        <v>509049</v>
      </c>
      <c r="I222" s="25"/>
      <c r="J222" s="22">
        <f>INDEX(Notes!$I$2:$N$11,MATCH(Notes!$B$2,Notes!$I$2:$I$11,0),4)*$C222</f>
        <v>1024992</v>
      </c>
      <c r="K222" s="22">
        <f>INDEX(Notes!$I$2:$N$11,MATCH(Notes!$B$2,Notes!$I$2:$I$11,0),5)*$D222</f>
        <v>509050</v>
      </c>
      <c r="L222" s="22">
        <f>INDEX(Notes!$I$2:$N$11,MATCH(Notes!$B$2,Notes!$I$2:$I$11,0),6)*$E222</f>
        <v>509050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254525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301586</v>
      </c>
      <c r="D223" s="163">
        <f>INDEX(Data[],MATCH($A223,Data[Dist],0),MATCH(D$6,Data[#Headers],0))</f>
        <v>299592</v>
      </c>
      <c r="E223" s="163">
        <f>INDEX(Data[],MATCH($A223,Data[Dist],0),MATCH(E$6,Data[#Headers],0))</f>
        <v>285338</v>
      </c>
      <c r="F223" s="163">
        <f>INDEX(Data[],MATCH($A223,Data[Dist],0),MATCH(F$6,Data[#Headers],0))</f>
        <v>285339</v>
      </c>
      <c r="G223" s="22">
        <f>INDEX(Data[],MATCH($A223,Data[Dist],0),MATCH(G$6,Data[#Headers],0))</f>
        <v>2376204</v>
      </c>
      <c r="H223" s="22">
        <f>INDEX(Data[],MATCH($A223,Data[Dist],0),MATCH(H$6,Data[#Headers],0))-G223</f>
        <v>570677</v>
      </c>
      <c r="I223" s="25"/>
      <c r="J223" s="22">
        <f>INDEX(Notes!$I$2:$N$11,MATCH(Notes!$B$2,Notes!$I$2:$I$11,0),4)*$C223</f>
        <v>1206344</v>
      </c>
      <c r="K223" s="22">
        <f>INDEX(Notes!$I$2:$N$11,MATCH(Notes!$B$2,Notes!$I$2:$I$11,0),5)*$D223</f>
        <v>599184</v>
      </c>
      <c r="L223" s="22">
        <f>INDEX(Notes!$I$2:$N$11,MATCH(Notes!$B$2,Notes!$I$2:$I$11,0),6)*$E223</f>
        <v>570676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285338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2370876</v>
      </c>
      <c r="D224" s="163">
        <f>INDEX(Data[],MATCH($A224,Data[Dist],0),MATCH(D$6,Data[#Headers],0))</f>
        <v>2358247</v>
      </c>
      <c r="E224" s="163">
        <f>INDEX(Data[],MATCH($A224,Data[Dist],0),MATCH(E$6,Data[#Headers],0))</f>
        <v>2358247</v>
      </c>
      <c r="F224" s="163">
        <f>INDEX(Data[],MATCH($A224,Data[Dist],0),MATCH(F$6,Data[#Headers],0))</f>
        <v>2358246</v>
      </c>
      <c r="G224" s="22">
        <f>INDEX(Data[],MATCH($A224,Data[Dist],0),MATCH(G$6,Data[#Headers],0))</f>
        <v>18916492</v>
      </c>
      <c r="H224" s="22">
        <f>INDEX(Data[],MATCH($A224,Data[Dist],0),MATCH(H$6,Data[#Headers],0))-G224</f>
        <v>4716493</v>
      </c>
      <c r="I224" s="25"/>
      <c r="J224" s="22">
        <f>INDEX(Notes!$I$2:$N$11,MATCH(Notes!$B$2,Notes!$I$2:$I$11,0),4)*$C224</f>
        <v>9483504</v>
      </c>
      <c r="K224" s="22">
        <f>INDEX(Notes!$I$2:$N$11,MATCH(Notes!$B$2,Notes!$I$2:$I$11,0),5)*$D224</f>
        <v>4716494</v>
      </c>
      <c r="L224" s="22">
        <f>INDEX(Notes!$I$2:$N$11,MATCH(Notes!$B$2,Notes!$I$2:$I$11,0),6)*$E224</f>
        <v>4716494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2358247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391372</v>
      </c>
      <c r="D225" s="163">
        <f>INDEX(Data[],MATCH($A225,Data[Dist],0),MATCH(D$6,Data[#Headers],0))</f>
        <v>388660</v>
      </c>
      <c r="E225" s="163">
        <f>INDEX(Data[],MATCH($A225,Data[Dist],0),MATCH(E$6,Data[#Headers],0))</f>
        <v>388660</v>
      </c>
      <c r="F225" s="163">
        <f>INDEX(Data[],MATCH($A225,Data[Dist],0),MATCH(F$6,Data[#Headers],0))</f>
        <v>388659</v>
      </c>
      <c r="G225" s="22">
        <f>INDEX(Data[],MATCH($A225,Data[Dist],0),MATCH(G$6,Data[#Headers],0))</f>
        <v>3120128</v>
      </c>
      <c r="H225" s="22">
        <f>INDEX(Data[],MATCH($A225,Data[Dist],0),MATCH(H$6,Data[#Headers],0))-G225</f>
        <v>777319</v>
      </c>
      <c r="I225" s="25"/>
      <c r="J225" s="22">
        <f>INDEX(Notes!$I$2:$N$11,MATCH(Notes!$B$2,Notes!$I$2:$I$11,0),4)*$C225</f>
        <v>1565488</v>
      </c>
      <c r="K225" s="22">
        <f>INDEX(Notes!$I$2:$N$11,MATCH(Notes!$B$2,Notes!$I$2:$I$11,0),5)*$D225</f>
        <v>777320</v>
      </c>
      <c r="L225" s="22">
        <f>INDEX(Notes!$I$2:$N$11,MATCH(Notes!$B$2,Notes!$I$2:$I$11,0),6)*$E225</f>
        <v>777320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388660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556511</v>
      </c>
      <c r="D226" s="163">
        <f>INDEX(Data[],MATCH($A226,Data[Dist],0),MATCH(D$6,Data[#Headers],0))</f>
        <v>552685</v>
      </c>
      <c r="E226" s="163">
        <f>INDEX(Data[],MATCH($A226,Data[Dist],0),MATCH(E$6,Data[#Headers],0))</f>
        <v>552685</v>
      </c>
      <c r="F226" s="163">
        <f>INDEX(Data[],MATCH($A226,Data[Dist],0),MATCH(F$6,Data[#Headers],0))</f>
        <v>552683</v>
      </c>
      <c r="G226" s="22">
        <f>INDEX(Data[],MATCH($A226,Data[Dist],0),MATCH(G$6,Data[#Headers],0))</f>
        <v>4436784</v>
      </c>
      <c r="H226" s="22">
        <f>INDEX(Data[],MATCH($A226,Data[Dist],0),MATCH(H$6,Data[#Headers],0))-G226</f>
        <v>1105368</v>
      </c>
      <c r="I226" s="25"/>
      <c r="J226" s="22">
        <f>INDEX(Notes!$I$2:$N$11,MATCH(Notes!$B$2,Notes!$I$2:$I$11,0),4)*$C226</f>
        <v>2226044</v>
      </c>
      <c r="K226" s="22">
        <f>INDEX(Notes!$I$2:$N$11,MATCH(Notes!$B$2,Notes!$I$2:$I$11,0),5)*$D226</f>
        <v>1105370</v>
      </c>
      <c r="L226" s="22">
        <f>INDEX(Notes!$I$2:$N$11,MATCH(Notes!$B$2,Notes!$I$2:$I$11,0),6)*$E226</f>
        <v>1105370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552685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1001750</v>
      </c>
      <c r="D227" s="163">
        <f>INDEX(Data[],MATCH($A227,Data[Dist],0),MATCH(D$6,Data[#Headers],0))</f>
        <v>996498</v>
      </c>
      <c r="E227" s="163">
        <f>INDEX(Data[],MATCH($A227,Data[Dist],0),MATCH(E$6,Data[#Headers],0))</f>
        <v>996498</v>
      </c>
      <c r="F227" s="163">
        <f>INDEX(Data[],MATCH($A227,Data[Dist],0),MATCH(F$6,Data[#Headers],0))</f>
        <v>996499</v>
      </c>
      <c r="G227" s="22">
        <f>INDEX(Data[],MATCH($A227,Data[Dist],0),MATCH(G$6,Data[#Headers],0))</f>
        <v>7992992</v>
      </c>
      <c r="H227" s="22">
        <f>INDEX(Data[],MATCH($A227,Data[Dist],0),MATCH(H$6,Data[#Headers],0))-G227</f>
        <v>1992997</v>
      </c>
      <c r="I227" s="25"/>
      <c r="J227" s="22">
        <f>INDEX(Notes!$I$2:$N$11,MATCH(Notes!$B$2,Notes!$I$2:$I$11,0),4)*$C227</f>
        <v>4007000</v>
      </c>
      <c r="K227" s="22">
        <f>INDEX(Notes!$I$2:$N$11,MATCH(Notes!$B$2,Notes!$I$2:$I$11,0),5)*$D227</f>
        <v>1992996</v>
      </c>
      <c r="L227" s="22">
        <f>INDEX(Notes!$I$2:$N$11,MATCH(Notes!$B$2,Notes!$I$2:$I$11,0),6)*$E227</f>
        <v>1992996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996498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336880</v>
      </c>
      <c r="D228" s="163">
        <f>INDEX(Data[],MATCH($A228,Data[Dist],0),MATCH(D$6,Data[#Headers],0))</f>
        <v>334473</v>
      </c>
      <c r="E228" s="163">
        <f>INDEX(Data[],MATCH($A228,Data[Dist],0),MATCH(E$6,Data[#Headers],0))</f>
        <v>334473</v>
      </c>
      <c r="F228" s="163">
        <f>INDEX(Data[],MATCH($A228,Data[Dist],0),MATCH(F$6,Data[#Headers],0))</f>
        <v>334474</v>
      </c>
      <c r="G228" s="22">
        <f>INDEX(Data[],MATCH($A228,Data[Dist],0),MATCH(G$6,Data[#Headers],0))</f>
        <v>2685412</v>
      </c>
      <c r="H228" s="22">
        <f>INDEX(Data[],MATCH($A228,Data[Dist],0),MATCH(H$6,Data[#Headers],0))-G228</f>
        <v>668947</v>
      </c>
      <c r="I228" s="25"/>
      <c r="J228" s="22">
        <f>INDEX(Notes!$I$2:$N$11,MATCH(Notes!$B$2,Notes!$I$2:$I$11,0),4)*$C228</f>
        <v>1347520</v>
      </c>
      <c r="K228" s="22">
        <f>INDEX(Notes!$I$2:$N$11,MATCH(Notes!$B$2,Notes!$I$2:$I$11,0),5)*$D228</f>
        <v>668946</v>
      </c>
      <c r="L228" s="22">
        <f>INDEX(Notes!$I$2:$N$11,MATCH(Notes!$B$2,Notes!$I$2:$I$11,0),6)*$E228</f>
        <v>668946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334473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36903</v>
      </c>
      <c r="D229" s="163">
        <f>INDEX(Data[],MATCH($A229,Data[Dist],0),MATCH(D$6,Data[#Headers],0))</f>
        <v>32813</v>
      </c>
      <c r="E229" s="163">
        <f>INDEX(Data[],MATCH($A229,Data[Dist],0),MATCH(E$6,Data[#Headers],0))</f>
        <v>32813</v>
      </c>
      <c r="F229" s="163">
        <f>INDEX(Data[],MATCH($A229,Data[Dist],0),MATCH(F$6,Data[#Headers],0))</f>
        <v>32812</v>
      </c>
      <c r="G229" s="22">
        <f>INDEX(Data[],MATCH($A229,Data[Dist],0),MATCH(G$6,Data[#Headers],0))</f>
        <v>278864</v>
      </c>
      <c r="H229" s="22">
        <f>INDEX(Data[],MATCH($A229,Data[Dist],0),MATCH(H$6,Data[#Headers],0))-G229</f>
        <v>65625</v>
      </c>
      <c r="I229" s="25"/>
      <c r="J229" s="22">
        <f>INDEX(Notes!$I$2:$N$11,MATCH(Notes!$B$2,Notes!$I$2:$I$11,0),4)*$C229</f>
        <v>147612</v>
      </c>
      <c r="K229" s="22">
        <f>INDEX(Notes!$I$2:$N$11,MATCH(Notes!$B$2,Notes!$I$2:$I$11,0),5)*$D229</f>
        <v>65626</v>
      </c>
      <c r="L229" s="22">
        <f>INDEX(Notes!$I$2:$N$11,MATCH(Notes!$B$2,Notes!$I$2:$I$11,0),6)*$E229</f>
        <v>65626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32813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142558</v>
      </c>
      <c r="D230" s="163">
        <f>INDEX(Data[],MATCH($A230,Data[Dist],0),MATCH(D$6,Data[#Headers],0))</f>
        <v>141695</v>
      </c>
      <c r="E230" s="163">
        <f>INDEX(Data[],MATCH($A230,Data[Dist],0),MATCH(E$6,Data[#Headers],0))</f>
        <v>141695</v>
      </c>
      <c r="F230" s="163">
        <f>INDEX(Data[],MATCH($A230,Data[Dist],0),MATCH(F$6,Data[#Headers],0))</f>
        <v>141693</v>
      </c>
      <c r="G230" s="22">
        <f>INDEX(Data[],MATCH($A230,Data[Dist],0),MATCH(G$6,Data[#Headers],0))</f>
        <v>1137012</v>
      </c>
      <c r="H230" s="22">
        <f>INDEX(Data[],MATCH($A230,Data[Dist],0),MATCH(H$6,Data[#Headers],0))-G230</f>
        <v>283388</v>
      </c>
      <c r="I230" s="25"/>
      <c r="J230" s="22">
        <f>INDEX(Notes!$I$2:$N$11,MATCH(Notes!$B$2,Notes!$I$2:$I$11,0),4)*$C230</f>
        <v>570232</v>
      </c>
      <c r="K230" s="22">
        <f>INDEX(Notes!$I$2:$N$11,MATCH(Notes!$B$2,Notes!$I$2:$I$11,0),5)*$D230</f>
        <v>283390</v>
      </c>
      <c r="L230" s="22">
        <f>INDEX(Notes!$I$2:$N$11,MATCH(Notes!$B$2,Notes!$I$2:$I$11,0),6)*$E230</f>
        <v>283390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141695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81650</v>
      </c>
      <c r="D231" s="163">
        <f>INDEX(Data[],MATCH($A231,Data[Dist],0),MATCH(D$6,Data[#Headers],0))</f>
        <v>80977</v>
      </c>
      <c r="E231" s="163">
        <f>INDEX(Data[],MATCH($A231,Data[Dist],0),MATCH(E$6,Data[#Headers],0))</f>
        <v>80977</v>
      </c>
      <c r="F231" s="163">
        <f>INDEX(Data[],MATCH($A231,Data[Dist],0),MATCH(F$6,Data[#Headers],0))</f>
        <v>80975</v>
      </c>
      <c r="G231" s="22">
        <f>INDEX(Data[],MATCH($A231,Data[Dist],0),MATCH(G$6,Data[#Headers],0))</f>
        <v>650508</v>
      </c>
      <c r="H231" s="22">
        <f>INDEX(Data[],MATCH($A231,Data[Dist],0),MATCH(H$6,Data[#Headers],0))-G231</f>
        <v>161952</v>
      </c>
      <c r="I231" s="25"/>
      <c r="J231" s="22">
        <f>INDEX(Notes!$I$2:$N$11,MATCH(Notes!$B$2,Notes!$I$2:$I$11,0),4)*$C231</f>
        <v>326600</v>
      </c>
      <c r="K231" s="22">
        <f>INDEX(Notes!$I$2:$N$11,MATCH(Notes!$B$2,Notes!$I$2:$I$11,0),5)*$D231</f>
        <v>161954</v>
      </c>
      <c r="L231" s="22">
        <f>INDEX(Notes!$I$2:$N$11,MATCH(Notes!$B$2,Notes!$I$2:$I$11,0),6)*$E231</f>
        <v>161954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80977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550312</v>
      </c>
      <c r="D232" s="163">
        <f>INDEX(Data[],MATCH($A232,Data[Dist],0),MATCH(D$6,Data[#Headers],0))</f>
        <v>546800</v>
      </c>
      <c r="E232" s="163">
        <f>INDEX(Data[],MATCH($A232,Data[Dist],0),MATCH(E$6,Data[#Headers],0))</f>
        <v>546800</v>
      </c>
      <c r="F232" s="163">
        <f>INDEX(Data[],MATCH($A232,Data[Dist],0),MATCH(F$6,Data[#Headers],0))</f>
        <v>546799</v>
      </c>
      <c r="G232" s="22">
        <f>INDEX(Data[],MATCH($A232,Data[Dist],0),MATCH(G$6,Data[#Headers],0))</f>
        <v>4388448</v>
      </c>
      <c r="H232" s="22">
        <f>INDEX(Data[],MATCH($A232,Data[Dist],0),MATCH(H$6,Data[#Headers],0))-G232</f>
        <v>1093599</v>
      </c>
      <c r="I232" s="25"/>
      <c r="J232" s="22">
        <f>INDEX(Notes!$I$2:$N$11,MATCH(Notes!$B$2,Notes!$I$2:$I$11,0),4)*$C232</f>
        <v>2201248</v>
      </c>
      <c r="K232" s="22">
        <f>INDEX(Notes!$I$2:$N$11,MATCH(Notes!$B$2,Notes!$I$2:$I$11,0),5)*$D232</f>
        <v>1093600</v>
      </c>
      <c r="L232" s="22">
        <f>INDEX(Notes!$I$2:$N$11,MATCH(Notes!$B$2,Notes!$I$2:$I$11,0),6)*$E232</f>
        <v>1093600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546800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1561403</v>
      </c>
      <c r="D233" s="163">
        <f>INDEX(Data[],MATCH($A233,Data[Dist],0),MATCH(D$6,Data[#Headers],0))</f>
        <v>1552515</v>
      </c>
      <c r="E233" s="163">
        <f>INDEX(Data[],MATCH($A233,Data[Dist],0),MATCH(E$6,Data[#Headers],0))</f>
        <v>1552515</v>
      </c>
      <c r="F233" s="163">
        <f>INDEX(Data[],MATCH($A233,Data[Dist],0),MATCH(F$6,Data[#Headers],0))</f>
        <v>1552516</v>
      </c>
      <c r="G233" s="22">
        <f>INDEX(Data[],MATCH($A233,Data[Dist],0),MATCH(G$6,Data[#Headers],0))</f>
        <v>12455672</v>
      </c>
      <c r="H233" s="22">
        <f>INDEX(Data[],MATCH($A233,Data[Dist],0),MATCH(H$6,Data[#Headers],0))-G233</f>
        <v>3105031</v>
      </c>
      <c r="I233" s="25"/>
      <c r="J233" s="22">
        <f>INDEX(Notes!$I$2:$N$11,MATCH(Notes!$B$2,Notes!$I$2:$I$11,0),4)*$C233</f>
        <v>6245612</v>
      </c>
      <c r="K233" s="22">
        <f>INDEX(Notes!$I$2:$N$11,MATCH(Notes!$B$2,Notes!$I$2:$I$11,0),5)*$D233</f>
        <v>3105030</v>
      </c>
      <c r="L233" s="22">
        <f>INDEX(Notes!$I$2:$N$11,MATCH(Notes!$B$2,Notes!$I$2:$I$11,0),6)*$E233</f>
        <v>3105030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1552515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3871736</v>
      </c>
      <c r="D234" s="163">
        <f>INDEX(Data[],MATCH($A234,Data[Dist],0),MATCH(D$6,Data[#Headers],0))</f>
        <v>3852797</v>
      </c>
      <c r="E234" s="163">
        <f>INDEX(Data[],MATCH($A234,Data[Dist],0),MATCH(E$6,Data[#Headers],0))</f>
        <v>3749462</v>
      </c>
      <c r="F234" s="163">
        <f>INDEX(Data[],MATCH($A234,Data[Dist],0),MATCH(F$6,Data[#Headers],0))</f>
        <v>3749461</v>
      </c>
      <c r="G234" s="22">
        <f>INDEX(Data[],MATCH($A234,Data[Dist],0),MATCH(G$6,Data[#Headers],0))</f>
        <v>30691462</v>
      </c>
      <c r="H234" s="22">
        <f>INDEX(Data[],MATCH($A234,Data[Dist],0),MATCH(H$6,Data[#Headers],0))-G234</f>
        <v>7498923</v>
      </c>
      <c r="I234" s="25"/>
      <c r="J234" s="22">
        <f>INDEX(Notes!$I$2:$N$11,MATCH(Notes!$B$2,Notes!$I$2:$I$11,0),4)*$C234</f>
        <v>15486944</v>
      </c>
      <c r="K234" s="22">
        <f>INDEX(Notes!$I$2:$N$11,MATCH(Notes!$B$2,Notes!$I$2:$I$11,0),5)*$D234</f>
        <v>7705594</v>
      </c>
      <c r="L234" s="22">
        <f>INDEX(Notes!$I$2:$N$11,MATCH(Notes!$B$2,Notes!$I$2:$I$11,0),6)*$E234</f>
        <v>7498924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3749462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360321</v>
      </c>
      <c r="D235" s="163">
        <f>INDEX(Data[],MATCH($A235,Data[Dist],0),MATCH(D$6,Data[#Headers],0))</f>
        <v>357581</v>
      </c>
      <c r="E235" s="163">
        <f>INDEX(Data[],MATCH($A235,Data[Dist],0),MATCH(E$6,Data[#Headers],0))</f>
        <v>357581</v>
      </c>
      <c r="F235" s="163">
        <f>INDEX(Data[],MATCH($A235,Data[Dist],0),MATCH(F$6,Data[#Headers],0))</f>
        <v>357579</v>
      </c>
      <c r="G235" s="22">
        <f>INDEX(Data[],MATCH($A235,Data[Dist],0),MATCH(G$6,Data[#Headers],0))</f>
        <v>2871608</v>
      </c>
      <c r="H235" s="22">
        <f>INDEX(Data[],MATCH($A235,Data[Dist],0),MATCH(H$6,Data[#Headers],0))-G235</f>
        <v>715160</v>
      </c>
      <c r="I235" s="25"/>
      <c r="J235" s="22">
        <f>INDEX(Notes!$I$2:$N$11,MATCH(Notes!$B$2,Notes!$I$2:$I$11,0),4)*$C235</f>
        <v>1441284</v>
      </c>
      <c r="K235" s="22">
        <f>INDEX(Notes!$I$2:$N$11,MATCH(Notes!$B$2,Notes!$I$2:$I$11,0),5)*$D235</f>
        <v>715162</v>
      </c>
      <c r="L235" s="22">
        <f>INDEX(Notes!$I$2:$N$11,MATCH(Notes!$B$2,Notes!$I$2:$I$11,0),6)*$E235</f>
        <v>715162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357581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114899</v>
      </c>
      <c r="D236" s="163">
        <f>INDEX(Data[],MATCH($A236,Data[Dist],0),MATCH(D$6,Data[#Headers],0))</f>
        <v>114092</v>
      </c>
      <c r="E236" s="163">
        <f>INDEX(Data[],MATCH($A236,Data[Dist],0),MATCH(E$6,Data[#Headers],0))</f>
        <v>114092</v>
      </c>
      <c r="F236" s="163">
        <f>INDEX(Data[],MATCH($A236,Data[Dist],0),MATCH(F$6,Data[#Headers],0))</f>
        <v>114091</v>
      </c>
      <c r="G236" s="22">
        <f>INDEX(Data[],MATCH($A236,Data[Dist],0),MATCH(G$6,Data[#Headers],0))</f>
        <v>915964</v>
      </c>
      <c r="H236" s="22">
        <f>INDEX(Data[],MATCH($A236,Data[Dist],0),MATCH(H$6,Data[#Headers],0))-G236</f>
        <v>228183</v>
      </c>
      <c r="I236" s="25"/>
      <c r="J236" s="22">
        <f>INDEX(Notes!$I$2:$N$11,MATCH(Notes!$B$2,Notes!$I$2:$I$11,0),4)*$C236</f>
        <v>459596</v>
      </c>
      <c r="K236" s="22">
        <f>INDEX(Notes!$I$2:$N$11,MATCH(Notes!$B$2,Notes!$I$2:$I$11,0),5)*$D236</f>
        <v>228184</v>
      </c>
      <c r="L236" s="22">
        <f>INDEX(Notes!$I$2:$N$11,MATCH(Notes!$B$2,Notes!$I$2:$I$11,0),6)*$E236</f>
        <v>228184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114092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187074</v>
      </c>
      <c r="D237" s="163">
        <f>INDEX(Data[],MATCH($A237,Data[Dist],0),MATCH(D$6,Data[#Headers],0))</f>
        <v>184761</v>
      </c>
      <c r="E237" s="163">
        <f>INDEX(Data[],MATCH($A237,Data[Dist],0),MATCH(E$6,Data[#Headers],0))</f>
        <v>184762</v>
      </c>
      <c r="F237" s="163">
        <f>INDEX(Data[],MATCH($A237,Data[Dist],0),MATCH(F$6,Data[#Headers],0))</f>
        <v>184760</v>
      </c>
      <c r="G237" s="22">
        <f>INDEX(Data[],MATCH($A237,Data[Dist],0),MATCH(G$6,Data[#Headers],0))</f>
        <v>1487342</v>
      </c>
      <c r="H237" s="22">
        <f>INDEX(Data[],MATCH($A237,Data[Dist],0),MATCH(H$6,Data[#Headers],0))-G237</f>
        <v>369522</v>
      </c>
      <c r="I237" s="25"/>
      <c r="J237" s="22">
        <f>INDEX(Notes!$I$2:$N$11,MATCH(Notes!$B$2,Notes!$I$2:$I$11,0),4)*$C237</f>
        <v>748296</v>
      </c>
      <c r="K237" s="22">
        <f>INDEX(Notes!$I$2:$N$11,MATCH(Notes!$B$2,Notes!$I$2:$I$11,0),5)*$D237</f>
        <v>369522</v>
      </c>
      <c r="L237" s="22">
        <f>INDEX(Notes!$I$2:$N$11,MATCH(Notes!$B$2,Notes!$I$2:$I$11,0),6)*$E237</f>
        <v>369524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184762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344462</v>
      </c>
      <c r="D238" s="163">
        <f>INDEX(Data[],MATCH($A238,Data[Dist],0),MATCH(D$6,Data[#Headers],0))</f>
        <v>342125</v>
      </c>
      <c r="E238" s="163">
        <f>INDEX(Data[],MATCH($A238,Data[Dist],0),MATCH(E$6,Data[#Headers],0))</f>
        <v>342126</v>
      </c>
      <c r="F238" s="163">
        <f>INDEX(Data[],MATCH($A238,Data[Dist],0),MATCH(F$6,Data[#Headers],0))</f>
        <v>342124</v>
      </c>
      <c r="G238" s="22">
        <f>INDEX(Data[],MATCH($A238,Data[Dist],0),MATCH(G$6,Data[#Headers],0))</f>
        <v>2746350</v>
      </c>
      <c r="H238" s="22">
        <f>INDEX(Data[],MATCH($A238,Data[Dist],0),MATCH(H$6,Data[#Headers],0))-G238</f>
        <v>684250</v>
      </c>
      <c r="I238" s="25"/>
      <c r="J238" s="22">
        <f>INDEX(Notes!$I$2:$N$11,MATCH(Notes!$B$2,Notes!$I$2:$I$11,0),4)*$C238</f>
        <v>1377848</v>
      </c>
      <c r="K238" s="22">
        <f>INDEX(Notes!$I$2:$N$11,MATCH(Notes!$B$2,Notes!$I$2:$I$11,0),5)*$D238</f>
        <v>684250</v>
      </c>
      <c r="L238" s="22">
        <f>INDEX(Notes!$I$2:$N$11,MATCH(Notes!$B$2,Notes!$I$2:$I$11,0),6)*$E238</f>
        <v>684252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342126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1239975</v>
      </c>
      <c r="D239" s="163">
        <f>INDEX(Data[],MATCH($A239,Data[Dist],0),MATCH(D$6,Data[#Headers],0))</f>
        <v>1231506</v>
      </c>
      <c r="E239" s="163">
        <f>INDEX(Data[],MATCH($A239,Data[Dist],0),MATCH(E$6,Data[#Headers],0))</f>
        <v>1231506</v>
      </c>
      <c r="F239" s="163">
        <f>INDEX(Data[],MATCH($A239,Data[Dist],0),MATCH(F$6,Data[#Headers],0))</f>
        <v>1231507</v>
      </c>
      <c r="G239" s="22">
        <f>INDEX(Data[],MATCH($A239,Data[Dist],0),MATCH(G$6,Data[#Headers],0))</f>
        <v>9885924</v>
      </c>
      <c r="H239" s="22">
        <f>INDEX(Data[],MATCH($A239,Data[Dist],0),MATCH(H$6,Data[#Headers],0))-G239</f>
        <v>2463013</v>
      </c>
      <c r="I239" s="25"/>
      <c r="J239" s="22">
        <f>INDEX(Notes!$I$2:$N$11,MATCH(Notes!$B$2,Notes!$I$2:$I$11,0),4)*$C239</f>
        <v>4959900</v>
      </c>
      <c r="K239" s="22">
        <f>INDEX(Notes!$I$2:$N$11,MATCH(Notes!$B$2,Notes!$I$2:$I$11,0),5)*$D239</f>
        <v>2463012</v>
      </c>
      <c r="L239" s="22">
        <f>INDEX(Notes!$I$2:$N$11,MATCH(Notes!$B$2,Notes!$I$2:$I$11,0),6)*$E239</f>
        <v>2463012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1231506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1436156</v>
      </c>
      <c r="D240" s="163">
        <f>INDEX(Data[],MATCH($A240,Data[Dist],0),MATCH(D$6,Data[#Headers],0))</f>
        <v>1428958</v>
      </c>
      <c r="E240" s="163">
        <f>INDEX(Data[],MATCH($A240,Data[Dist],0),MATCH(E$6,Data[#Headers],0))</f>
        <v>1428958</v>
      </c>
      <c r="F240" s="163">
        <f>INDEX(Data[],MATCH($A240,Data[Dist],0),MATCH(F$6,Data[#Headers],0))</f>
        <v>1428957</v>
      </c>
      <c r="G240" s="22">
        <f>INDEX(Data[],MATCH($A240,Data[Dist],0),MATCH(G$6,Data[#Headers],0))</f>
        <v>11460456</v>
      </c>
      <c r="H240" s="22">
        <f>INDEX(Data[],MATCH($A240,Data[Dist],0),MATCH(H$6,Data[#Headers],0))-G240</f>
        <v>2857915</v>
      </c>
      <c r="I240" s="25"/>
      <c r="J240" s="22">
        <f>INDEX(Notes!$I$2:$N$11,MATCH(Notes!$B$2,Notes!$I$2:$I$11,0),4)*$C240</f>
        <v>5744624</v>
      </c>
      <c r="K240" s="22">
        <f>INDEX(Notes!$I$2:$N$11,MATCH(Notes!$B$2,Notes!$I$2:$I$11,0),5)*$D240</f>
        <v>2857916</v>
      </c>
      <c r="L240" s="22">
        <f>INDEX(Notes!$I$2:$N$11,MATCH(Notes!$B$2,Notes!$I$2:$I$11,0),6)*$E240</f>
        <v>2857916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1428958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3173969</v>
      </c>
      <c r="D241" s="163">
        <f>INDEX(Data[],MATCH($A241,Data[Dist],0),MATCH(D$6,Data[#Headers],0))</f>
        <v>3153207</v>
      </c>
      <c r="E241" s="163">
        <f>INDEX(Data[],MATCH($A241,Data[Dist],0),MATCH(E$6,Data[#Headers],0))</f>
        <v>3153207</v>
      </c>
      <c r="F241" s="163">
        <f>INDEX(Data[],MATCH($A241,Data[Dist],0),MATCH(F$6,Data[#Headers],0))</f>
        <v>3153206</v>
      </c>
      <c r="G241" s="22">
        <f>INDEX(Data[],MATCH($A241,Data[Dist],0),MATCH(G$6,Data[#Headers],0))</f>
        <v>25308704</v>
      </c>
      <c r="H241" s="22">
        <f>INDEX(Data[],MATCH($A241,Data[Dist],0),MATCH(H$6,Data[#Headers],0))-G241</f>
        <v>6306413</v>
      </c>
      <c r="I241" s="25"/>
      <c r="J241" s="22">
        <f>INDEX(Notes!$I$2:$N$11,MATCH(Notes!$B$2,Notes!$I$2:$I$11,0),4)*$C241</f>
        <v>12695876</v>
      </c>
      <c r="K241" s="22">
        <f>INDEX(Notes!$I$2:$N$11,MATCH(Notes!$B$2,Notes!$I$2:$I$11,0),5)*$D241</f>
        <v>6306414</v>
      </c>
      <c r="L241" s="22">
        <f>INDEX(Notes!$I$2:$N$11,MATCH(Notes!$B$2,Notes!$I$2:$I$11,0),6)*$E241</f>
        <v>6306414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3153207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446742</v>
      </c>
      <c r="D242" s="163">
        <f>INDEX(Data[],MATCH($A242,Data[Dist],0),MATCH(D$6,Data[#Headers],0))</f>
        <v>444169</v>
      </c>
      <c r="E242" s="163">
        <f>INDEX(Data[],MATCH($A242,Data[Dist],0),MATCH(E$6,Data[#Headers],0))</f>
        <v>444169</v>
      </c>
      <c r="F242" s="163">
        <f>INDEX(Data[],MATCH($A242,Data[Dist],0),MATCH(F$6,Data[#Headers],0))</f>
        <v>444168</v>
      </c>
      <c r="G242" s="22">
        <f>INDEX(Data[],MATCH($A242,Data[Dist],0),MATCH(G$6,Data[#Headers],0))</f>
        <v>3563644</v>
      </c>
      <c r="H242" s="22">
        <f>INDEX(Data[],MATCH($A242,Data[Dist],0),MATCH(H$6,Data[#Headers],0))-G242</f>
        <v>888337</v>
      </c>
      <c r="I242" s="25"/>
      <c r="J242" s="22">
        <f>INDEX(Notes!$I$2:$N$11,MATCH(Notes!$B$2,Notes!$I$2:$I$11,0),4)*$C242</f>
        <v>1786968</v>
      </c>
      <c r="K242" s="22">
        <f>INDEX(Notes!$I$2:$N$11,MATCH(Notes!$B$2,Notes!$I$2:$I$11,0),5)*$D242</f>
        <v>888338</v>
      </c>
      <c r="L242" s="22">
        <f>INDEX(Notes!$I$2:$N$11,MATCH(Notes!$B$2,Notes!$I$2:$I$11,0),6)*$E242</f>
        <v>888338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444169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226643</v>
      </c>
      <c r="D243" s="163">
        <f>INDEX(Data[],MATCH($A243,Data[Dist],0),MATCH(D$6,Data[#Headers],0))</f>
        <v>224030</v>
      </c>
      <c r="E243" s="163">
        <f>INDEX(Data[],MATCH($A243,Data[Dist],0),MATCH(E$6,Data[#Headers],0))</f>
        <v>224030</v>
      </c>
      <c r="F243" s="163">
        <f>INDEX(Data[],MATCH($A243,Data[Dist],0),MATCH(F$6,Data[#Headers],0))</f>
        <v>224029</v>
      </c>
      <c r="G243" s="22">
        <f>INDEX(Data[],MATCH($A243,Data[Dist],0),MATCH(G$6,Data[#Headers],0))</f>
        <v>1802692</v>
      </c>
      <c r="H243" s="22">
        <f>INDEX(Data[],MATCH($A243,Data[Dist],0),MATCH(H$6,Data[#Headers],0))-G243</f>
        <v>448059</v>
      </c>
      <c r="I243" s="25"/>
      <c r="J243" s="22">
        <f>INDEX(Notes!$I$2:$N$11,MATCH(Notes!$B$2,Notes!$I$2:$I$11,0),4)*$C243</f>
        <v>906572</v>
      </c>
      <c r="K243" s="22">
        <f>INDEX(Notes!$I$2:$N$11,MATCH(Notes!$B$2,Notes!$I$2:$I$11,0),5)*$D243</f>
        <v>448060</v>
      </c>
      <c r="L243" s="22">
        <f>INDEX(Notes!$I$2:$N$11,MATCH(Notes!$B$2,Notes!$I$2:$I$11,0),6)*$E243</f>
        <v>448060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224030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552109</v>
      </c>
      <c r="D244" s="163">
        <f>INDEX(Data[],MATCH($A244,Data[Dist],0),MATCH(D$6,Data[#Headers],0))</f>
        <v>549227</v>
      </c>
      <c r="E244" s="163">
        <f>INDEX(Data[],MATCH($A244,Data[Dist],0),MATCH(E$6,Data[#Headers],0))</f>
        <v>549227</v>
      </c>
      <c r="F244" s="163">
        <f>INDEX(Data[],MATCH($A244,Data[Dist],0),MATCH(F$6,Data[#Headers],0))</f>
        <v>549226</v>
      </c>
      <c r="G244" s="22">
        <f>INDEX(Data[],MATCH($A244,Data[Dist],0),MATCH(G$6,Data[#Headers],0))</f>
        <v>4405344</v>
      </c>
      <c r="H244" s="22">
        <f>INDEX(Data[],MATCH($A244,Data[Dist],0),MATCH(H$6,Data[#Headers],0))-G244</f>
        <v>1098453</v>
      </c>
      <c r="I244" s="25"/>
      <c r="J244" s="22">
        <f>INDEX(Notes!$I$2:$N$11,MATCH(Notes!$B$2,Notes!$I$2:$I$11,0),4)*$C244</f>
        <v>2208436</v>
      </c>
      <c r="K244" s="22">
        <f>INDEX(Notes!$I$2:$N$11,MATCH(Notes!$B$2,Notes!$I$2:$I$11,0),5)*$D244</f>
        <v>1098454</v>
      </c>
      <c r="L244" s="22">
        <f>INDEX(Notes!$I$2:$N$11,MATCH(Notes!$B$2,Notes!$I$2:$I$11,0),6)*$E244</f>
        <v>1098454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549227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668602</v>
      </c>
      <c r="D245" s="163">
        <f>INDEX(Data[],MATCH($A245,Data[Dist],0),MATCH(D$6,Data[#Headers],0))</f>
        <v>664549</v>
      </c>
      <c r="E245" s="163">
        <f>INDEX(Data[],MATCH($A245,Data[Dist],0),MATCH(E$6,Data[#Headers],0))</f>
        <v>664549</v>
      </c>
      <c r="F245" s="163">
        <f>INDEX(Data[],MATCH($A245,Data[Dist],0),MATCH(F$6,Data[#Headers],0))</f>
        <v>664548</v>
      </c>
      <c r="G245" s="22">
        <f>INDEX(Data[],MATCH($A245,Data[Dist],0),MATCH(G$6,Data[#Headers],0))</f>
        <v>5332604</v>
      </c>
      <c r="H245" s="22">
        <f>INDEX(Data[],MATCH($A245,Data[Dist],0),MATCH(H$6,Data[#Headers],0))-G245</f>
        <v>1329097</v>
      </c>
      <c r="I245" s="25"/>
      <c r="J245" s="22">
        <f>INDEX(Notes!$I$2:$N$11,MATCH(Notes!$B$2,Notes!$I$2:$I$11,0),4)*$C245</f>
        <v>2674408</v>
      </c>
      <c r="K245" s="22">
        <f>INDEX(Notes!$I$2:$N$11,MATCH(Notes!$B$2,Notes!$I$2:$I$11,0),5)*$D245</f>
        <v>1329098</v>
      </c>
      <c r="L245" s="22">
        <f>INDEX(Notes!$I$2:$N$11,MATCH(Notes!$B$2,Notes!$I$2:$I$11,0),6)*$E245</f>
        <v>1329098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664549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243049</v>
      </c>
      <c r="D246" s="163">
        <f>INDEX(Data[],MATCH($A246,Data[Dist],0),MATCH(D$6,Data[#Headers],0))</f>
        <v>240770</v>
      </c>
      <c r="E246" s="163">
        <f>INDEX(Data[],MATCH($A246,Data[Dist],0),MATCH(E$6,Data[#Headers],0))</f>
        <v>240771</v>
      </c>
      <c r="F246" s="163">
        <f>INDEX(Data[],MATCH($A246,Data[Dist],0),MATCH(F$6,Data[#Headers],0))</f>
        <v>240769</v>
      </c>
      <c r="G246" s="22">
        <f>INDEX(Data[],MATCH($A246,Data[Dist],0),MATCH(G$6,Data[#Headers],0))</f>
        <v>1935278</v>
      </c>
      <c r="H246" s="22">
        <f>INDEX(Data[],MATCH($A246,Data[Dist],0),MATCH(H$6,Data[#Headers],0))-G246</f>
        <v>481540</v>
      </c>
      <c r="I246" s="25"/>
      <c r="J246" s="22">
        <f>INDEX(Notes!$I$2:$N$11,MATCH(Notes!$B$2,Notes!$I$2:$I$11,0),4)*$C246</f>
        <v>972196</v>
      </c>
      <c r="K246" s="22">
        <f>INDEX(Notes!$I$2:$N$11,MATCH(Notes!$B$2,Notes!$I$2:$I$11,0),5)*$D246</f>
        <v>481540</v>
      </c>
      <c r="L246" s="22">
        <f>INDEX(Notes!$I$2:$N$11,MATCH(Notes!$B$2,Notes!$I$2:$I$11,0),6)*$E246</f>
        <v>481542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240771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687716</v>
      </c>
      <c r="D247" s="163">
        <f>INDEX(Data[],MATCH($A247,Data[Dist],0),MATCH(D$6,Data[#Headers],0))</f>
        <v>683613</v>
      </c>
      <c r="E247" s="163">
        <f>INDEX(Data[],MATCH($A247,Data[Dist],0),MATCH(E$6,Data[#Headers],0))</f>
        <v>671546</v>
      </c>
      <c r="F247" s="163">
        <f>INDEX(Data[],MATCH($A247,Data[Dist],0),MATCH(F$6,Data[#Headers],0))</f>
        <v>671547</v>
      </c>
      <c r="G247" s="22">
        <f>INDEX(Data[],MATCH($A247,Data[Dist],0),MATCH(G$6,Data[#Headers],0))</f>
        <v>5461182</v>
      </c>
      <c r="H247" s="22">
        <f>INDEX(Data[],MATCH($A247,Data[Dist],0),MATCH(H$6,Data[#Headers],0))-G247</f>
        <v>1343093</v>
      </c>
      <c r="I247" s="25"/>
      <c r="J247" s="22">
        <f>INDEX(Notes!$I$2:$N$11,MATCH(Notes!$B$2,Notes!$I$2:$I$11,0),4)*$C247</f>
        <v>2750864</v>
      </c>
      <c r="K247" s="22">
        <f>INDEX(Notes!$I$2:$N$11,MATCH(Notes!$B$2,Notes!$I$2:$I$11,0),5)*$D247</f>
        <v>1367226</v>
      </c>
      <c r="L247" s="22">
        <f>INDEX(Notes!$I$2:$N$11,MATCH(Notes!$B$2,Notes!$I$2:$I$11,0),6)*$E247</f>
        <v>1343092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671546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122152</v>
      </c>
      <c r="D248" s="163">
        <f>INDEX(Data[],MATCH($A248,Data[Dist],0),MATCH(D$6,Data[#Headers],0))</f>
        <v>120935</v>
      </c>
      <c r="E248" s="163">
        <f>INDEX(Data[],MATCH($A248,Data[Dist],0),MATCH(E$6,Data[#Headers],0))</f>
        <v>120935</v>
      </c>
      <c r="F248" s="163">
        <f>INDEX(Data[],MATCH($A248,Data[Dist],0),MATCH(F$6,Data[#Headers],0))</f>
        <v>120935</v>
      </c>
      <c r="G248" s="22">
        <f>INDEX(Data[],MATCH($A248,Data[Dist],0),MATCH(G$6,Data[#Headers],0))</f>
        <v>972348</v>
      </c>
      <c r="H248" s="22">
        <f>INDEX(Data[],MATCH($A248,Data[Dist],0),MATCH(H$6,Data[#Headers],0))-G248</f>
        <v>241870</v>
      </c>
      <c r="I248" s="25"/>
      <c r="J248" s="22">
        <f>INDEX(Notes!$I$2:$N$11,MATCH(Notes!$B$2,Notes!$I$2:$I$11,0),4)*$C248</f>
        <v>488608</v>
      </c>
      <c r="K248" s="22">
        <f>INDEX(Notes!$I$2:$N$11,MATCH(Notes!$B$2,Notes!$I$2:$I$11,0),5)*$D248</f>
        <v>241870</v>
      </c>
      <c r="L248" s="22">
        <f>INDEX(Notes!$I$2:$N$11,MATCH(Notes!$B$2,Notes!$I$2:$I$11,0),6)*$E248</f>
        <v>241870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120935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127330</v>
      </c>
      <c r="D249" s="163">
        <f>INDEX(Data[],MATCH($A249,Data[Dist],0),MATCH(D$6,Data[#Headers],0))</f>
        <v>126009</v>
      </c>
      <c r="E249" s="163">
        <f>INDEX(Data[],MATCH($A249,Data[Dist],0),MATCH(E$6,Data[#Headers],0))</f>
        <v>126009</v>
      </c>
      <c r="F249" s="163">
        <f>INDEX(Data[],MATCH($A249,Data[Dist],0),MATCH(F$6,Data[#Headers],0))</f>
        <v>126007</v>
      </c>
      <c r="G249" s="22">
        <f>INDEX(Data[],MATCH($A249,Data[Dist],0),MATCH(G$6,Data[#Headers],0))</f>
        <v>1013356</v>
      </c>
      <c r="H249" s="22">
        <f>INDEX(Data[],MATCH($A249,Data[Dist],0),MATCH(H$6,Data[#Headers],0))-G249</f>
        <v>252016</v>
      </c>
      <c r="I249" s="25"/>
      <c r="J249" s="22">
        <f>INDEX(Notes!$I$2:$N$11,MATCH(Notes!$B$2,Notes!$I$2:$I$11,0),4)*$C249</f>
        <v>509320</v>
      </c>
      <c r="K249" s="22">
        <f>INDEX(Notes!$I$2:$N$11,MATCH(Notes!$B$2,Notes!$I$2:$I$11,0),5)*$D249</f>
        <v>252018</v>
      </c>
      <c r="L249" s="22">
        <f>INDEX(Notes!$I$2:$N$11,MATCH(Notes!$B$2,Notes!$I$2:$I$11,0),6)*$E249</f>
        <v>252018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126009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552690</v>
      </c>
      <c r="D250" s="163">
        <f>INDEX(Data[],MATCH($A250,Data[Dist],0),MATCH(D$6,Data[#Headers],0))</f>
        <v>549428</v>
      </c>
      <c r="E250" s="163">
        <f>INDEX(Data[],MATCH($A250,Data[Dist],0),MATCH(E$6,Data[#Headers],0))</f>
        <v>549429</v>
      </c>
      <c r="F250" s="163">
        <f>INDEX(Data[],MATCH($A250,Data[Dist],0),MATCH(F$6,Data[#Headers],0))</f>
        <v>549427</v>
      </c>
      <c r="G250" s="22">
        <f>INDEX(Data[],MATCH($A250,Data[Dist],0),MATCH(G$6,Data[#Headers],0))</f>
        <v>4408474</v>
      </c>
      <c r="H250" s="22">
        <f>INDEX(Data[],MATCH($A250,Data[Dist],0),MATCH(H$6,Data[#Headers],0))-G250</f>
        <v>1098856</v>
      </c>
      <c r="I250" s="25"/>
      <c r="J250" s="22">
        <f>INDEX(Notes!$I$2:$N$11,MATCH(Notes!$B$2,Notes!$I$2:$I$11,0),4)*$C250</f>
        <v>2210760</v>
      </c>
      <c r="K250" s="22">
        <f>INDEX(Notes!$I$2:$N$11,MATCH(Notes!$B$2,Notes!$I$2:$I$11,0),5)*$D250</f>
        <v>1098856</v>
      </c>
      <c r="L250" s="22">
        <f>INDEX(Notes!$I$2:$N$11,MATCH(Notes!$B$2,Notes!$I$2:$I$11,0),6)*$E250</f>
        <v>1098858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549429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599552</v>
      </c>
      <c r="D251" s="163">
        <f>INDEX(Data[],MATCH($A251,Data[Dist],0),MATCH(D$6,Data[#Headers],0))</f>
        <v>595715</v>
      </c>
      <c r="E251" s="163">
        <f>INDEX(Data[],MATCH($A251,Data[Dist],0),MATCH(E$6,Data[#Headers],0))</f>
        <v>595715</v>
      </c>
      <c r="F251" s="163">
        <f>INDEX(Data[],MATCH($A251,Data[Dist],0),MATCH(F$6,Data[#Headers],0))</f>
        <v>595716</v>
      </c>
      <c r="G251" s="22">
        <f>INDEX(Data[],MATCH($A251,Data[Dist],0),MATCH(G$6,Data[#Headers],0))</f>
        <v>4781068</v>
      </c>
      <c r="H251" s="22">
        <f>INDEX(Data[],MATCH($A251,Data[Dist],0),MATCH(H$6,Data[#Headers],0))-G251</f>
        <v>1191431</v>
      </c>
      <c r="I251" s="25"/>
      <c r="J251" s="22">
        <f>INDEX(Notes!$I$2:$N$11,MATCH(Notes!$B$2,Notes!$I$2:$I$11,0),4)*$C251</f>
        <v>2398208</v>
      </c>
      <c r="K251" s="22">
        <f>INDEX(Notes!$I$2:$N$11,MATCH(Notes!$B$2,Notes!$I$2:$I$11,0),5)*$D251</f>
        <v>1191430</v>
      </c>
      <c r="L251" s="22">
        <f>INDEX(Notes!$I$2:$N$11,MATCH(Notes!$B$2,Notes!$I$2:$I$11,0),6)*$E251</f>
        <v>1191430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595715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225570</v>
      </c>
      <c r="D252" s="163">
        <f>INDEX(Data[],MATCH($A252,Data[Dist],0),MATCH(D$6,Data[#Headers],0))</f>
        <v>223979</v>
      </c>
      <c r="E252" s="163">
        <f>INDEX(Data[],MATCH($A252,Data[Dist],0),MATCH(E$6,Data[#Headers],0))</f>
        <v>223979</v>
      </c>
      <c r="F252" s="163">
        <f>INDEX(Data[],MATCH($A252,Data[Dist],0),MATCH(F$6,Data[#Headers],0))</f>
        <v>223978</v>
      </c>
      <c r="G252" s="22">
        <f>INDEX(Data[],MATCH($A252,Data[Dist],0),MATCH(G$6,Data[#Headers],0))</f>
        <v>1798196</v>
      </c>
      <c r="H252" s="22">
        <f>INDEX(Data[],MATCH($A252,Data[Dist],0),MATCH(H$6,Data[#Headers],0))-G252</f>
        <v>447957</v>
      </c>
      <c r="I252" s="25"/>
      <c r="J252" s="22">
        <f>INDEX(Notes!$I$2:$N$11,MATCH(Notes!$B$2,Notes!$I$2:$I$11,0),4)*$C252</f>
        <v>902280</v>
      </c>
      <c r="K252" s="22">
        <f>INDEX(Notes!$I$2:$N$11,MATCH(Notes!$B$2,Notes!$I$2:$I$11,0),5)*$D252</f>
        <v>447958</v>
      </c>
      <c r="L252" s="22">
        <f>INDEX(Notes!$I$2:$N$11,MATCH(Notes!$B$2,Notes!$I$2:$I$11,0),6)*$E252</f>
        <v>447958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223979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138870</v>
      </c>
      <c r="D253" s="163">
        <f>INDEX(Data[],MATCH($A253,Data[Dist],0),MATCH(D$6,Data[#Headers],0))</f>
        <v>137983</v>
      </c>
      <c r="E253" s="163">
        <f>INDEX(Data[],MATCH($A253,Data[Dist],0),MATCH(E$6,Data[#Headers],0))</f>
        <v>137983</v>
      </c>
      <c r="F253" s="163">
        <f>INDEX(Data[],MATCH($A253,Data[Dist],0),MATCH(F$6,Data[#Headers],0))</f>
        <v>137981</v>
      </c>
      <c r="G253" s="22">
        <f>INDEX(Data[],MATCH($A253,Data[Dist],0),MATCH(G$6,Data[#Headers],0))</f>
        <v>1107412</v>
      </c>
      <c r="H253" s="22">
        <f>INDEX(Data[],MATCH($A253,Data[Dist],0),MATCH(H$6,Data[#Headers],0))-G253</f>
        <v>275964</v>
      </c>
      <c r="I253" s="25"/>
      <c r="J253" s="22">
        <f>INDEX(Notes!$I$2:$N$11,MATCH(Notes!$B$2,Notes!$I$2:$I$11,0),4)*$C253</f>
        <v>555480</v>
      </c>
      <c r="K253" s="22">
        <f>INDEX(Notes!$I$2:$N$11,MATCH(Notes!$B$2,Notes!$I$2:$I$11,0),5)*$D253</f>
        <v>275966</v>
      </c>
      <c r="L253" s="22">
        <f>INDEX(Notes!$I$2:$N$11,MATCH(Notes!$B$2,Notes!$I$2:$I$11,0),6)*$E253</f>
        <v>275966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137983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305449</v>
      </c>
      <c r="D254" s="163">
        <f>INDEX(Data[],MATCH($A254,Data[Dist],0),MATCH(D$6,Data[#Headers],0))</f>
        <v>303130</v>
      </c>
      <c r="E254" s="163">
        <f>INDEX(Data[],MATCH($A254,Data[Dist],0),MATCH(E$6,Data[#Headers],0))</f>
        <v>303131</v>
      </c>
      <c r="F254" s="163">
        <f>INDEX(Data[],MATCH($A254,Data[Dist],0),MATCH(F$6,Data[#Headers],0))</f>
        <v>303129</v>
      </c>
      <c r="G254" s="22">
        <f>INDEX(Data[],MATCH($A254,Data[Dist],0),MATCH(G$6,Data[#Headers],0))</f>
        <v>2434318</v>
      </c>
      <c r="H254" s="22">
        <f>INDEX(Data[],MATCH($A254,Data[Dist],0),MATCH(H$6,Data[#Headers],0))-G254</f>
        <v>606260</v>
      </c>
      <c r="I254" s="25"/>
      <c r="J254" s="22">
        <f>INDEX(Notes!$I$2:$N$11,MATCH(Notes!$B$2,Notes!$I$2:$I$11,0),4)*$C254</f>
        <v>1221796</v>
      </c>
      <c r="K254" s="22">
        <f>INDEX(Notes!$I$2:$N$11,MATCH(Notes!$B$2,Notes!$I$2:$I$11,0),5)*$D254</f>
        <v>606260</v>
      </c>
      <c r="L254" s="22">
        <f>INDEX(Notes!$I$2:$N$11,MATCH(Notes!$B$2,Notes!$I$2:$I$11,0),6)*$E254</f>
        <v>606262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303131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367333</v>
      </c>
      <c r="D255" s="163">
        <f>INDEX(Data[],MATCH($A255,Data[Dist],0),MATCH(D$6,Data[#Headers],0))</f>
        <v>363076</v>
      </c>
      <c r="E255" s="163">
        <f>INDEX(Data[],MATCH($A255,Data[Dist],0),MATCH(E$6,Data[#Headers],0))</f>
        <v>363076</v>
      </c>
      <c r="F255" s="163">
        <f>INDEX(Data[],MATCH($A255,Data[Dist],0),MATCH(F$6,Data[#Headers],0))</f>
        <v>363077</v>
      </c>
      <c r="G255" s="22">
        <f>INDEX(Data[],MATCH($A255,Data[Dist],0),MATCH(G$6,Data[#Headers],0))</f>
        <v>2921636</v>
      </c>
      <c r="H255" s="22">
        <f>INDEX(Data[],MATCH($A255,Data[Dist],0),MATCH(H$6,Data[#Headers],0))-G255</f>
        <v>726153</v>
      </c>
      <c r="I255" s="25"/>
      <c r="J255" s="22">
        <f>INDEX(Notes!$I$2:$N$11,MATCH(Notes!$B$2,Notes!$I$2:$I$11,0),4)*$C255</f>
        <v>1469332</v>
      </c>
      <c r="K255" s="22">
        <f>INDEX(Notes!$I$2:$N$11,MATCH(Notes!$B$2,Notes!$I$2:$I$11,0),5)*$D255</f>
        <v>726152</v>
      </c>
      <c r="L255" s="22">
        <f>INDEX(Notes!$I$2:$N$11,MATCH(Notes!$B$2,Notes!$I$2:$I$11,0),6)*$E255</f>
        <v>726152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363076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202597</v>
      </c>
      <c r="D256" s="163">
        <f>INDEX(Data[],MATCH($A256,Data[Dist],0),MATCH(D$6,Data[#Headers],0))</f>
        <v>201132</v>
      </c>
      <c r="E256" s="163">
        <f>INDEX(Data[],MATCH($A256,Data[Dist],0),MATCH(E$6,Data[#Headers],0))</f>
        <v>201132</v>
      </c>
      <c r="F256" s="163">
        <f>INDEX(Data[],MATCH($A256,Data[Dist],0),MATCH(F$6,Data[#Headers],0))</f>
        <v>201130</v>
      </c>
      <c r="G256" s="22">
        <f>INDEX(Data[],MATCH($A256,Data[Dist],0),MATCH(G$6,Data[#Headers],0))</f>
        <v>1614916</v>
      </c>
      <c r="H256" s="22">
        <f>INDEX(Data[],MATCH($A256,Data[Dist],0),MATCH(H$6,Data[#Headers],0))-G256</f>
        <v>402262</v>
      </c>
      <c r="I256" s="25"/>
      <c r="J256" s="22">
        <f>INDEX(Notes!$I$2:$N$11,MATCH(Notes!$B$2,Notes!$I$2:$I$11,0),4)*$C256</f>
        <v>810388</v>
      </c>
      <c r="K256" s="22">
        <f>INDEX(Notes!$I$2:$N$11,MATCH(Notes!$B$2,Notes!$I$2:$I$11,0),5)*$D256</f>
        <v>402264</v>
      </c>
      <c r="L256" s="22">
        <f>INDEX(Notes!$I$2:$N$11,MATCH(Notes!$B$2,Notes!$I$2:$I$11,0),6)*$E256</f>
        <v>402264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201132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120220</v>
      </c>
      <c r="D257" s="163">
        <f>INDEX(Data[],MATCH($A257,Data[Dist],0),MATCH(D$6,Data[#Headers],0))</f>
        <v>119234</v>
      </c>
      <c r="E257" s="163">
        <f>INDEX(Data[],MATCH($A257,Data[Dist],0),MATCH(E$6,Data[#Headers],0))</f>
        <v>119234</v>
      </c>
      <c r="F257" s="163">
        <f>INDEX(Data[],MATCH($A257,Data[Dist],0),MATCH(F$6,Data[#Headers],0))</f>
        <v>119234</v>
      </c>
      <c r="G257" s="22">
        <f>INDEX(Data[],MATCH($A257,Data[Dist],0),MATCH(G$6,Data[#Headers],0))</f>
        <v>957816</v>
      </c>
      <c r="H257" s="22">
        <f>INDEX(Data[],MATCH($A257,Data[Dist],0),MATCH(H$6,Data[#Headers],0))-G257</f>
        <v>238468</v>
      </c>
      <c r="I257" s="25"/>
      <c r="J257" s="22">
        <f>INDEX(Notes!$I$2:$N$11,MATCH(Notes!$B$2,Notes!$I$2:$I$11,0),4)*$C257</f>
        <v>480880</v>
      </c>
      <c r="K257" s="22">
        <f>INDEX(Notes!$I$2:$N$11,MATCH(Notes!$B$2,Notes!$I$2:$I$11,0),5)*$D257</f>
        <v>238468</v>
      </c>
      <c r="L257" s="22">
        <f>INDEX(Notes!$I$2:$N$11,MATCH(Notes!$B$2,Notes!$I$2:$I$11,0),6)*$E257</f>
        <v>238468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119234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744285</v>
      </c>
      <c r="D258" s="163">
        <f>INDEX(Data[],MATCH($A258,Data[Dist],0),MATCH(D$6,Data[#Headers],0))</f>
        <v>738800</v>
      </c>
      <c r="E258" s="163">
        <f>INDEX(Data[],MATCH($A258,Data[Dist],0),MATCH(E$6,Data[#Headers],0))</f>
        <v>738801</v>
      </c>
      <c r="F258" s="163">
        <f>INDEX(Data[],MATCH($A258,Data[Dist],0),MATCH(F$6,Data[#Headers],0))</f>
        <v>738799</v>
      </c>
      <c r="G258" s="22">
        <f>INDEX(Data[],MATCH($A258,Data[Dist],0),MATCH(G$6,Data[#Headers],0))</f>
        <v>5932342</v>
      </c>
      <c r="H258" s="22">
        <f>INDEX(Data[],MATCH($A258,Data[Dist],0),MATCH(H$6,Data[#Headers],0))-G258</f>
        <v>1477600</v>
      </c>
      <c r="I258" s="25"/>
      <c r="J258" s="22">
        <f>INDEX(Notes!$I$2:$N$11,MATCH(Notes!$B$2,Notes!$I$2:$I$11,0),4)*$C258</f>
        <v>2977140</v>
      </c>
      <c r="K258" s="22">
        <f>INDEX(Notes!$I$2:$N$11,MATCH(Notes!$B$2,Notes!$I$2:$I$11,0),5)*$D258</f>
        <v>1477600</v>
      </c>
      <c r="L258" s="22">
        <f>INDEX(Notes!$I$2:$N$11,MATCH(Notes!$B$2,Notes!$I$2:$I$11,0),6)*$E258</f>
        <v>1477602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738801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151558</v>
      </c>
      <c r="D259" s="163">
        <f>INDEX(Data[],MATCH($A259,Data[Dist],0),MATCH(D$6,Data[#Headers],0))</f>
        <v>150546</v>
      </c>
      <c r="E259" s="163">
        <f>INDEX(Data[],MATCH($A259,Data[Dist],0),MATCH(E$6,Data[#Headers],0))</f>
        <v>150546</v>
      </c>
      <c r="F259" s="163">
        <f>INDEX(Data[],MATCH($A259,Data[Dist],0),MATCH(F$6,Data[#Headers],0))</f>
        <v>150547</v>
      </c>
      <c r="G259" s="22">
        <f>INDEX(Data[],MATCH($A259,Data[Dist],0),MATCH(G$6,Data[#Headers],0))</f>
        <v>1208416</v>
      </c>
      <c r="H259" s="22">
        <f>INDEX(Data[],MATCH($A259,Data[Dist],0),MATCH(H$6,Data[#Headers],0))-G259</f>
        <v>301093</v>
      </c>
      <c r="I259" s="25"/>
      <c r="J259" s="22">
        <f>INDEX(Notes!$I$2:$N$11,MATCH(Notes!$B$2,Notes!$I$2:$I$11,0),4)*$C259</f>
        <v>606232</v>
      </c>
      <c r="K259" s="22">
        <f>INDEX(Notes!$I$2:$N$11,MATCH(Notes!$B$2,Notes!$I$2:$I$11,0),5)*$D259</f>
        <v>301092</v>
      </c>
      <c r="L259" s="22">
        <f>INDEX(Notes!$I$2:$N$11,MATCH(Notes!$B$2,Notes!$I$2:$I$11,0),6)*$E259</f>
        <v>301092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150546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407473</v>
      </c>
      <c r="D260" s="163">
        <f>INDEX(Data[],MATCH($A260,Data[Dist],0),MATCH(D$6,Data[#Headers],0))</f>
        <v>404596</v>
      </c>
      <c r="E260" s="163">
        <f>INDEX(Data[],MATCH($A260,Data[Dist],0),MATCH(E$6,Data[#Headers],0))</f>
        <v>404597</v>
      </c>
      <c r="F260" s="163">
        <f>INDEX(Data[],MATCH($A260,Data[Dist],0),MATCH(F$6,Data[#Headers],0))</f>
        <v>404595</v>
      </c>
      <c r="G260" s="22">
        <f>INDEX(Data[],MATCH($A260,Data[Dist],0),MATCH(G$6,Data[#Headers],0))</f>
        <v>3248278</v>
      </c>
      <c r="H260" s="22">
        <f>INDEX(Data[],MATCH($A260,Data[Dist],0),MATCH(H$6,Data[#Headers],0))-G260</f>
        <v>809192</v>
      </c>
      <c r="I260" s="25"/>
      <c r="J260" s="22">
        <f>INDEX(Notes!$I$2:$N$11,MATCH(Notes!$B$2,Notes!$I$2:$I$11,0),4)*$C260</f>
        <v>1629892</v>
      </c>
      <c r="K260" s="22">
        <f>INDEX(Notes!$I$2:$N$11,MATCH(Notes!$B$2,Notes!$I$2:$I$11,0),5)*$D260</f>
        <v>809192</v>
      </c>
      <c r="L260" s="22">
        <f>INDEX(Notes!$I$2:$N$11,MATCH(Notes!$B$2,Notes!$I$2:$I$11,0),6)*$E260</f>
        <v>809194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404597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727189</v>
      </c>
      <c r="D261" s="163">
        <f>INDEX(Data[],MATCH($A261,Data[Dist],0),MATCH(D$6,Data[#Headers],0))</f>
        <v>722849</v>
      </c>
      <c r="E261" s="163">
        <f>INDEX(Data[],MATCH($A261,Data[Dist],0),MATCH(E$6,Data[#Headers],0))</f>
        <v>722850</v>
      </c>
      <c r="F261" s="163">
        <f>INDEX(Data[],MATCH($A261,Data[Dist],0),MATCH(F$6,Data[#Headers],0))</f>
        <v>722848</v>
      </c>
      <c r="G261" s="22">
        <f>INDEX(Data[],MATCH($A261,Data[Dist],0),MATCH(G$6,Data[#Headers],0))</f>
        <v>5800154</v>
      </c>
      <c r="H261" s="22">
        <f>INDEX(Data[],MATCH($A261,Data[Dist],0),MATCH(H$6,Data[#Headers],0))-G261</f>
        <v>1445698</v>
      </c>
      <c r="I261" s="25"/>
      <c r="J261" s="22">
        <f>INDEX(Notes!$I$2:$N$11,MATCH(Notes!$B$2,Notes!$I$2:$I$11,0),4)*$C261</f>
        <v>2908756</v>
      </c>
      <c r="K261" s="22">
        <f>INDEX(Notes!$I$2:$N$11,MATCH(Notes!$B$2,Notes!$I$2:$I$11,0),5)*$D261</f>
        <v>1445698</v>
      </c>
      <c r="L261" s="22">
        <f>INDEX(Notes!$I$2:$N$11,MATCH(Notes!$B$2,Notes!$I$2:$I$11,0),6)*$E261</f>
        <v>1445700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722850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671544</v>
      </c>
      <c r="D262" s="163">
        <f>INDEX(Data[],MATCH($A262,Data[Dist],0),MATCH(D$6,Data[#Headers],0))</f>
        <v>667521</v>
      </c>
      <c r="E262" s="163">
        <f>INDEX(Data[],MATCH($A262,Data[Dist],0),MATCH(E$6,Data[#Headers],0))</f>
        <v>667520</v>
      </c>
      <c r="F262" s="163">
        <f>INDEX(Data[],MATCH($A262,Data[Dist],0),MATCH(F$6,Data[#Headers],0))</f>
        <v>667521</v>
      </c>
      <c r="G262" s="22">
        <f>INDEX(Data[],MATCH($A262,Data[Dist],0),MATCH(G$6,Data[#Headers],0))</f>
        <v>5356258</v>
      </c>
      <c r="H262" s="22">
        <f>INDEX(Data[],MATCH($A262,Data[Dist],0),MATCH(H$6,Data[#Headers],0))-G262</f>
        <v>1335041</v>
      </c>
      <c r="I262" s="25"/>
      <c r="J262" s="22">
        <f>INDEX(Notes!$I$2:$N$11,MATCH(Notes!$B$2,Notes!$I$2:$I$11,0),4)*$C262</f>
        <v>2686176</v>
      </c>
      <c r="K262" s="22">
        <f>INDEX(Notes!$I$2:$N$11,MATCH(Notes!$B$2,Notes!$I$2:$I$11,0),5)*$D262</f>
        <v>1335042</v>
      </c>
      <c r="L262" s="22">
        <f>INDEX(Notes!$I$2:$N$11,MATCH(Notes!$B$2,Notes!$I$2:$I$11,0),6)*$E262</f>
        <v>1335040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667520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421629</v>
      </c>
      <c r="D263" s="163">
        <f>INDEX(Data[],MATCH($A263,Data[Dist],0),MATCH(D$6,Data[#Headers],0))</f>
        <v>418823</v>
      </c>
      <c r="E263" s="163">
        <f>INDEX(Data[],MATCH($A263,Data[Dist],0),MATCH(E$6,Data[#Headers],0))</f>
        <v>418824</v>
      </c>
      <c r="F263" s="163">
        <f>INDEX(Data[],MATCH($A263,Data[Dist],0),MATCH(F$6,Data[#Headers],0))</f>
        <v>418822</v>
      </c>
      <c r="G263" s="22">
        <f>INDEX(Data[],MATCH($A263,Data[Dist],0),MATCH(G$6,Data[#Headers],0))</f>
        <v>3361810</v>
      </c>
      <c r="H263" s="22">
        <f>INDEX(Data[],MATCH($A263,Data[Dist],0),MATCH(H$6,Data[#Headers],0))-G263</f>
        <v>837646</v>
      </c>
      <c r="I263" s="25"/>
      <c r="J263" s="22">
        <f>INDEX(Notes!$I$2:$N$11,MATCH(Notes!$B$2,Notes!$I$2:$I$11,0),4)*$C263</f>
        <v>1686516</v>
      </c>
      <c r="K263" s="22">
        <f>INDEX(Notes!$I$2:$N$11,MATCH(Notes!$B$2,Notes!$I$2:$I$11,0),5)*$D263</f>
        <v>837646</v>
      </c>
      <c r="L263" s="22">
        <f>INDEX(Notes!$I$2:$N$11,MATCH(Notes!$B$2,Notes!$I$2:$I$11,0),6)*$E263</f>
        <v>837648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418824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231179</v>
      </c>
      <c r="D264" s="163">
        <f>INDEX(Data[],MATCH($A264,Data[Dist],0),MATCH(D$6,Data[#Headers],0))</f>
        <v>229715</v>
      </c>
      <c r="E264" s="163">
        <f>INDEX(Data[],MATCH($A264,Data[Dist],0),MATCH(E$6,Data[#Headers],0))</f>
        <v>229714</v>
      </c>
      <c r="F264" s="163">
        <f>INDEX(Data[],MATCH($A264,Data[Dist],0),MATCH(F$6,Data[#Headers],0))</f>
        <v>229715</v>
      </c>
      <c r="G264" s="22">
        <f>INDEX(Data[],MATCH($A264,Data[Dist],0),MATCH(G$6,Data[#Headers],0))</f>
        <v>1843574</v>
      </c>
      <c r="H264" s="22">
        <f>INDEX(Data[],MATCH($A264,Data[Dist],0),MATCH(H$6,Data[#Headers],0))-G264</f>
        <v>459429</v>
      </c>
      <c r="I264" s="25"/>
      <c r="J264" s="22">
        <f>INDEX(Notes!$I$2:$N$11,MATCH(Notes!$B$2,Notes!$I$2:$I$11,0),4)*$C264</f>
        <v>924716</v>
      </c>
      <c r="K264" s="22">
        <f>INDEX(Notes!$I$2:$N$11,MATCH(Notes!$B$2,Notes!$I$2:$I$11,0),5)*$D264</f>
        <v>459430</v>
      </c>
      <c r="L264" s="22">
        <f>INDEX(Notes!$I$2:$N$11,MATCH(Notes!$B$2,Notes!$I$2:$I$11,0),6)*$E264</f>
        <v>459428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229714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INDEX($A$7:$H$333,MATCH($S264,$A$7:$A$333,0),5)-Q264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361777</v>
      </c>
      <c r="D265" s="163">
        <f>INDEX(Data[],MATCH($A265,Data[Dist],0),MATCH(D$6,Data[#Headers],0))</f>
        <v>359599</v>
      </c>
      <c r="E265" s="163">
        <f>INDEX(Data[],MATCH($A265,Data[Dist],0),MATCH(E$6,Data[#Headers],0))</f>
        <v>359598</v>
      </c>
      <c r="F265" s="163">
        <f>INDEX(Data[],MATCH($A265,Data[Dist],0),MATCH(F$6,Data[#Headers],0))</f>
        <v>359599</v>
      </c>
      <c r="G265" s="22">
        <f>INDEX(Data[],MATCH($A265,Data[Dist],0),MATCH(G$6,Data[#Headers],0))</f>
        <v>2885502</v>
      </c>
      <c r="H265" s="22">
        <f>INDEX(Data[],MATCH($A265,Data[Dist],0),MATCH(H$6,Data[#Headers],0))-G265</f>
        <v>719197</v>
      </c>
      <c r="I265" s="25"/>
      <c r="J265" s="22">
        <f>INDEX(Notes!$I$2:$N$11,MATCH(Notes!$B$2,Notes!$I$2:$I$11,0),4)*$C265</f>
        <v>1447108</v>
      </c>
      <c r="K265" s="22">
        <f>INDEX(Notes!$I$2:$N$11,MATCH(Notes!$B$2,Notes!$I$2:$I$11,0),5)*$D265</f>
        <v>719198</v>
      </c>
      <c r="L265" s="22">
        <f>INDEX(Notes!$I$2:$N$11,MATCH(Notes!$B$2,Notes!$I$2:$I$11,0),6)*$E265</f>
        <v>719196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359598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933365</v>
      </c>
      <c r="D266" s="163">
        <f>INDEX(Data[],MATCH($A266,Data[Dist],0),MATCH(D$6,Data[#Headers],0))</f>
        <v>927749</v>
      </c>
      <c r="E266" s="163">
        <f>INDEX(Data[],MATCH($A266,Data[Dist],0),MATCH(E$6,Data[#Headers],0))</f>
        <v>927749</v>
      </c>
      <c r="F266" s="163">
        <f>INDEX(Data[],MATCH($A266,Data[Dist],0),MATCH(F$6,Data[#Headers],0))</f>
        <v>927747</v>
      </c>
      <c r="G266" s="22">
        <f>INDEX(Data[],MATCH($A266,Data[Dist],0),MATCH(G$6,Data[#Headers],0))</f>
        <v>7444456</v>
      </c>
      <c r="H266" s="22">
        <f>INDEX(Data[],MATCH($A266,Data[Dist],0),MATCH(H$6,Data[#Headers],0))-G266</f>
        <v>1855496</v>
      </c>
      <c r="I266" s="25"/>
      <c r="J266" s="22">
        <f>INDEX(Notes!$I$2:$N$11,MATCH(Notes!$B$2,Notes!$I$2:$I$11,0),4)*$C266</f>
        <v>3733460</v>
      </c>
      <c r="K266" s="22">
        <f>INDEX(Notes!$I$2:$N$11,MATCH(Notes!$B$2,Notes!$I$2:$I$11,0),5)*$D266</f>
        <v>1855498</v>
      </c>
      <c r="L266" s="22">
        <f>INDEX(Notes!$I$2:$N$11,MATCH(Notes!$B$2,Notes!$I$2:$I$11,0),6)*$E266</f>
        <v>1855498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927749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12091591</v>
      </c>
      <c r="D267" s="163">
        <f>INDEX(Data[],MATCH($A267,Data[Dist],0),MATCH(D$6,Data[#Headers],0))</f>
        <v>12032940</v>
      </c>
      <c r="E267" s="163">
        <f>INDEX(Data[],MATCH($A267,Data[Dist],0),MATCH(E$6,Data[#Headers],0))</f>
        <v>12032939</v>
      </c>
      <c r="F267" s="163">
        <f>INDEX(Data[],MATCH($A267,Data[Dist],0),MATCH(F$6,Data[#Headers],0))</f>
        <v>12032940</v>
      </c>
      <c r="G267" s="22">
        <f>INDEX(Data[],MATCH($A267,Data[Dist],0),MATCH(G$6,Data[#Headers],0))</f>
        <v>96498122</v>
      </c>
      <c r="H267" s="22">
        <f>INDEX(Data[],MATCH($A267,Data[Dist],0),MATCH(H$6,Data[#Headers],0))-G267</f>
        <v>24065879</v>
      </c>
      <c r="I267" s="25"/>
      <c r="J267" s="22">
        <f>INDEX(Notes!$I$2:$N$11,MATCH(Notes!$B$2,Notes!$I$2:$I$11,0),4)*$C267</f>
        <v>48366364</v>
      </c>
      <c r="K267" s="22">
        <f>INDEX(Notes!$I$2:$N$11,MATCH(Notes!$B$2,Notes!$I$2:$I$11,0),5)*$D267</f>
        <v>24065880</v>
      </c>
      <c r="L267" s="22">
        <f>INDEX(Notes!$I$2:$N$11,MATCH(Notes!$B$2,Notes!$I$2:$I$11,0),6)*$E267</f>
        <v>24065878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12032939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259004</v>
      </c>
      <c r="D268" s="163">
        <f>INDEX(Data[],MATCH($A268,Data[Dist],0),MATCH(D$6,Data[#Headers],0))</f>
        <v>257171</v>
      </c>
      <c r="E268" s="163">
        <f>INDEX(Data[],MATCH($A268,Data[Dist],0),MATCH(E$6,Data[#Headers],0))</f>
        <v>235570</v>
      </c>
      <c r="F268" s="163">
        <f>INDEX(Data[],MATCH($A268,Data[Dist],0),MATCH(F$6,Data[#Headers],0))</f>
        <v>235568</v>
      </c>
      <c r="G268" s="22">
        <f>INDEX(Data[],MATCH($A268,Data[Dist],0),MATCH(G$6,Data[#Headers],0))</f>
        <v>2021498</v>
      </c>
      <c r="H268" s="22">
        <f>INDEX(Data[],MATCH($A268,Data[Dist],0),MATCH(H$6,Data[#Headers],0))-G268</f>
        <v>471138</v>
      </c>
      <c r="I268" s="25"/>
      <c r="J268" s="22">
        <f>INDEX(Notes!$I$2:$N$11,MATCH(Notes!$B$2,Notes!$I$2:$I$11,0),4)*$C268</f>
        <v>1036016</v>
      </c>
      <c r="K268" s="22">
        <f>INDEX(Notes!$I$2:$N$11,MATCH(Notes!$B$2,Notes!$I$2:$I$11,0),5)*$D268</f>
        <v>514342</v>
      </c>
      <c r="L268" s="22">
        <f>INDEX(Notes!$I$2:$N$11,MATCH(Notes!$B$2,Notes!$I$2:$I$11,0),6)*$E268</f>
        <v>471140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235570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506275</v>
      </c>
      <c r="D269" s="163">
        <f>INDEX(Data[],MATCH($A269,Data[Dist],0),MATCH(D$6,Data[#Headers],0))</f>
        <v>502590</v>
      </c>
      <c r="E269" s="163">
        <f>INDEX(Data[],MATCH($A269,Data[Dist],0),MATCH(E$6,Data[#Headers],0))</f>
        <v>502590</v>
      </c>
      <c r="F269" s="163">
        <f>INDEX(Data[],MATCH($A269,Data[Dist],0),MATCH(F$6,Data[#Headers],0))</f>
        <v>502590</v>
      </c>
      <c r="G269" s="22">
        <f>INDEX(Data[],MATCH($A269,Data[Dist],0),MATCH(G$6,Data[#Headers],0))</f>
        <v>4035460</v>
      </c>
      <c r="H269" s="22">
        <f>INDEX(Data[],MATCH($A269,Data[Dist],0),MATCH(H$6,Data[#Headers],0))-G269</f>
        <v>1005180</v>
      </c>
      <c r="I269" s="25"/>
      <c r="J269" s="22">
        <f>INDEX(Notes!$I$2:$N$11,MATCH(Notes!$B$2,Notes!$I$2:$I$11,0),4)*$C269</f>
        <v>2025100</v>
      </c>
      <c r="K269" s="22">
        <f>INDEX(Notes!$I$2:$N$11,MATCH(Notes!$B$2,Notes!$I$2:$I$11,0),5)*$D269</f>
        <v>1005180</v>
      </c>
      <c r="L269" s="22">
        <f>INDEX(Notes!$I$2:$N$11,MATCH(Notes!$B$2,Notes!$I$2:$I$11,0),6)*$E269</f>
        <v>1005180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502590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840304</v>
      </c>
      <c r="D270" s="163">
        <f>INDEX(Data[],MATCH($A270,Data[Dist],0),MATCH(D$6,Data[#Headers],0))</f>
        <v>834706</v>
      </c>
      <c r="E270" s="163">
        <f>INDEX(Data[],MATCH($A270,Data[Dist],0),MATCH(E$6,Data[#Headers],0))</f>
        <v>834706</v>
      </c>
      <c r="F270" s="163">
        <f>INDEX(Data[],MATCH($A270,Data[Dist],0),MATCH(F$6,Data[#Headers],0))</f>
        <v>834706</v>
      </c>
      <c r="G270" s="22">
        <f>INDEX(Data[],MATCH($A270,Data[Dist],0),MATCH(G$6,Data[#Headers],0))</f>
        <v>6700040</v>
      </c>
      <c r="H270" s="22">
        <f>INDEX(Data[],MATCH($A270,Data[Dist],0),MATCH(H$6,Data[#Headers],0))-G270</f>
        <v>1669412</v>
      </c>
      <c r="I270" s="25"/>
      <c r="J270" s="22">
        <f>INDEX(Notes!$I$2:$N$11,MATCH(Notes!$B$2,Notes!$I$2:$I$11,0),4)*$C270</f>
        <v>3361216</v>
      </c>
      <c r="K270" s="22">
        <f>INDEX(Notes!$I$2:$N$11,MATCH(Notes!$B$2,Notes!$I$2:$I$11,0),5)*$D270</f>
        <v>1669412</v>
      </c>
      <c r="L270" s="22">
        <f>INDEX(Notes!$I$2:$N$11,MATCH(Notes!$B$2,Notes!$I$2:$I$11,0),6)*$E270</f>
        <v>1669412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834706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382456</v>
      </c>
      <c r="D271" s="163">
        <f>INDEX(Data[],MATCH($A271,Data[Dist],0),MATCH(D$6,Data[#Headers],0))</f>
        <v>380331</v>
      </c>
      <c r="E271" s="163">
        <f>INDEX(Data[],MATCH($A271,Data[Dist],0),MATCH(E$6,Data[#Headers],0))</f>
        <v>380331</v>
      </c>
      <c r="F271" s="163">
        <f>INDEX(Data[],MATCH($A271,Data[Dist],0),MATCH(F$6,Data[#Headers],0))</f>
        <v>380329</v>
      </c>
      <c r="G271" s="22">
        <f>INDEX(Data[],MATCH($A271,Data[Dist],0),MATCH(G$6,Data[#Headers],0))</f>
        <v>3051148</v>
      </c>
      <c r="H271" s="22">
        <f>INDEX(Data[],MATCH($A271,Data[Dist],0),MATCH(H$6,Data[#Headers],0))-G271</f>
        <v>760660</v>
      </c>
      <c r="I271" s="25"/>
      <c r="J271" s="22">
        <f>INDEX(Notes!$I$2:$N$11,MATCH(Notes!$B$2,Notes!$I$2:$I$11,0),4)*$C271</f>
        <v>1529824</v>
      </c>
      <c r="K271" s="22">
        <f>INDEX(Notes!$I$2:$N$11,MATCH(Notes!$B$2,Notes!$I$2:$I$11,0),5)*$D271</f>
        <v>760662</v>
      </c>
      <c r="L271" s="22">
        <f>INDEX(Notes!$I$2:$N$11,MATCH(Notes!$B$2,Notes!$I$2:$I$11,0),6)*$E271</f>
        <v>760662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380331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343429</v>
      </c>
      <c r="D272" s="163">
        <f>INDEX(Data[],MATCH($A272,Data[Dist],0),MATCH(D$6,Data[#Headers],0))</f>
        <v>340972</v>
      </c>
      <c r="E272" s="163">
        <f>INDEX(Data[],MATCH($A272,Data[Dist],0),MATCH(E$6,Data[#Headers],0))</f>
        <v>340972</v>
      </c>
      <c r="F272" s="163">
        <f>INDEX(Data[],MATCH($A272,Data[Dist],0),MATCH(F$6,Data[#Headers],0))</f>
        <v>340971</v>
      </c>
      <c r="G272" s="22">
        <f>INDEX(Data[],MATCH($A272,Data[Dist],0),MATCH(G$6,Data[#Headers],0))</f>
        <v>2737604</v>
      </c>
      <c r="H272" s="22">
        <f>INDEX(Data[],MATCH($A272,Data[Dist],0),MATCH(H$6,Data[#Headers],0))-G272</f>
        <v>681943</v>
      </c>
      <c r="I272" s="25"/>
      <c r="J272" s="22">
        <f>INDEX(Notes!$I$2:$N$11,MATCH(Notes!$B$2,Notes!$I$2:$I$11,0),4)*$C272</f>
        <v>1373716</v>
      </c>
      <c r="K272" s="22">
        <f>INDEX(Notes!$I$2:$N$11,MATCH(Notes!$B$2,Notes!$I$2:$I$11,0),5)*$D272</f>
        <v>681944</v>
      </c>
      <c r="L272" s="22">
        <f>INDEX(Notes!$I$2:$N$11,MATCH(Notes!$B$2,Notes!$I$2:$I$11,0),6)*$E272</f>
        <v>681944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340972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276217</v>
      </c>
      <c r="D273" s="163">
        <f>INDEX(Data[],MATCH($A273,Data[Dist],0),MATCH(D$6,Data[#Headers],0))</f>
        <v>274142</v>
      </c>
      <c r="E273" s="163">
        <f>INDEX(Data[],MATCH($A273,Data[Dist],0),MATCH(E$6,Data[#Headers],0))</f>
        <v>274142</v>
      </c>
      <c r="F273" s="163">
        <f>INDEX(Data[],MATCH($A273,Data[Dist],0),MATCH(F$6,Data[#Headers],0))</f>
        <v>274142</v>
      </c>
      <c r="G273" s="22">
        <f>INDEX(Data[],MATCH($A273,Data[Dist],0),MATCH(G$6,Data[#Headers],0))</f>
        <v>2201436</v>
      </c>
      <c r="H273" s="22">
        <f>INDEX(Data[],MATCH($A273,Data[Dist],0),MATCH(H$6,Data[#Headers],0))-G273</f>
        <v>548284</v>
      </c>
      <c r="I273" s="25"/>
      <c r="J273" s="22">
        <f>INDEX(Notes!$I$2:$N$11,MATCH(Notes!$B$2,Notes!$I$2:$I$11,0),4)*$C273</f>
        <v>1104868</v>
      </c>
      <c r="K273" s="22">
        <f>INDEX(Notes!$I$2:$N$11,MATCH(Notes!$B$2,Notes!$I$2:$I$11,0),5)*$D273</f>
        <v>548284</v>
      </c>
      <c r="L273" s="22">
        <f>INDEX(Notes!$I$2:$N$11,MATCH(Notes!$B$2,Notes!$I$2:$I$11,0),6)*$E273</f>
        <v>548284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274142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140932</v>
      </c>
      <c r="D274" s="163">
        <f>INDEX(Data[],MATCH($A274,Data[Dist],0),MATCH(D$6,Data[#Headers],0))</f>
        <v>140085</v>
      </c>
      <c r="E274" s="163">
        <f>INDEX(Data[],MATCH($A274,Data[Dist],0),MATCH(E$6,Data[#Headers],0))</f>
        <v>140085</v>
      </c>
      <c r="F274" s="163">
        <f>INDEX(Data[],MATCH($A274,Data[Dist],0),MATCH(F$6,Data[#Headers],0))</f>
        <v>140085</v>
      </c>
      <c r="G274" s="22">
        <f>INDEX(Data[],MATCH($A274,Data[Dist],0),MATCH(G$6,Data[#Headers],0))</f>
        <v>1124068</v>
      </c>
      <c r="H274" s="22">
        <f>INDEX(Data[],MATCH($A274,Data[Dist],0),MATCH(H$6,Data[#Headers],0))-G274</f>
        <v>280170</v>
      </c>
      <c r="I274" s="25"/>
      <c r="J274" s="22">
        <f>INDEX(Notes!$I$2:$N$11,MATCH(Notes!$B$2,Notes!$I$2:$I$11,0),4)*$C274</f>
        <v>563728</v>
      </c>
      <c r="K274" s="22">
        <f>INDEX(Notes!$I$2:$N$11,MATCH(Notes!$B$2,Notes!$I$2:$I$11,0),5)*$D274</f>
        <v>280170</v>
      </c>
      <c r="L274" s="22">
        <f>INDEX(Notes!$I$2:$N$11,MATCH(Notes!$B$2,Notes!$I$2:$I$11,0),6)*$E274</f>
        <v>280170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140085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1160877</v>
      </c>
      <c r="D275" s="163">
        <f>INDEX(Data[],MATCH($A275,Data[Dist],0),MATCH(D$6,Data[#Headers],0))</f>
        <v>1154888</v>
      </c>
      <c r="E275" s="163">
        <f>INDEX(Data[],MATCH($A275,Data[Dist],0),MATCH(E$6,Data[#Headers],0))</f>
        <v>1154889</v>
      </c>
      <c r="F275" s="163">
        <f>INDEX(Data[],MATCH($A275,Data[Dist],0),MATCH(F$6,Data[#Headers],0))</f>
        <v>1154887</v>
      </c>
      <c r="G275" s="22">
        <f>INDEX(Data[],MATCH($A275,Data[Dist],0),MATCH(G$6,Data[#Headers],0))</f>
        <v>9263062</v>
      </c>
      <c r="H275" s="22">
        <f>INDEX(Data[],MATCH($A275,Data[Dist],0),MATCH(H$6,Data[#Headers],0))-G275</f>
        <v>2309776</v>
      </c>
      <c r="I275" s="25"/>
      <c r="J275" s="22">
        <f>INDEX(Notes!$I$2:$N$11,MATCH(Notes!$B$2,Notes!$I$2:$I$11,0),4)*$C275</f>
        <v>4643508</v>
      </c>
      <c r="K275" s="22">
        <f>INDEX(Notes!$I$2:$N$11,MATCH(Notes!$B$2,Notes!$I$2:$I$11,0),5)*$D275</f>
        <v>2309776</v>
      </c>
      <c r="L275" s="22">
        <f>INDEX(Notes!$I$2:$N$11,MATCH(Notes!$B$2,Notes!$I$2:$I$11,0),6)*$E275</f>
        <v>2309778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1154889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330314</v>
      </c>
      <c r="D276" s="163">
        <f>INDEX(Data[],MATCH($A276,Data[Dist],0),MATCH(D$6,Data[#Headers],0))</f>
        <v>328307</v>
      </c>
      <c r="E276" s="163">
        <f>INDEX(Data[],MATCH($A276,Data[Dist],0),MATCH(E$6,Data[#Headers],0))</f>
        <v>328307</v>
      </c>
      <c r="F276" s="163">
        <f>INDEX(Data[],MATCH($A276,Data[Dist],0),MATCH(F$6,Data[#Headers],0))</f>
        <v>328308</v>
      </c>
      <c r="G276" s="22">
        <f>INDEX(Data[],MATCH($A276,Data[Dist],0),MATCH(G$6,Data[#Headers],0))</f>
        <v>2634484</v>
      </c>
      <c r="H276" s="22">
        <f>INDEX(Data[],MATCH($A276,Data[Dist],0),MATCH(H$6,Data[#Headers],0))-G276</f>
        <v>656615</v>
      </c>
      <c r="I276" s="25"/>
      <c r="J276" s="22">
        <f>INDEX(Notes!$I$2:$N$11,MATCH(Notes!$B$2,Notes!$I$2:$I$11,0),4)*$C276</f>
        <v>1321256</v>
      </c>
      <c r="K276" s="22">
        <f>INDEX(Notes!$I$2:$N$11,MATCH(Notes!$B$2,Notes!$I$2:$I$11,0),5)*$D276</f>
        <v>656614</v>
      </c>
      <c r="L276" s="22">
        <f>INDEX(Notes!$I$2:$N$11,MATCH(Notes!$B$2,Notes!$I$2:$I$11,0),6)*$E276</f>
        <v>656614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328307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4763959</v>
      </c>
      <c r="D277" s="163">
        <f>INDEX(Data[],MATCH($A277,Data[Dist],0),MATCH(D$6,Data[#Headers],0))</f>
        <v>4736601</v>
      </c>
      <c r="E277" s="163">
        <f>INDEX(Data[],MATCH($A277,Data[Dist],0),MATCH(E$6,Data[#Headers],0))</f>
        <v>4736601</v>
      </c>
      <c r="F277" s="163">
        <f>INDEX(Data[],MATCH($A277,Data[Dist],0),MATCH(F$6,Data[#Headers],0))</f>
        <v>4736599</v>
      </c>
      <c r="G277" s="22">
        <f>INDEX(Data[],MATCH($A277,Data[Dist],0),MATCH(G$6,Data[#Headers],0))</f>
        <v>38002240</v>
      </c>
      <c r="H277" s="22">
        <f>INDEX(Data[],MATCH($A277,Data[Dist],0),MATCH(H$6,Data[#Headers],0))-G277</f>
        <v>9473200</v>
      </c>
      <c r="I277" s="25"/>
      <c r="J277" s="22">
        <f>INDEX(Notes!$I$2:$N$11,MATCH(Notes!$B$2,Notes!$I$2:$I$11,0),4)*$C277</f>
        <v>19055836</v>
      </c>
      <c r="K277" s="22">
        <f>INDEX(Notes!$I$2:$N$11,MATCH(Notes!$B$2,Notes!$I$2:$I$11,0),5)*$D277</f>
        <v>9473202</v>
      </c>
      <c r="L277" s="22">
        <f>INDEX(Notes!$I$2:$N$11,MATCH(Notes!$B$2,Notes!$I$2:$I$11,0),6)*$E277</f>
        <v>9473202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4736601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1367298</v>
      </c>
      <c r="D278" s="163">
        <f>INDEX(Data[],MATCH($A278,Data[Dist],0),MATCH(D$6,Data[#Headers],0))</f>
        <v>1359504</v>
      </c>
      <c r="E278" s="163">
        <f>INDEX(Data[],MATCH($A278,Data[Dist],0),MATCH(E$6,Data[#Headers],0))</f>
        <v>1359504</v>
      </c>
      <c r="F278" s="163">
        <f>INDEX(Data[],MATCH($A278,Data[Dist],0),MATCH(F$6,Data[#Headers],0))</f>
        <v>1359505</v>
      </c>
      <c r="G278" s="22">
        <f>INDEX(Data[],MATCH($A278,Data[Dist],0),MATCH(G$6,Data[#Headers],0))</f>
        <v>10907208</v>
      </c>
      <c r="H278" s="22">
        <f>INDEX(Data[],MATCH($A278,Data[Dist],0),MATCH(H$6,Data[#Headers],0))-G278</f>
        <v>2719009</v>
      </c>
      <c r="I278" s="25"/>
      <c r="J278" s="22">
        <f>INDEX(Notes!$I$2:$N$11,MATCH(Notes!$B$2,Notes!$I$2:$I$11,0),4)*$C278</f>
        <v>5469192</v>
      </c>
      <c r="K278" s="22">
        <f>INDEX(Notes!$I$2:$N$11,MATCH(Notes!$B$2,Notes!$I$2:$I$11,0),5)*$D278</f>
        <v>2719008</v>
      </c>
      <c r="L278" s="22">
        <f>INDEX(Notes!$I$2:$N$11,MATCH(Notes!$B$2,Notes!$I$2:$I$11,0),6)*$E278</f>
        <v>2719008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1359504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275204</v>
      </c>
      <c r="D279" s="163">
        <f>INDEX(Data[],MATCH($A279,Data[Dist],0),MATCH(D$6,Data[#Headers],0))</f>
        <v>270604</v>
      </c>
      <c r="E279" s="163">
        <f>INDEX(Data[],MATCH($A279,Data[Dist],0),MATCH(E$6,Data[#Headers],0))</f>
        <v>270604</v>
      </c>
      <c r="F279" s="163">
        <f>INDEX(Data[],MATCH($A279,Data[Dist],0),MATCH(F$6,Data[#Headers],0))</f>
        <v>270604</v>
      </c>
      <c r="G279" s="22">
        <f>INDEX(Data[],MATCH($A279,Data[Dist],0),MATCH(G$6,Data[#Headers],0))</f>
        <v>2183232</v>
      </c>
      <c r="H279" s="22">
        <f>INDEX(Data[],MATCH($A279,Data[Dist],0),MATCH(H$6,Data[#Headers],0))-G279</f>
        <v>541208</v>
      </c>
      <c r="I279" s="25"/>
      <c r="J279" s="22">
        <f>INDEX(Notes!$I$2:$N$11,MATCH(Notes!$B$2,Notes!$I$2:$I$11,0),4)*$C279</f>
        <v>1100816</v>
      </c>
      <c r="K279" s="22">
        <f>INDEX(Notes!$I$2:$N$11,MATCH(Notes!$B$2,Notes!$I$2:$I$11,0),5)*$D279</f>
        <v>541208</v>
      </c>
      <c r="L279" s="22">
        <f>INDEX(Notes!$I$2:$N$11,MATCH(Notes!$B$2,Notes!$I$2:$I$11,0),6)*$E279</f>
        <v>541208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270604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267206</v>
      </c>
      <c r="D280" s="163">
        <f>INDEX(Data[],MATCH($A280,Data[Dist],0),MATCH(D$6,Data[#Headers],0))</f>
        <v>265606</v>
      </c>
      <c r="E280" s="163">
        <f>INDEX(Data[],MATCH($A280,Data[Dist],0),MATCH(E$6,Data[#Headers],0))</f>
        <v>265607</v>
      </c>
      <c r="F280" s="163">
        <f>INDEX(Data[],MATCH($A280,Data[Dist],0),MATCH(F$6,Data[#Headers],0))</f>
        <v>265605</v>
      </c>
      <c r="G280" s="22">
        <f>INDEX(Data[],MATCH($A280,Data[Dist],0),MATCH(G$6,Data[#Headers],0))</f>
        <v>2131250</v>
      </c>
      <c r="H280" s="22">
        <f>INDEX(Data[],MATCH($A280,Data[Dist],0),MATCH(H$6,Data[#Headers],0))-G280</f>
        <v>531212</v>
      </c>
      <c r="I280" s="25"/>
      <c r="J280" s="22">
        <f>INDEX(Notes!$I$2:$N$11,MATCH(Notes!$B$2,Notes!$I$2:$I$11,0),4)*$C280</f>
        <v>1068824</v>
      </c>
      <c r="K280" s="22">
        <f>INDEX(Notes!$I$2:$N$11,MATCH(Notes!$B$2,Notes!$I$2:$I$11,0),5)*$D280</f>
        <v>531212</v>
      </c>
      <c r="L280" s="22">
        <f>INDEX(Notes!$I$2:$N$11,MATCH(Notes!$B$2,Notes!$I$2:$I$11,0),6)*$E280</f>
        <v>531214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265607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134171</v>
      </c>
      <c r="D281" s="163">
        <f>INDEX(Data[],MATCH($A281,Data[Dist],0),MATCH(D$6,Data[#Headers],0))</f>
        <v>133431</v>
      </c>
      <c r="E281" s="163">
        <f>INDEX(Data[],MATCH($A281,Data[Dist],0),MATCH(E$6,Data[#Headers],0))</f>
        <v>133431</v>
      </c>
      <c r="F281" s="163">
        <f>INDEX(Data[],MATCH($A281,Data[Dist],0),MATCH(F$6,Data[#Headers],0))</f>
        <v>133430</v>
      </c>
      <c r="G281" s="22">
        <f>INDEX(Data[],MATCH($A281,Data[Dist],0),MATCH(G$6,Data[#Headers],0))</f>
        <v>1070408</v>
      </c>
      <c r="H281" s="22">
        <f>INDEX(Data[],MATCH($A281,Data[Dist],0),MATCH(H$6,Data[#Headers],0))-G281</f>
        <v>266861</v>
      </c>
      <c r="I281" s="25"/>
      <c r="J281" s="22">
        <f>INDEX(Notes!$I$2:$N$11,MATCH(Notes!$B$2,Notes!$I$2:$I$11,0),4)*$C281</f>
        <v>536684</v>
      </c>
      <c r="K281" s="22">
        <f>INDEX(Notes!$I$2:$N$11,MATCH(Notes!$B$2,Notes!$I$2:$I$11,0),5)*$D281</f>
        <v>266862</v>
      </c>
      <c r="L281" s="22">
        <f>INDEX(Notes!$I$2:$N$11,MATCH(Notes!$B$2,Notes!$I$2:$I$11,0),6)*$E281</f>
        <v>266862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133431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401536</v>
      </c>
      <c r="D282" s="163">
        <f>INDEX(Data[],MATCH($A282,Data[Dist],0),MATCH(D$6,Data[#Headers],0))</f>
        <v>399124</v>
      </c>
      <c r="E282" s="163">
        <f>INDEX(Data[],MATCH($A282,Data[Dist],0),MATCH(E$6,Data[#Headers],0))</f>
        <v>399123</v>
      </c>
      <c r="F282" s="163">
        <f>INDEX(Data[],MATCH($A282,Data[Dist],0),MATCH(F$6,Data[#Headers],0))</f>
        <v>399124</v>
      </c>
      <c r="G282" s="22">
        <f>INDEX(Data[],MATCH($A282,Data[Dist],0),MATCH(G$6,Data[#Headers],0))</f>
        <v>3202638</v>
      </c>
      <c r="H282" s="22">
        <f>INDEX(Data[],MATCH($A282,Data[Dist],0),MATCH(H$6,Data[#Headers],0))-G282</f>
        <v>798247</v>
      </c>
      <c r="I282" s="25"/>
      <c r="J282" s="22">
        <f>INDEX(Notes!$I$2:$N$11,MATCH(Notes!$B$2,Notes!$I$2:$I$11,0),4)*$C282</f>
        <v>1606144</v>
      </c>
      <c r="K282" s="22">
        <f>INDEX(Notes!$I$2:$N$11,MATCH(Notes!$B$2,Notes!$I$2:$I$11,0),5)*$D282</f>
        <v>798248</v>
      </c>
      <c r="L282" s="22">
        <f>INDEX(Notes!$I$2:$N$11,MATCH(Notes!$B$2,Notes!$I$2:$I$11,0),6)*$E282</f>
        <v>798246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399123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2138171</v>
      </c>
      <c r="D283" s="163">
        <f>INDEX(Data[],MATCH($A283,Data[Dist],0),MATCH(D$6,Data[#Headers],0))</f>
        <v>2127863</v>
      </c>
      <c r="E283" s="163">
        <f>INDEX(Data[],MATCH($A283,Data[Dist],0),MATCH(E$6,Data[#Headers],0))</f>
        <v>2127864</v>
      </c>
      <c r="F283" s="163">
        <f>INDEX(Data[],MATCH($A283,Data[Dist],0),MATCH(F$6,Data[#Headers],0))</f>
        <v>2127862</v>
      </c>
      <c r="G283" s="22">
        <f>INDEX(Data[],MATCH($A283,Data[Dist],0),MATCH(G$6,Data[#Headers],0))</f>
        <v>17064138</v>
      </c>
      <c r="H283" s="22">
        <f>INDEX(Data[],MATCH($A283,Data[Dist],0),MATCH(H$6,Data[#Headers],0))-G283</f>
        <v>4255726</v>
      </c>
      <c r="I283" s="25"/>
      <c r="J283" s="22">
        <f>INDEX(Notes!$I$2:$N$11,MATCH(Notes!$B$2,Notes!$I$2:$I$11,0),4)*$C283</f>
        <v>8552684</v>
      </c>
      <c r="K283" s="22">
        <f>INDEX(Notes!$I$2:$N$11,MATCH(Notes!$B$2,Notes!$I$2:$I$11,0),5)*$D283</f>
        <v>4255726</v>
      </c>
      <c r="L283" s="22">
        <f>INDEX(Notes!$I$2:$N$11,MATCH(Notes!$B$2,Notes!$I$2:$I$11,0),6)*$E283</f>
        <v>4255728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2127864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81814</v>
      </c>
      <c r="D284" s="163">
        <f>INDEX(Data[],MATCH($A284,Data[Dist],0),MATCH(D$6,Data[#Headers],0))</f>
        <v>81305</v>
      </c>
      <c r="E284" s="163">
        <f>INDEX(Data[],MATCH($A284,Data[Dist],0),MATCH(E$6,Data[#Headers],0))</f>
        <v>81305</v>
      </c>
      <c r="F284" s="163">
        <f>INDEX(Data[],MATCH($A284,Data[Dist],0),MATCH(F$6,Data[#Headers],0))</f>
        <v>81306</v>
      </c>
      <c r="G284" s="22">
        <f>INDEX(Data[],MATCH($A284,Data[Dist],0),MATCH(G$6,Data[#Headers],0))</f>
        <v>652476</v>
      </c>
      <c r="H284" s="22">
        <f>INDEX(Data[],MATCH($A284,Data[Dist],0),MATCH(H$6,Data[#Headers],0))-G284</f>
        <v>162611</v>
      </c>
      <c r="I284" s="25"/>
      <c r="J284" s="22">
        <f>INDEX(Notes!$I$2:$N$11,MATCH(Notes!$B$2,Notes!$I$2:$I$11,0),4)*$C284</f>
        <v>327256</v>
      </c>
      <c r="K284" s="22">
        <f>INDEX(Notes!$I$2:$N$11,MATCH(Notes!$B$2,Notes!$I$2:$I$11,0),5)*$D284</f>
        <v>162610</v>
      </c>
      <c r="L284" s="22">
        <f>INDEX(Notes!$I$2:$N$11,MATCH(Notes!$B$2,Notes!$I$2:$I$11,0),6)*$E284</f>
        <v>162610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81305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545570</v>
      </c>
      <c r="D285" s="163">
        <f>INDEX(Data[],MATCH($A285,Data[Dist],0),MATCH(D$6,Data[#Headers],0))</f>
        <v>541790</v>
      </c>
      <c r="E285" s="163">
        <f>INDEX(Data[],MATCH($A285,Data[Dist],0),MATCH(E$6,Data[#Headers],0))</f>
        <v>541790</v>
      </c>
      <c r="F285" s="163">
        <f>INDEX(Data[],MATCH($A285,Data[Dist],0),MATCH(F$6,Data[#Headers],0))</f>
        <v>541791</v>
      </c>
      <c r="G285" s="22">
        <f>INDEX(Data[],MATCH($A285,Data[Dist],0),MATCH(G$6,Data[#Headers],0))</f>
        <v>4349440</v>
      </c>
      <c r="H285" s="22">
        <f>INDEX(Data[],MATCH($A285,Data[Dist],0),MATCH(H$6,Data[#Headers],0))-G285</f>
        <v>1083581</v>
      </c>
      <c r="I285" s="25"/>
      <c r="J285" s="22">
        <f>INDEX(Notes!$I$2:$N$11,MATCH(Notes!$B$2,Notes!$I$2:$I$11,0),4)*$C285</f>
        <v>2182280</v>
      </c>
      <c r="K285" s="22">
        <f>INDEX(Notes!$I$2:$N$11,MATCH(Notes!$B$2,Notes!$I$2:$I$11,0),5)*$D285</f>
        <v>1083580</v>
      </c>
      <c r="L285" s="22">
        <f>INDEX(Notes!$I$2:$N$11,MATCH(Notes!$B$2,Notes!$I$2:$I$11,0),6)*$E285</f>
        <v>1083580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541790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483690</v>
      </c>
      <c r="D286" s="163">
        <f>INDEX(Data[],MATCH($A286,Data[Dist],0),MATCH(D$6,Data[#Headers],0))</f>
        <v>480599</v>
      </c>
      <c r="E286" s="163">
        <f>INDEX(Data[],MATCH($A286,Data[Dist],0),MATCH(E$6,Data[#Headers],0))</f>
        <v>463236</v>
      </c>
      <c r="F286" s="163">
        <f>INDEX(Data[],MATCH($A286,Data[Dist],0),MATCH(F$6,Data[#Headers],0))</f>
        <v>463236</v>
      </c>
      <c r="G286" s="22">
        <f>INDEX(Data[],MATCH($A286,Data[Dist],0),MATCH(G$6,Data[#Headers],0))</f>
        <v>3822430</v>
      </c>
      <c r="H286" s="22">
        <f>INDEX(Data[],MATCH($A286,Data[Dist],0),MATCH(H$6,Data[#Headers],0))-G286</f>
        <v>926472</v>
      </c>
      <c r="I286" s="25"/>
      <c r="J286" s="22">
        <f>INDEX(Notes!$I$2:$N$11,MATCH(Notes!$B$2,Notes!$I$2:$I$11,0),4)*$C286</f>
        <v>1934760</v>
      </c>
      <c r="K286" s="22">
        <f>INDEX(Notes!$I$2:$N$11,MATCH(Notes!$B$2,Notes!$I$2:$I$11,0),5)*$D286</f>
        <v>961198</v>
      </c>
      <c r="L286" s="22">
        <f>INDEX(Notes!$I$2:$N$11,MATCH(Notes!$B$2,Notes!$I$2:$I$11,0),6)*$E286</f>
        <v>926472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463236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577206</v>
      </c>
      <c r="D287" s="163">
        <f>INDEX(Data[],MATCH($A287,Data[Dist],0),MATCH(D$6,Data[#Headers],0))</f>
        <v>573749</v>
      </c>
      <c r="E287" s="163">
        <f>INDEX(Data[],MATCH($A287,Data[Dist],0),MATCH(E$6,Data[#Headers],0))</f>
        <v>573750</v>
      </c>
      <c r="F287" s="163">
        <f>INDEX(Data[],MATCH($A287,Data[Dist],0),MATCH(F$6,Data[#Headers],0))</f>
        <v>573748</v>
      </c>
      <c r="G287" s="22">
        <f>INDEX(Data[],MATCH($A287,Data[Dist],0),MATCH(G$6,Data[#Headers],0))</f>
        <v>4603822</v>
      </c>
      <c r="H287" s="22">
        <f>INDEX(Data[],MATCH($A287,Data[Dist],0),MATCH(H$6,Data[#Headers],0))-G287</f>
        <v>1147498</v>
      </c>
      <c r="I287" s="25"/>
      <c r="J287" s="22">
        <f>INDEX(Notes!$I$2:$N$11,MATCH(Notes!$B$2,Notes!$I$2:$I$11,0),4)*$C287</f>
        <v>2308824</v>
      </c>
      <c r="K287" s="22">
        <f>INDEX(Notes!$I$2:$N$11,MATCH(Notes!$B$2,Notes!$I$2:$I$11,0),5)*$D287</f>
        <v>1147498</v>
      </c>
      <c r="L287" s="22">
        <f>INDEX(Notes!$I$2:$N$11,MATCH(Notes!$B$2,Notes!$I$2:$I$11,0),6)*$E287</f>
        <v>1147500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573750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331696</v>
      </c>
      <c r="D288" s="163">
        <f>INDEX(Data[],MATCH($A288,Data[Dist],0),MATCH(D$6,Data[#Headers],0))</f>
        <v>329362</v>
      </c>
      <c r="E288" s="163">
        <f>INDEX(Data[],MATCH($A288,Data[Dist],0),MATCH(E$6,Data[#Headers],0))</f>
        <v>329362</v>
      </c>
      <c r="F288" s="163">
        <f>INDEX(Data[],MATCH($A288,Data[Dist],0),MATCH(F$6,Data[#Headers],0))</f>
        <v>329361</v>
      </c>
      <c r="G288" s="22">
        <f>INDEX(Data[],MATCH($A288,Data[Dist],0),MATCH(G$6,Data[#Headers],0))</f>
        <v>2644232</v>
      </c>
      <c r="H288" s="22">
        <f>INDEX(Data[],MATCH($A288,Data[Dist],0),MATCH(H$6,Data[#Headers],0))-G288</f>
        <v>658723</v>
      </c>
      <c r="I288" s="25"/>
      <c r="J288" s="22">
        <f>INDEX(Notes!$I$2:$N$11,MATCH(Notes!$B$2,Notes!$I$2:$I$11,0),4)*$C288</f>
        <v>1326784</v>
      </c>
      <c r="K288" s="22">
        <f>INDEX(Notes!$I$2:$N$11,MATCH(Notes!$B$2,Notes!$I$2:$I$11,0),5)*$D288</f>
        <v>658724</v>
      </c>
      <c r="L288" s="22">
        <f>INDEX(Notes!$I$2:$N$11,MATCH(Notes!$B$2,Notes!$I$2:$I$11,0),6)*$E288</f>
        <v>658724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329362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436893</v>
      </c>
      <c r="D289" s="163">
        <f>INDEX(Data[],MATCH($A289,Data[Dist],0),MATCH(D$6,Data[#Headers],0))</f>
        <v>434269</v>
      </c>
      <c r="E289" s="163">
        <f>INDEX(Data[],MATCH($A289,Data[Dist],0),MATCH(E$6,Data[#Headers],0))</f>
        <v>434269</v>
      </c>
      <c r="F289" s="163">
        <f>INDEX(Data[],MATCH($A289,Data[Dist],0),MATCH(F$6,Data[#Headers],0))</f>
        <v>434270</v>
      </c>
      <c r="G289" s="22">
        <f>INDEX(Data[],MATCH($A289,Data[Dist],0),MATCH(G$6,Data[#Headers],0))</f>
        <v>3484648</v>
      </c>
      <c r="H289" s="22">
        <f>INDEX(Data[],MATCH($A289,Data[Dist],0),MATCH(H$6,Data[#Headers],0))-G289</f>
        <v>868539</v>
      </c>
      <c r="I289" s="25"/>
      <c r="J289" s="22">
        <f>INDEX(Notes!$I$2:$N$11,MATCH(Notes!$B$2,Notes!$I$2:$I$11,0),4)*$C289</f>
        <v>1747572</v>
      </c>
      <c r="K289" s="22">
        <f>INDEX(Notes!$I$2:$N$11,MATCH(Notes!$B$2,Notes!$I$2:$I$11,0),5)*$D289</f>
        <v>868538</v>
      </c>
      <c r="L289" s="22">
        <f>INDEX(Notes!$I$2:$N$11,MATCH(Notes!$B$2,Notes!$I$2:$I$11,0),6)*$E289</f>
        <v>868538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434269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174614</v>
      </c>
      <c r="D290" s="163">
        <f>INDEX(Data[],MATCH($A290,Data[Dist],0),MATCH(D$6,Data[#Headers],0))</f>
        <v>173511</v>
      </c>
      <c r="E290" s="163">
        <f>INDEX(Data[],MATCH($A290,Data[Dist],0),MATCH(E$6,Data[#Headers],0))</f>
        <v>173511</v>
      </c>
      <c r="F290" s="163">
        <f>INDEX(Data[],MATCH($A290,Data[Dist],0),MATCH(F$6,Data[#Headers],0))</f>
        <v>173512</v>
      </c>
      <c r="G290" s="22">
        <f>INDEX(Data[],MATCH($A290,Data[Dist],0),MATCH(G$6,Data[#Headers],0))</f>
        <v>1392500</v>
      </c>
      <c r="H290" s="22">
        <f>INDEX(Data[],MATCH($A290,Data[Dist],0),MATCH(H$6,Data[#Headers],0))-G290</f>
        <v>347023</v>
      </c>
      <c r="I290" s="25"/>
      <c r="J290" s="22">
        <f>INDEX(Notes!$I$2:$N$11,MATCH(Notes!$B$2,Notes!$I$2:$I$11,0),4)*$C290</f>
        <v>698456</v>
      </c>
      <c r="K290" s="22">
        <f>INDEX(Notes!$I$2:$N$11,MATCH(Notes!$B$2,Notes!$I$2:$I$11,0),5)*$D290</f>
        <v>347022</v>
      </c>
      <c r="L290" s="22">
        <f>INDEX(Notes!$I$2:$N$11,MATCH(Notes!$B$2,Notes!$I$2:$I$11,0),6)*$E290</f>
        <v>347022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173511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278148</v>
      </c>
      <c r="D291" s="163">
        <f>INDEX(Data[],MATCH($A291,Data[Dist],0),MATCH(D$6,Data[#Headers],0))</f>
        <v>276584</v>
      </c>
      <c r="E291" s="163">
        <f>INDEX(Data[],MATCH($A291,Data[Dist],0),MATCH(E$6,Data[#Headers],0))</f>
        <v>276584</v>
      </c>
      <c r="F291" s="163">
        <f>INDEX(Data[],MATCH($A291,Data[Dist],0),MATCH(F$6,Data[#Headers],0))</f>
        <v>276585</v>
      </c>
      <c r="G291" s="22">
        <f>INDEX(Data[],MATCH($A291,Data[Dist],0),MATCH(G$6,Data[#Headers],0))</f>
        <v>2218928</v>
      </c>
      <c r="H291" s="22">
        <f>INDEX(Data[],MATCH($A291,Data[Dist],0),MATCH(H$6,Data[#Headers],0))-G291</f>
        <v>553169</v>
      </c>
      <c r="I291" s="25"/>
      <c r="J291" s="22">
        <f>INDEX(Notes!$I$2:$N$11,MATCH(Notes!$B$2,Notes!$I$2:$I$11,0),4)*$C291</f>
        <v>1112592</v>
      </c>
      <c r="K291" s="22">
        <f>INDEX(Notes!$I$2:$N$11,MATCH(Notes!$B$2,Notes!$I$2:$I$11,0),5)*$D291</f>
        <v>553168</v>
      </c>
      <c r="L291" s="22">
        <f>INDEX(Notes!$I$2:$N$11,MATCH(Notes!$B$2,Notes!$I$2:$I$11,0),6)*$E291</f>
        <v>553168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276584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190347</v>
      </c>
      <c r="D292" s="163">
        <f>INDEX(Data[],MATCH($A292,Data[Dist],0),MATCH(D$6,Data[#Headers],0))</f>
        <v>188971</v>
      </c>
      <c r="E292" s="163">
        <f>INDEX(Data[],MATCH($A292,Data[Dist],0),MATCH(E$6,Data[#Headers],0))</f>
        <v>188971</v>
      </c>
      <c r="F292" s="163">
        <f>INDEX(Data[],MATCH($A292,Data[Dist],0),MATCH(F$6,Data[#Headers],0))</f>
        <v>188970</v>
      </c>
      <c r="G292" s="22">
        <f>INDEX(Data[],MATCH($A292,Data[Dist],0),MATCH(G$6,Data[#Headers],0))</f>
        <v>1517272</v>
      </c>
      <c r="H292" s="22">
        <f>INDEX(Data[],MATCH($A292,Data[Dist],0),MATCH(H$6,Data[#Headers],0))-G292</f>
        <v>377941</v>
      </c>
      <c r="I292" s="25"/>
      <c r="J292" s="22">
        <f>INDEX(Notes!$I$2:$N$11,MATCH(Notes!$B$2,Notes!$I$2:$I$11,0),4)*$C292</f>
        <v>761388</v>
      </c>
      <c r="K292" s="22">
        <f>INDEX(Notes!$I$2:$N$11,MATCH(Notes!$B$2,Notes!$I$2:$I$11,0),5)*$D292</f>
        <v>377942</v>
      </c>
      <c r="L292" s="22">
        <f>INDEX(Notes!$I$2:$N$11,MATCH(Notes!$B$2,Notes!$I$2:$I$11,0),6)*$E292</f>
        <v>377942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188971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217936</v>
      </c>
      <c r="D293" s="163">
        <f>INDEX(Data[],MATCH($A293,Data[Dist],0),MATCH(D$6,Data[#Headers],0))</f>
        <v>216709</v>
      </c>
      <c r="E293" s="163">
        <f>INDEX(Data[],MATCH($A293,Data[Dist],0),MATCH(E$6,Data[#Headers],0))</f>
        <v>216710</v>
      </c>
      <c r="F293" s="163">
        <f>INDEX(Data[],MATCH($A293,Data[Dist],0),MATCH(F$6,Data[#Headers],0))</f>
        <v>216708</v>
      </c>
      <c r="G293" s="22">
        <f>INDEX(Data[],MATCH($A293,Data[Dist],0),MATCH(G$6,Data[#Headers],0))</f>
        <v>1738582</v>
      </c>
      <c r="H293" s="22">
        <f>INDEX(Data[],MATCH($A293,Data[Dist],0),MATCH(H$6,Data[#Headers],0))-G293</f>
        <v>433418</v>
      </c>
      <c r="I293" s="25"/>
      <c r="J293" s="22">
        <f>INDEX(Notes!$I$2:$N$11,MATCH(Notes!$B$2,Notes!$I$2:$I$11,0),4)*$C293</f>
        <v>871744</v>
      </c>
      <c r="K293" s="22">
        <f>INDEX(Notes!$I$2:$N$11,MATCH(Notes!$B$2,Notes!$I$2:$I$11,0),5)*$D293</f>
        <v>433418</v>
      </c>
      <c r="L293" s="22">
        <f>INDEX(Notes!$I$2:$N$11,MATCH(Notes!$B$2,Notes!$I$2:$I$11,0),6)*$E293</f>
        <v>433420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216710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77579</v>
      </c>
      <c r="D294" s="163">
        <f>INDEX(Data[],MATCH($A294,Data[Dist],0),MATCH(D$6,Data[#Headers],0))</f>
        <v>76950</v>
      </c>
      <c r="E294" s="163">
        <f>INDEX(Data[],MATCH($A294,Data[Dist],0),MATCH(E$6,Data[#Headers],0))</f>
        <v>76949</v>
      </c>
      <c r="F294" s="163">
        <f>INDEX(Data[],MATCH($A294,Data[Dist],0),MATCH(F$6,Data[#Headers],0))</f>
        <v>76950</v>
      </c>
      <c r="G294" s="22">
        <f>INDEX(Data[],MATCH($A294,Data[Dist],0),MATCH(G$6,Data[#Headers],0))</f>
        <v>618114</v>
      </c>
      <c r="H294" s="22">
        <f>INDEX(Data[],MATCH($A294,Data[Dist],0),MATCH(H$6,Data[#Headers],0))-G294</f>
        <v>153899</v>
      </c>
      <c r="I294" s="25"/>
      <c r="J294" s="22">
        <f>INDEX(Notes!$I$2:$N$11,MATCH(Notes!$B$2,Notes!$I$2:$I$11,0),4)*$C294</f>
        <v>310316</v>
      </c>
      <c r="K294" s="22">
        <f>INDEX(Notes!$I$2:$N$11,MATCH(Notes!$B$2,Notes!$I$2:$I$11,0),5)*$D294</f>
        <v>153900</v>
      </c>
      <c r="L294" s="22">
        <f>INDEX(Notes!$I$2:$N$11,MATCH(Notes!$B$2,Notes!$I$2:$I$11,0),6)*$E294</f>
        <v>153898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76949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446076</v>
      </c>
      <c r="D295" s="163">
        <f>INDEX(Data[],MATCH($A295,Data[Dist],0),MATCH(D$6,Data[#Headers],0))</f>
        <v>443201</v>
      </c>
      <c r="E295" s="163">
        <f>INDEX(Data[],MATCH($A295,Data[Dist],0),MATCH(E$6,Data[#Headers],0))</f>
        <v>443201</v>
      </c>
      <c r="F295" s="163">
        <f>INDEX(Data[],MATCH($A295,Data[Dist],0),MATCH(F$6,Data[#Headers],0))</f>
        <v>443202</v>
      </c>
      <c r="G295" s="22">
        <f>INDEX(Data[],MATCH($A295,Data[Dist],0),MATCH(G$6,Data[#Headers],0))</f>
        <v>3557108</v>
      </c>
      <c r="H295" s="22">
        <f>INDEX(Data[],MATCH($A295,Data[Dist],0),MATCH(H$6,Data[#Headers],0))-G295</f>
        <v>886403</v>
      </c>
      <c r="I295" s="25"/>
      <c r="J295" s="22">
        <f>INDEX(Notes!$I$2:$N$11,MATCH(Notes!$B$2,Notes!$I$2:$I$11,0),4)*$C295</f>
        <v>1784304</v>
      </c>
      <c r="K295" s="22">
        <f>INDEX(Notes!$I$2:$N$11,MATCH(Notes!$B$2,Notes!$I$2:$I$11,0),5)*$D295</f>
        <v>886402</v>
      </c>
      <c r="L295" s="22">
        <f>INDEX(Notes!$I$2:$N$11,MATCH(Notes!$B$2,Notes!$I$2:$I$11,0),6)*$E295</f>
        <v>886402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443201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149390</v>
      </c>
      <c r="D296" s="163">
        <f>INDEX(Data[],MATCH($A296,Data[Dist],0),MATCH(D$6,Data[#Headers],0))</f>
        <v>147918</v>
      </c>
      <c r="E296" s="163">
        <f>INDEX(Data[],MATCH($A296,Data[Dist],0),MATCH(E$6,Data[#Headers],0))</f>
        <v>147918</v>
      </c>
      <c r="F296" s="163">
        <f>INDEX(Data[],MATCH($A296,Data[Dist],0),MATCH(F$6,Data[#Headers],0))</f>
        <v>147916</v>
      </c>
      <c r="G296" s="22">
        <f>INDEX(Data[],MATCH($A296,Data[Dist],0),MATCH(G$6,Data[#Headers],0))</f>
        <v>1189232</v>
      </c>
      <c r="H296" s="22">
        <f>INDEX(Data[],MATCH($A296,Data[Dist],0),MATCH(H$6,Data[#Headers],0))-G296</f>
        <v>295834</v>
      </c>
      <c r="I296" s="25"/>
      <c r="J296" s="22">
        <f>INDEX(Notes!$I$2:$N$11,MATCH(Notes!$B$2,Notes!$I$2:$I$11,0),4)*$C296</f>
        <v>597560</v>
      </c>
      <c r="K296" s="22">
        <f>INDEX(Notes!$I$2:$N$11,MATCH(Notes!$B$2,Notes!$I$2:$I$11,0),5)*$D296</f>
        <v>295836</v>
      </c>
      <c r="L296" s="22">
        <f>INDEX(Notes!$I$2:$N$11,MATCH(Notes!$B$2,Notes!$I$2:$I$11,0),6)*$E296</f>
        <v>295836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147918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2076745</v>
      </c>
      <c r="D297" s="163">
        <f>INDEX(Data[],MATCH($A297,Data[Dist],0),MATCH(D$6,Data[#Headers],0))</f>
        <v>2063411</v>
      </c>
      <c r="E297" s="163">
        <f>INDEX(Data[],MATCH($A297,Data[Dist],0),MATCH(E$6,Data[#Headers],0))</f>
        <v>2063411</v>
      </c>
      <c r="F297" s="163">
        <f>INDEX(Data[],MATCH($A297,Data[Dist],0),MATCH(F$6,Data[#Headers],0))</f>
        <v>2063412</v>
      </c>
      <c r="G297" s="22">
        <f>INDEX(Data[],MATCH($A297,Data[Dist],0),MATCH(G$6,Data[#Headers],0))</f>
        <v>16560624</v>
      </c>
      <c r="H297" s="22">
        <f>INDEX(Data[],MATCH($A297,Data[Dist],0),MATCH(H$6,Data[#Headers],0))-G297</f>
        <v>4126823</v>
      </c>
      <c r="I297" s="25"/>
      <c r="J297" s="22">
        <f>INDEX(Notes!$I$2:$N$11,MATCH(Notes!$B$2,Notes!$I$2:$I$11,0),4)*$C297</f>
        <v>8306980</v>
      </c>
      <c r="K297" s="22">
        <f>INDEX(Notes!$I$2:$N$11,MATCH(Notes!$B$2,Notes!$I$2:$I$11,0),5)*$D297</f>
        <v>4126822</v>
      </c>
      <c r="L297" s="22">
        <f>INDEX(Notes!$I$2:$N$11,MATCH(Notes!$B$2,Notes!$I$2:$I$11,0),6)*$E297</f>
        <v>4126822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2063411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589164</v>
      </c>
      <c r="D298" s="163">
        <f>INDEX(Data[],MATCH($A298,Data[Dist],0),MATCH(D$6,Data[#Headers],0))</f>
        <v>585444</v>
      </c>
      <c r="E298" s="163">
        <f>INDEX(Data[],MATCH($A298,Data[Dist],0),MATCH(E$6,Data[#Headers],0))</f>
        <v>585444</v>
      </c>
      <c r="F298" s="163">
        <f>INDEX(Data[],MATCH($A298,Data[Dist],0),MATCH(F$6,Data[#Headers],0))</f>
        <v>585444</v>
      </c>
      <c r="G298" s="22">
        <f>INDEX(Data[],MATCH($A298,Data[Dist],0),MATCH(G$6,Data[#Headers],0))</f>
        <v>4698432</v>
      </c>
      <c r="H298" s="22">
        <f>INDEX(Data[],MATCH($A298,Data[Dist],0),MATCH(H$6,Data[#Headers],0))-G298</f>
        <v>1170888</v>
      </c>
      <c r="I298" s="25"/>
      <c r="J298" s="22">
        <f>INDEX(Notes!$I$2:$N$11,MATCH(Notes!$B$2,Notes!$I$2:$I$11,0),4)*$C298</f>
        <v>2356656</v>
      </c>
      <c r="K298" s="22">
        <f>INDEX(Notes!$I$2:$N$11,MATCH(Notes!$B$2,Notes!$I$2:$I$11,0),5)*$D298</f>
        <v>1170888</v>
      </c>
      <c r="L298" s="22">
        <f>INDEX(Notes!$I$2:$N$11,MATCH(Notes!$B$2,Notes!$I$2:$I$11,0),6)*$E298</f>
        <v>1170888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585444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488847</v>
      </c>
      <c r="D299" s="163">
        <f>INDEX(Data[],MATCH($A299,Data[Dist],0),MATCH(D$6,Data[#Headers],0))</f>
        <v>485762</v>
      </c>
      <c r="E299" s="163">
        <f>INDEX(Data[],MATCH($A299,Data[Dist],0),MATCH(E$6,Data[#Headers],0))</f>
        <v>485763</v>
      </c>
      <c r="F299" s="163">
        <f>INDEX(Data[],MATCH($A299,Data[Dist],0),MATCH(F$6,Data[#Headers],0))</f>
        <v>485761</v>
      </c>
      <c r="G299" s="22">
        <f>INDEX(Data[],MATCH($A299,Data[Dist],0),MATCH(G$6,Data[#Headers],0))</f>
        <v>3898438</v>
      </c>
      <c r="H299" s="22">
        <f>INDEX(Data[],MATCH($A299,Data[Dist],0),MATCH(H$6,Data[#Headers],0))-G299</f>
        <v>971524</v>
      </c>
      <c r="I299" s="25"/>
      <c r="J299" s="22">
        <f>INDEX(Notes!$I$2:$N$11,MATCH(Notes!$B$2,Notes!$I$2:$I$11,0),4)*$C299</f>
        <v>1955388</v>
      </c>
      <c r="K299" s="22">
        <f>INDEX(Notes!$I$2:$N$11,MATCH(Notes!$B$2,Notes!$I$2:$I$11,0),5)*$D299</f>
        <v>971524</v>
      </c>
      <c r="L299" s="22">
        <f>INDEX(Notes!$I$2:$N$11,MATCH(Notes!$B$2,Notes!$I$2:$I$11,0),6)*$E299</f>
        <v>971526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485763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168562</v>
      </c>
      <c r="D300" s="163">
        <f>INDEX(Data[],MATCH($A300,Data[Dist],0),MATCH(D$6,Data[#Headers],0))</f>
        <v>167481</v>
      </c>
      <c r="E300" s="163">
        <f>INDEX(Data[],MATCH($A300,Data[Dist],0),MATCH(E$6,Data[#Headers],0))</f>
        <v>167482</v>
      </c>
      <c r="F300" s="163">
        <f>INDEX(Data[],MATCH($A300,Data[Dist],0),MATCH(F$6,Data[#Headers],0))</f>
        <v>167480</v>
      </c>
      <c r="G300" s="22">
        <f>INDEX(Data[],MATCH($A300,Data[Dist],0),MATCH(G$6,Data[#Headers],0))</f>
        <v>1344174</v>
      </c>
      <c r="H300" s="22">
        <f>INDEX(Data[],MATCH($A300,Data[Dist],0),MATCH(H$6,Data[#Headers],0))-G300</f>
        <v>334962</v>
      </c>
      <c r="I300" s="25"/>
      <c r="J300" s="22">
        <f>INDEX(Notes!$I$2:$N$11,MATCH(Notes!$B$2,Notes!$I$2:$I$11,0),4)*$C300</f>
        <v>674248</v>
      </c>
      <c r="K300" s="22">
        <f>INDEX(Notes!$I$2:$N$11,MATCH(Notes!$B$2,Notes!$I$2:$I$11,0),5)*$D300</f>
        <v>334962</v>
      </c>
      <c r="L300" s="22">
        <f>INDEX(Notes!$I$2:$N$11,MATCH(Notes!$B$2,Notes!$I$2:$I$11,0),6)*$E300</f>
        <v>334964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167482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1027216</v>
      </c>
      <c r="D301" s="163">
        <f>INDEX(Data[],MATCH($A301,Data[Dist],0),MATCH(D$6,Data[#Headers],0))</f>
        <v>1021090</v>
      </c>
      <c r="E301" s="163">
        <f>INDEX(Data[],MATCH($A301,Data[Dist],0),MATCH(E$6,Data[#Headers],0))</f>
        <v>1021090</v>
      </c>
      <c r="F301" s="163">
        <f>INDEX(Data[],MATCH($A301,Data[Dist],0),MATCH(F$6,Data[#Headers],0))</f>
        <v>1021088</v>
      </c>
      <c r="G301" s="22">
        <f>INDEX(Data[],MATCH($A301,Data[Dist],0),MATCH(G$6,Data[#Headers],0))</f>
        <v>8193224</v>
      </c>
      <c r="H301" s="22">
        <f>INDEX(Data[],MATCH($A301,Data[Dist],0),MATCH(H$6,Data[#Headers],0))-G301</f>
        <v>2042178</v>
      </c>
      <c r="I301" s="25"/>
      <c r="J301" s="22">
        <f>INDEX(Notes!$I$2:$N$11,MATCH(Notes!$B$2,Notes!$I$2:$I$11,0),4)*$C301</f>
        <v>4108864</v>
      </c>
      <c r="K301" s="22">
        <f>INDEX(Notes!$I$2:$N$11,MATCH(Notes!$B$2,Notes!$I$2:$I$11,0),5)*$D301</f>
        <v>2042180</v>
      </c>
      <c r="L301" s="22">
        <f>INDEX(Notes!$I$2:$N$11,MATCH(Notes!$B$2,Notes!$I$2:$I$11,0),6)*$E301</f>
        <v>2042180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1021090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314439</v>
      </c>
      <c r="D302" s="163">
        <f>INDEX(Data[],MATCH($A302,Data[Dist],0),MATCH(D$6,Data[#Headers],0))</f>
        <v>312622</v>
      </c>
      <c r="E302" s="163">
        <f>INDEX(Data[],MATCH($A302,Data[Dist],0),MATCH(E$6,Data[#Headers],0))</f>
        <v>312622</v>
      </c>
      <c r="F302" s="163">
        <f>INDEX(Data[],MATCH($A302,Data[Dist],0),MATCH(F$6,Data[#Headers],0))</f>
        <v>312623</v>
      </c>
      <c r="G302" s="22">
        <f>INDEX(Data[],MATCH($A302,Data[Dist],0),MATCH(G$6,Data[#Headers],0))</f>
        <v>2508244</v>
      </c>
      <c r="H302" s="22">
        <f>INDEX(Data[],MATCH($A302,Data[Dist],0),MATCH(H$6,Data[#Headers],0))-G302</f>
        <v>625245</v>
      </c>
      <c r="I302" s="25"/>
      <c r="J302" s="22">
        <f>INDEX(Notes!$I$2:$N$11,MATCH(Notes!$B$2,Notes!$I$2:$I$11,0),4)*$C302</f>
        <v>1257756</v>
      </c>
      <c r="K302" s="22">
        <f>INDEX(Notes!$I$2:$N$11,MATCH(Notes!$B$2,Notes!$I$2:$I$11,0),5)*$D302</f>
        <v>625244</v>
      </c>
      <c r="L302" s="22">
        <f>INDEX(Notes!$I$2:$N$11,MATCH(Notes!$B$2,Notes!$I$2:$I$11,0),6)*$E302</f>
        <v>625244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312622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448833</v>
      </c>
      <c r="D303" s="163">
        <f>INDEX(Data[],MATCH($A303,Data[Dist],0),MATCH(D$6,Data[#Headers],0))</f>
        <v>445717</v>
      </c>
      <c r="E303" s="163">
        <f>INDEX(Data[],MATCH($A303,Data[Dist],0),MATCH(E$6,Data[#Headers],0))</f>
        <v>445718</v>
      </c>
      <c r="F303" s="163">
        <f>INDEX(Data[],MATCH($A303,Data[Dist],0),MATCH(F$6,Data[#Headers],0))</f>
        <v>445716</v>
      </c>
      <c r="G303" s="22">
        <f>INDEX(Data[],MATCH($A303,Data[Dist],0),MATCH(G$6,Data[#Headers],0))</f>
        <v>3578202</v>
      </c>
      <c r="H303" s="22">
        <f>INDEX(Data[],MATCH($A303,Data[Dist],0),MATCH(H$6,Data[#Headers],0))-G303</f>
        <v>891434</v>
      </c>
      <c r="I303" s="25"/>
      <c r="J303" s="22">
        <f>INDEX(Notes!$I$2:$N$11,MATCH(Notes!$B$2,Notes!$I$2:$I$11,0),4)*$C303</f>
        <v>1795332</v>
      </c>
      <c r="K303" s="22">
        <f>INDEX(Notes!$I$2:$N$11,MATCH(Notes!$B$2,Notes!$I$2:$I$11,0),5)*$D303</f>
        <v>891434</v>
      </c>
      <c r="L303" s="22">
        <f>INDEX(Notes!$I$2:$N$11,MATCH(Notes!$B$2,Notes!$I$2:$I$11,0),6)*$E303</f>
        <v>891436</v>
      </c>
      <c r="M303" s="22">
        <f>IF(Notes!$B$2="June",'Payment Total'!$F303,0)</f>
        <v>0</v>
      </c>
      <c r="N303" s="22">
        <f t="shared" si="16"/>
        <v>0</v>
      </c>
      <c r="P303" s="26" t="s">
        <v>1133</v>
      </c>
      <c r="Q303" s="26">
        <v>445718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364683</v>
      </c>
      <c r="D304" s="163">
        <f>INDEX(Data[],MATCH($A304,Data[Dist],0),MATCH(D$6,Data[#Headers],0))</f>
        <v>362477</v>
      </c>
      <c r="E304" s="163">
        <f>INDEX(Data[],MATCH($A304,Data[Dist],0),MATCH(E$6,Data[#Headers],0))</f>
        <v>362477</v>
      </c>
      <c r="F304" s="163">
        <f>INDEX(Data[],MATCH($A304,Data[Dist],0),MATCH(F$6,Data[#Headers],0))</f>
        <v>362476</v>
      </c>
      <c r="G304" s="22">
        <f>INDEX(Data[],MATCH($A304,Data[Dist],0),MATCH(G$6,Data[#Headers],0))</f>
        <v>2908640</v>
      </c>
      <c r="H304" s="22">
        <f>INDEX(Data[],MATCH($A304,Data[Dist],0),MATCH(H$6,Data[#Headers],0))-G304</f>
        <v>724953</v>
      </c>
      <c r="I304" s="25"/>
      <c r="J304" s="22">
        <f>INDEX(Notes!$I$2:$N$11,MATCH(Notes!$B$2,Notes!$I$2:$I$11,0),4)*$C304</f>
        <v>1458732</v>
      </c>
      <c r="K304" s="22">
        <f>INDEX(Notes!$I$2:$N$11,MATCH(Notes!$B$2,Notes!$I$2:$I$11,0),5)*$D304</f>
        <v>724954</v>
      </c>
      <c r="L304" s="22">
        <f>INDEX(Notes!$I$2:$N$11,MATCH(Notes!$B$2,Notes!$I$2:$I$11,0),6)*$E304</f>
        <v>724954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362477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457994</v>
      </c>
      <c r="D305" s="163">
        <f>INDEX(Data[],MATCH($A305,Data[Dist],0),MATCH(D$6,Data[#Headers],0))</f>
        <v>455315</v>
      </c>
      <c r="E305" s="163">
        <f>INDEX(Data[],MATCH($A305,Data[Dist],0),MATCH(E$6,Data[#Headers],0))</f>
        <v>455315</v>
      </c>
      <c r="F305" s="163">
        <f>INDEX(Data[],MATCH($A305,Data[Dist],0),MATCH(F$6,Data[#Headers],0))</f>
        <v>455313</v>
      </c>
      <c r="G305" s="22">
        <f>INDEX(Data[],MATCH($A305,Data[Dist],0),MATCH(G$6,Data[#Headers],0))</f>
        <v>3653236</v>
      </c>
      <c r="H305" s="22">
        <f>INDEX(Data[],MATCH($A305,Data[Dist],0),MATCH(H$6,Data[#Headers],0))-G305</f>
        <v>910628</v>
      </c>
      <c r="I305" s="25"/>
      <c r="J305" s="22">
        <f>INDEX(Notes!$I$2:$N$11,MATCH(Notes!$B$2,Notes!$I$2:$I$11,0),4)*$C305</f>
        <v>1831976</v>
      </c>
      <c r="K305" s="22">
        <f>INDEX(Notes!$I$2:$N$11,MATCH(Notes!$B$2,Notes!$I$2:$I$11,0),5)*$D305</f>
        <v>910630</v>
      </c>
      <c r="L305" s="22">
        <f>INDEX(Notes!$I$2:$N$11,MATCH(Notes!$B$2,Notes!$I$2:$I$11,0),6)*$E305</f>
        <v>910630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455315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1153173</v>
      </c>
      <c r="D306" s="163">
        <f>INDEX(Data[],MATCH($A306,Data[Dist],0),MATCH(D$6,Data[#Headers],0))</f>
        <v>1146777</v>
      </c>
      <c r="E306" s="163">
        <f>INDEX(Data[],MATCH($A306,Data[Dist],0),MATCH(E$6,Data[#Headers],0))</f>
        <v>1146776</v>
      </c>
      <c r="F306" s="163">
        <f>INDEX(Data[],MATCH($A306,Data[Dist],0),MATCH(F$6,Data[#Headers],0))</f>
        <v>1146777</v>
      </c>
      <c r="G306" s="22">
        <f>INDEX(Data[],MATCH($A306,Data[Dist],0),MATCH(G$6,Data[#Headers],0))</f>
        <v>9199798</v>
      </c>
      <c r="H306" s="22">
        <f>INDEX(Data[],MATCH($A306,Data[Dist],0),MATCH(H$6,Data[#Headers],0))-G306</f>
        <v>2293553</v>
      </c>
      <c r="I306" s="25"/>
      <c r="J306" s="22">
        <f>INDEX(Notes!$I$2:$N$11,MATCH(Notes!$B$2,Notes!$I$2:$I$11,0),4)*$C306</f>
        <v>4612692</v>
      </c>
      <c r="K306" s="22">
        <f>INDEX(Notes!$I$2:$N$11,MATCH(Notes!$B$2,Notes!$I$2:$I$11,0),5)*$D306</f>
        <v>2293554</v>
      </c>
      <c r="L306" s="22">
        <f>INDEX(Notes!$I$2:$N$11,MATCH(Notes!$B$2,Notes!$I$2:$I$11,0),6)*$E306</f>
        <v>2293552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1146776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8413413</v>
      </c>
      <c r="D307" s="163">
        <f>INDEX(Data[],MATCH($A307,Data[Dist],0),MATCH(D$6,Data[#Headers],0))</f>
        <v>8371344</v>
      </c>
      <c r="E307" s="163">
        <f>INDEX(Data[],MATCH($A307,Data[Dist],0),MATCH(E$6,Data[#Headers],0))</f>
        <v>8371344</v>
      </c>
      <c r="F307" s="163">
        <f>INDEX(Data[],MATCH($A307,Data[Dist],0),MATCH(F$6,Data[#Headers],0))</f>
        <v>8371343</v>
      </c>
      <c r="G307" s="22">
        <f>INDEX(Data[],MATCH($A307,Data[Dist],0),MATCH(G$6,Data[#Headers],0))</f>
        <v>67139028</v>
      </c>
      <c r="H307" s="22">
        <f>INDEX(Data[],MATCH($A307,Data[Dist],0),MATCH(H$6,Data[#Headers],0))-G307</f>
        <v>16742687</v>
      </c>
      <c r="I307" s="25"/>
      <c r="J307" s="22">
        <f>INDEX(Notes!$I$2:$N$11,MATCH(Notes!$B$2,Notes!$I$2:$I$11,0),4)*$C307</f>
        <v>33653652</v>
      </c>
      <c r="K307" s="22">
        <f>INDEX(Notes!$I$2:$N$11,MATCH(Notes!$B$2,Notes!$I$2:$I$11,0),5)*$D307</f>
        <v>16742688</v>
      </c>
      <c r="L307" s="22">
        <f>INDEX(Notes!$I$2:$N$11,MATCH(Notes!$B$2,Notes!$I$2:$I$11,0),6)*$E307</f>
        <v>16742688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8371344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6909471</v>
      </c>
      <c r="D308" s="163">
        <f>INDEX(Data[],MATCH($A308,Data[Dist],0),MATCH(D$6,Data[#Headers],0))</f>
        <v>6861986</v>
      </c>
      <c r="E308" s="163">
        <f>INDEX(Data[],MATCH($A308,Data[Dist],0),MATCH(E$6,Data[#Headers],0))</f>
        <v>6861985</v>
      </c>
      <c r="F308" s="163">
        <f>INDEX(Data[],MATCH($A308,Data[Dist],0),MATCH(F$6,Data[#Headers],0))</f>
        <v>6861986</v>
      </c>
      <c r="G308" s="22">
        <f>INDEX(Data[],MATCH($A308,Data[Dist],0),MATCH(G$6,Data[#Headers],0))</f>
        <v>55085826</v>
      </c>
      <c r="H308" s="22">
        <f>INDEX(Data[],MATCH($A308,Data[Dist],0),MATCH(H$6,Data[#Headers],0))-G308</f>
        <v>13723971</v>
      </c>
      <c r="I308" s="25"/>
      <c r="J308" s="22">
        <f>INDEX(Notes!$I$2:$N$11,MATCH(Notes!$B$2,Notes!$I$2:$I$11,0),4)*$C308</f>
        <v>27637884</v>
      </c>
      <c r="K308" s="22">
        <f>INDEX(Notes!$I$2:$N$11,MATCH(Notes!$B$2,Notes!$I$2:$I$11,0),5)*$D308</f>
        <v>13723972</v>
      </c>
      <c r="L308" s="22">
        <f>INDEX(Notes!$I$2:$N$11,MATCH(Notes!$B$2,Notes!$I$2:$I$11,0),6)*$E308</f>
        <v>13723970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6861985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1374785</v>
      </c>
      <c r="D309" s="163">
        <f>INDEX(Data[],MATCH($A309,Data[Dist],0),MATCH(D$6,Data[#Headers],0))</f>
        <v>1366396</v>
      </c>
      <c r="E309" s="163">
        <f>INDEX(Data[],MATCH($A309,Data[Dist],0),MATCH(E$6,Data[#Headers],0))</f>
        <v>1366397</v>
      </c>
      <c r="F309" s="163">
        <f>INDEX(Data[],MATCH($A309,Data[Dist],0),MATCH(F$6,Data[#Headers],0))</f>
        <v>1366395</v>
      </c>
      <c r="G309" s="22">
        <f>INDEX(Data[],MATCH($A309,Data[Dist],0),MATCH(G$6,Data[#Headers],0))</f>
        <v>10964726</v>
      </c>
      <c r="H309" s="22">
        <f>INDEX(Data[],MATCH($A309,Data[Dist],0),MATCH(H$6,Data[#Headers],0))-G309</f>
        <v>2732792</v>
      </c>
      <c r="I309" s="25"/>
      <c r="J309" s="22">
        <f>INDEX(Notes!$I$2:$N$11,MATCH(Notes!$B$2,Notes!$I$2:$I$11,0),4)*$C309</f>
        <v>5499140</v>
      </c>
      <c r="K309" s="22">
        <f>INDEX(Notes!$I$2:$N$11,MATCH(Notes!$B$2,Notes!$I$2:$I$11,0),5)*$D309</f>
        <v>2732792</v>
      </c>
      <c r="L309" s="22">
        <f>INDEX(Notes!$I$2:$N$11,MATCH(Notes!$B$2,Notes!$I$2:$I$11,0),6)*$E309</f>
        <v>2732794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1366397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331311</v>
      </c>
      <c r="D310" s="163">
        <f>INDEX(Data[],MATCH($A310,Data[Dist],0),MATCH(D$6,Data[#Headers],0))</f>
        <v>329153</v>
      </c>
      <c r="E310" s="163">
        <f>INDEX(Data[],MATCH($A310,Data[Dist],0),MATCH(E$6,Data[#Headers],0))</f>
        <v>329153</v>
      </c>
      <c r="F310" s="163">
        <f>INDEX(Data[],MATCH($A310,Data[Dist],0),MATCH(F$6,Data[#Headers],0))</f>
        <v>329153</v>
      </c>
      <c r="G310" s="22">
        <f>INDEX(Data[],MATCH($A310,Data[Dist],0),MATCH(G$6,Data[#Headers],0))</f>
        <v>2641856</v>
      </c>
      <c r="H310" s="22">
        <f>INDEX(Data[],MATCH($A310,Data[Dist],0),MATCH(H$6,Data[#Headers],0))-G310</f>
        <v>658306</v>
      </c>
      <c r="I310" s="25"/>
      <c r="J310" s="22">
        <f>INDEX(Notes!$I$2:$N$11,MATCH(Notes!$B$2,Notes!$I$2:$I$11,0),4)*$C310</f>
        <v>1325244</v>
      </c>
      <c r="K310" s="22">
        <f>INDEX(Notes!$I$2:$N$11,MATCH(Notes!$B$2,Notes!$I$2:$I$11,0),5)*$D310</f>
        <v>658306</v>
      </c>
      <c r="L310" s="22">
        <f>INDEX(Notes!$I$2:$N$11,MATCH(Notes!$B$2,Notes!$I$2:$I$11,0),6)*$E310</f>
        <v>658306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329153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1225733</v>
      </c>
      <c r="D311" s="163">
        <f>INDEX(Data[],MATCH($A311,Data[Dist],0),MATCH(D$6,Data[#Headers],0))</f>
        <v>1218844</v>
      </c>
      <c r="E311" s="163">
        <f>INDEX(Data[],MATCH($A311,Data[Dist],0),MATCH(E$6,Data[#Headers],0))</f>
        <v>1218844</v>
      </c>
      <c r="F311" s="163">
        <f>INDEX(Data[],MATCH($A311,Data[Dist],0),MATCH(F$6,Data[#Headers],0))</f>
        <v>1218845</v>
      </c>
      <c r="G311" s="22">
        <f>INDEX(Data[],MATCH($A311,Data[Dist],0),MATCH(G$6,Data[#Headers],0))</f>
        <v>9778308</v>
      </c>
      <c r="H311" s="22">
        <f>INDEX(Data[],MATCH($A311,Data[Dist],0),MATCH(H$6,Data[#Headers],0))-G311</f>
        <v>2437689</v>
      </c>
      <c r="I311" s="25"/>
      <c r="J311" s="22">
        <f>INDEX(Notes!$I$2:$N$11,MATCH(Notes!$B$2,Notes!$I$2:$I$11,0),4)*$C311</f>
        <v>4902932</v>
      </c>
      <c r="K311" s="22">
        <f>INDEX(Notes!$I$2:$N$11,MATCH(Notes!$B$2,Notes!$I$2:$I$11,0),5)*$D311</f>
        <v>2437688</v>
      </c>
      <c r="L311" s="22">
        <f>INDEX(Notes!$I$2:$N$11,MATCH(Notes!$B$2,Notes!$I$2:$I$11,0),6)*$E311</f>
        <v>2437688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1218844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154855</v>
      </c>
      <c r="D312" s="163">
        <f>INDEX(Data[],MATCH($A312,Data[Dist],0),MATCH(D$6,Data[#Headers],0))</f>
        <v>153640</v>
      </c>
      <c r="E312" s="163">
        <f>INDEX(Data[],MATCH($A312,Data[Dist],0),MATCH(E$6,Data[#Headers],0))</f>
        <v>153640</v>
      </c>
      <c r="F312" s="163">
        <f>INDEX(Data[],MATCH($A312,Data[Dist],0),MATCH(F$6,Data[#Headers],0))</f>
        <v>153639</v>
      </c>
      <c r="G312" s="22">
        <f>INDEX(Data[],MATCH($A312,Data[Dist],0),MATCH(G$6,Data[#Headers],0))</f>
        <v>1233980</v>
      </c>
      <c r="H312" s="22">
        <f>INDEX(Data[],MATCH($A312,Data[Dist],0),MATCH(H$6,Data[#Headers],0))-G312</f>
        <v>307279</v>
      </c>
      <c r="I312" s="25"/>
      <c r="J312" s="22">
        <f>INDEX(Notes!$I$2:$N$11,MATCH(Notes!$B$2,Notes!$I$2:$I$11,0),4)*$C312</f>
        <v>619420</v>
      </c>
      <c r="K312" s="22">
        <f>INDEX(Notes!$I$2:$N$11,MATCH(Notes!$B$2,Notes!$I$2:$I$11,0),5)*$D312</f>
        <v>307280</v>
      </c>
      <c r="L312" s="22">
        <f>INDEX(Notes!$I$2:$N$11,MATCH(Notes!$B$2,Notes!$I$2:$I$11,0),6)*$E312</f>
        <v>307280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153640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430281</v>
      </c>
      <c r="D313" s="163">
        <f>INDEX(Data[],MATCH($A313,Data[Dist],0),MATCH(D$6,Data[#Headers],0))</f>
        <v>427280</v>
      </c>
      <c r="E313" s="163">
        <f>INDEX(Data[],MATCH($A313,Data[Dist],0),MATCH(E$6,Data[#Headers],0))</f>
        <v>427280</v>
      </c>
      <c r="F313" s="163">
        <f>INDEX(Data[],MATCH($A313,Data[Dist],0),MATCH(F$6,Data[#Headers],0))</f>
        <v>427279</v>
      </c>
      <c r="G313" s="22">
        <f>INDEX(Data[],MATCH($A313,Data[Dist],0),MATCH(G$6,Data[#Headers],0))</f>
        <v>3430244</v>
      </c>
      <c r="H313" s="22">
        <f>INDEX(Data[],MATCH($A313,Data[Dist],0),MATCH(H$6,Data[#Headers],0))-G313</f>
        <v>854559</v>
      </c>
      <c r="I313" s="25"/>
      <c r="J313" s="22">
        <f>INDEX(Notes!$I$2:$N$11,MATCH(Notes!$B$2,Notes!$I$2:$I$11,0),4)*$C313</f>
        <v>1721124</v>
      </c>
      <c r="K313" s="22">
        <f>INDEX(Notes!$I$2:$N$11,MATCH(Notes!$B$2,Notes!$I$2:$I$11,0),5)*$D313</f>
        <v>854560</v>
      </c>
      <c r="L313" s="22">
        <f>INDEX(Notes!$I$2:$N$11,MATCH(Notes!$B$2,Notes!$I$2:$I$11,0),6)*$E313</f>
        <v>854560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427280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297281</v>
      </c>
      <c r="D314" s="163">
        <f>INDEX(Data[],MATCH($A314,Data[Dist],0),MATCH(D$6,Data[#Headers],0))</f>
        <v>295519</v>
      </c>
      <c r="E314" s="163">
        <f>INDEX(Data[],MATCH($A314,Data[Dist],0),MATCH(E$6,Data[#Headers],0))</f>
        <v>295519</v>
      </c>
      <c r="F314" s="163">
        <f>INDEX(Data[],MATCH($A314,Data[Dist],0),MATCH(F$6,Data[#Headers],0))</f>
        <v>295517</v>
      </c>
      <c r="G314" s="22">
        <f>INDEX(Data[],MATCH($A314,Data[Dist],0),MATCH(G$6,Data[#Headers],0))</f>
        <v>2371200</v>
      </c>
      <c r="H314" s="22">
        <f>INDEX(Data[],MATCH($A314,Data[Dist],0),MATCH(H$6,Data[#Headers],0))-G314</f>
        <v>591036</v>
      </c>
      <c r="I314" s="25"/>
      <c r="J314" s="22">
        <f>INDEX(Notes!$I$2:$N$11,MATCH(Notes!$B$2,Notes!$I$2:$I$11,0),4)*$C314</f>
        <v>1189124</v>
      </c>
      <c r="K314" s="22">
        <f>INDEX(Notes!$I$2:$N$11,MATCH(Notes!$B$2,Notes!$I$2:$I$11,0),5)*$D314</f>
        <v>591038</v>
      </c>
      <c r="L314" s="22">
        <f>INDEX(Notes!$I$2:$N$11,MATCH(Notes!$B$2,Notes!$I$2:$I$11,0),6)*$E314</f>
        <v>591038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295519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142035</v>
      </c>
      <c r="D315" s="163">
        <f>INDEX(Data[],MATCH($A315,Data[Dist],0),MATCH(D$6,Data[#Headers],0))</f>
        <v>140998</v>
      </c>
      <c r="E315" s="163">
        <f>INDEX(Data[],MATCH($A315,Data[Dist],0),MATCH(E$6,Data[#Headers],0))</f>
        <v>140999</v>
      </c>
      <c r="F315" s="163">
        <f>INDEX(Data[],MATCH($A315,Data[Dist],0),MATCH(F$6,Data[#Headers],0))</f>
        <v>140997</v>
      </c>
      <c r="G315" s="22">
        <f>INDEX(Data[],MATCH($A315,Data[Dist],0),MATCH(G$6,Data[#Headers],0))</f>
        <v>1132134</v>
      </c>
      <c r="H315" s="22">
        <f>INDEX(Data[],MATCH($A315,Data[Dist],0),MATCH(H$6,Data[#Headers],0))-G315</f>
        <v>281996</v>
      </c>
      <c r="I315" s="25"/>
      <c r="J315" s="22">
        <f>INDEX(Notes!$I$2:$N$11,MATCH(Notes!$B$2,Notes!$I$2:$I$11,0),4)*$C315</f>
        <v>568140</v>
      </c>
      <c r="K315" s="22">
        <f>INDEX(Notes!$I$2:$N$11,MATCH(Notes!$B$2,Notes!$I$2:$I$11,0),5)*$D315</f>
        <v>281996</v>
      </c>
      <c r="L315" s="22">
        <f>INDEX(Notes!$I$2:$N$11,MATCH(Notes!$B$2,Notes!$I$2:$I$11,0),6)*$E315</f>
        <v>281998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140999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842323</v>
      </c>
      <c r="D316" s="163">
        <f>INDEX(Data[],MATCH($A316,Data[Dist],0),MATCH(D$6,Data[#Headers],0))</f>
        <v>836783</v>
      </c>
      <c r="E316" s="163">
        <f>INDEX(Data[],MATCH($A316,Data[Dist],0),MATCH(E$6,Data[#Headers],0))</f>
        <v>836783</v>
      </c>
      <c r="F316" s="163">
        <f>INDEX(Data[],MATCH($A316,Data[Dist],0),MATCH(F$6,Data[#Headers],0))</f>
        <v>836782</v>
      </c>
      <c r="G316" s="22">
        <f>INDEX(Data[],MATCH($A316,Data[Dist],0),MATCH(G$6,Data[#Headers],0))</f>
        <v>6716424</v>
      </c>
      <c r="H316" s="22">
        <f>INDEX(Data[],MATCH($A316,Data[Dist],0),MATCH(H$6,Data[#Headers],0))-G316</f>
        <v>1673565</v>
      </c>
      <c r="I316" s="25"/>
      <c r="J316" s="22">
        <f>INDEX(Notes!$I$2:$N$11,MATCH(Notes!$B$2,Notes!$I$2:$I$11,0),4)*$C316</f>
        <v>3369292</v>
      </c>
      <c r="K316" s="22">
        <f>INDEX(Notes!$I$2:$N$11,MATCH(Notes!$B$2,Notes!$I$2:$I$11,0),5)*$D316</f>
        <v>1673566</v>
      </c>
      <c r="L316" s="22">
        <f>INDEX(Notes!$I$2:$N$11,MATCH(Notes!$B$2,Notes!$I$2:$I$11,0),6)*$E316</f>
        <v>1673566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836783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4674019</v>
      </c>
      <c r="D317" s="163">
        <f>INDEX(Data[],MATCH($A317,Data[Dist],0),MATCH(D$6,Data[#Headers],0))</f>
        <v>4639101</v>
      </c>
      <c r="E317" s="163">
        <f>INDEX(Data[],MATCH($A317,Data[Dist],0),MATCH(E$6,Data[#Headers],0))</f>
        <v>4639100</v>
      </c>
      <c r="F317" s="163">
        <f>INDEX(Data[],MATCH($A317,Data[Dist],0),MATCH(F$6,Data[#Headers],0))</f>
        <v>4639101</v>
      </c>
      <c r="G317" s="22">
        <f>INDEX(Data[],MATCH($A317,Data[Dist],0),MATCH(G$6,Data[#Headers],0))</f>
        <v>37252478</v>
      </c>
      <c r="H317" s="22">
        <f>INDEX(Data[],MATCH($A317,Data[Dist],0),MATCH(H$6,Data[#Headers],0))-G317</f>
        <v>9278201</v>
      </c>
      <c r="I317" s="25"/>
      <c r="J317" s="22">
        <f>INDEX(Notes!$I$2:$N$11,MATCH(Notes!$B$2,Notes!$I$2:$I$11,0),4)*$C317</f>
        <v>18696076</v>
      </c>
      <c r="K317" s="22">
        <f>INDEX(Notes!$I$2:$N$11,MATCH(Notes!$B$2,Notes!$I$2:$I$11,0),5)*$D317</f>
        <v>9278202</v>
      </c>
      <c r="L317" s="22">
        <f>INDEX(Notes!$I$2:$N$11,MATCH(Notes!$B$2,Notes!$I$2:$I$11,0),6)*$E317</f>
        <v>9278200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4639100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1887355</v>
      </c>
      <c r="D318" s="163">
        <f>INDEX(Data[],MATCH($A318,Data[Dist],0),MATCH(D$6,Data[#Headers],0))</f>
        <v>1874695</v>
      </c>
      <c r="E318" s="163">
        <f>INDEX(Data[],MATCH($A318,Data[Dist],0),MATCH(E$6,Data[#Headers],0))</f>
        <v>1874695</v>
      </c>
      <c r="F318" s="163">
        <f>INDEX(Data[],MATCH($A318,Data[Dist],0),MATCH(F$6,Data[#Headers],0))</f>
        <v>1874694</v>
      </c>
      <c r="G318" s="22">
        <f>INDEX(Data[],MATCH($A318,Data[Dist],0),MATCH(G$6,Data[#Headers],0))</f>
        <v>15048200</v>
      </c>
      <c r="H318" s="22">
        <f>INDEX(Data[],MATCH($A318,Data[Dist],0),MATCH(H$6,Data[#Headers],0))-G318</f>
        <v>3749389</v>
      </c>
      <c r="I318" s="25"/>
      <c r="J318" s="22">
        <f>INDEX(Notes!$I$2:$N$11,MATCH(Notes!$B$2,Notes!$I$2:$I$11,0),4)*$C318</f>
        <v>7549420</v>
      </c>
      <c r="K318" s="22">
        <f>INDEX(Notes!$I$2:$N$11,MATCH(Notes!$B$2,Notes!$I$2:$I$11,0),5)*$D318</f>
        <v>3749390</v>
      </c>
      <c r="L318" s="22">
        <f>INDEX(Notes!$I$2:$N$11,MATCH(Notes!$B$2,Notes!$I$2:$I$11,0),6)*$E318</f>
        <v>3749390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1874695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168485</v>
      </c>
      <c r="D319" s="163">
        <f>INDEX(Data[],MATCH($A319,Data[Dist],0),MATCH(D$6,Data[#Headers],0))</f>
        <v>167141</v>
      </c>
      <c r="E319" s="163">
        <f>INDEX(Data[],MATCH($A319,Data[Dist],0),MATCH(E$6,Data[#Headers],0))</f>
        <v>167140</v>
      </c>
      <c r="F319" s="163">
        <f>INDEX(Data[],MATCH($A319,Data[Dist],0),MATCH(F$6,Data[#Headers],0))</f>
        <v>167141</v>
      </c>
      <c r="G319" s="22">
        <f>INDEX(Data[],MATCH($A319,Data[Dist],0),MATCH(G$6,Data[#Headers],0))</f>
        <v>1342502</v>
      </c>
      <c r="H319" s="22">
        <f>INDEX(Data[],MATCH($A319,Data[Dist],0),MATCH(H$6,Data[#Headers],0))-G319</f>
        <v>334281</v>
      </c>
      <c r="I319" s="25"/>
      <c r="J319" s="22">
        <f>INDEX(Notes!$I$2:$N$11,MATCH(Notes!$B$2,Notes!$I$2:$I$11,0),4)*$C319</f>
        <v>673940</v>
      </c>
      <c r="K319" s="22">
        <f>INDEX(Notes!$I$2:$N$11,MATCH(Notes!$B$2,Notes!$I$2:$I$11,0),5)*$D319</f>
        <v>334282</v>
      </c>
      <c r="L319" s="22">
        <f>INDEX(Notes!$I$2:$N$11,MATCH(Notes!$B$2,Notes!$I$2:$I$11,0),6)*$E319</f>
        <v>334280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167140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937838</v>
      </c>
      <c r="D320" s="163">
        <f>INDEX(Data[],MATCH($A320,Data[Dist],0),MATCH(D$6,Data[#Headers],0))</f>
        <v>932934</v>
      </c>
      <c r="E320" s="163">
        <f>INDEX(Data[],MATCH($A320,Data[Dist],0),MATCH(E$6,Data[#Headers],0))</f>
        <v>882503</v>
      </c>
      <c r="F320" s="163">
        <f>INDEX(Data[],MATCH($A320,Data[Dist],0),MATCH(F$6,Data[#Headers],0))</f>
        <v>882503</v>
      </c>
      <c r="G320" s="22">
        <f>INDEX(Data[],MATCH($A320,Data[Dist],0),MATCH(G$6,Data[#Headers],0))</f>
        <v>7382226</v>
      </c>
      <c r="H320" s="22">
        <f>INDEX(Data[],MATCH($A320,Data[Dist],0),MATCH(H$6,Data[#Headers],0))-G320</f>
        <v>1765006</v>
      </c>
      <c r="I320" s="25"/>
      <c r="J320" s="22">
        <f>INDEX(Notes!$I$2:$N$11,MATCH(Notes!$B$2,Notes!$I$2:$I$11,0),4)*$C320</f>
        <v>3751352</v>
      </c>
      <c r="K320" s="22">
        <f>INDEX(Notes!$I$2:$N$11,MATCH(Notes!$B$2,Notes!$I$2:$I$11,0),5)*$D320</f>
        <v>1865868</v>
      </c>
      <c r="L320" s="22">
        <f>INDEX(Notes!$I$2:$N$11,MATCH(Notes!$B$2,Notes!$I$2:$I$11,0),6)*$E320</f>
        <v>1765006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882503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498076</v>
      </c>
      <c r="D321" s="163">
        <f>INDEX(Data[],MATCH($A321,Data[Dist],0),MATCH(D$6,Data[#Headers],0))</f>
        <v>494352</v>
      </c>
      <c r="E321" s="163">
        <f>INDEX(Data[],MATCH($A321,Data[Dist],0),MATCH(E$6,Data[#Headers],0))</f>
        <v>494352</v>
      </c>
      <c r="F321" s="163">
        <f>INDEX(Data[],MATCH($A321,Data[Dist],0),MATCH(F$6,Data[#Headers],0))</f>
        <v>494351</v>
      </c>
      <c r="G321" s="22">
        <f>INDEX(Data[],MATCH($A321,Data[Dist],0),MATCH(G$6,Data[#Headers],0))</f>
        <v>3969712</v>
      </c>
      <c r="H321" s="22">
        <f>INDEX(Data[],MATCH($A321,Data[Dist],0),MATCH(H$6,Data[#Headers],0))-G321</f>
        <v>988703</v>
      </c>
      <c r="I321" s="25"/>
      <c r="J321" s="22">
        <f>INDEX(Notes!$I$2:$N$11,MATCH(Notes!$B$2,Notes!$I$2:$I$11,0),4)*$C321</f>
        <v>1992304</v>
      </c>
      <c r="K321" s="22">
        <f>INDEX(Notes!$I$2:$N$11,MATCH(Notes!$B$2,Notes!$I$2:$I$11,0),5)*$D321</f>
        <v>988704</v>
      </c>
      <c r="L321" s="22">
        <f>INDEX(Notes!$I$2:$N$11,MATCH(Notes!$B$2,Notes!$I$2:$I$11,0),6)*$E321</f>
        <v>988704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494352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514528</v>
      </c>
      <c r="D322" s="163">
        <f>INDEX(Data[],MATCH($A322,Data[Dist],0),MATCH(D$6,Data[#Headers],0))</f>
        <v>511301</v>
      </c>
      <c r="E322" s="163">
        <f>INDEX(Data[],MATCH($A322,Data[Dist],0),MATCH(E$6,Data[#Headers],0))</f>
        <v>511301</v>
      </c>
      <c r="F322" s="163">
        <f>INDEX(Data[],MATCH($A322,Data[Dist],0),MATCH(F$6,Data[#Headers],0))</f>
        <v>511300</v>
      </c>
      <c r="G322" s="22">
        <f>INDEX(Data[],MATCH($A322,Data[Dist],0),MATCH(G$6,Data[#Headers],0))</f>
        <v>4103316</v>
      </c>
      <c r="H322" s="22">
        <f>INDEX(Data[],MATCH($A322,Data[Dist],0),MATCH(H$6,Data[#Headers],0))-G322</f>
        <v>1022601</v>
      </c>
      <c r="I322" s="25"/>
      <c r="J322" s="22">
        <f>INDEX(Notes!$I$2:$N$11,MATCH(Notes!$B$2,Notes!$I$2:$I$11,0),4)*$C322</f>
        <v>2058112</v>
      </c>
      <c r="K322" s="22">
        <f>INDEX(Notes!$I$2:$N$11,MATCH(Notes!$B$2,Notes!$I$2:$I$11,0),5)*$D322</f>
        <v>1022602</v>
      </c>
      <c r="L322" s="22">
        <f>INDEX(Notes!$I$2:$N$11,MATCH(Notes!$B$2,Notes!$I$2:$I$11,0),6)*$E322</f>
        <v>1022602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511301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391537</v>
      </c>
      <c r="D323" s="163">
        <f>INDEX(Data[],MATCH($A323,Data[Dist],0),MATCH(D$6,Data[#Headers],0))</f>
        <v>389042</v>
      </c>
      <c r="E323" s="163">
        <f>INDEX(Data[],MATCH($A323,Data[Dist],0),MATCH(E$6,Data[#Headers],0))</f>
        <v>365316</v>
      </c>
      <c r="F323" s="163">
        <f>INDEX(Data[],MATCH($A323,Data[Dist],0),MATCH(F$6,Data[#Headers],0))</f>
        <v>365314</v>
      </c>
      <c r="G323" s="22">
        <f>INDEX(Data[],MATCH($A323,Data[Dist],0),MATCH(G$6,Data[#Headers],0))</f>
        <v>3074864</v>
      </c>
      <c r="H323" s="22">
        <f>INDEX(Data[],MATCH($A323,Data[Dist],0),MATCH(H$6,Data[#Headers],0))-G323</f>
        <v>730630</v>
      </c>
      <c r="I323" s="25"/>
      <c r="J323" s="22">
        <f>INDEX(Notes!$I$2:$N$11,MATCH(Notes!$B$2,Notes!$I$2:$I$11,0),4)*$C323</f>
        <v>1566148</v>
      </c>
      <c r="K323" s="22">
        <f>INDEX(Notes!$I$2:$N$11,MATCH(Notes!$B$2,Notes!$I$2:$I$11,0),5)*$D323</f>
        <v>778084</v>
      </c>
      <c r="L323" s="22">
        <f>INDEX(Notes!$I$2:$N$11,MATCH(Notes!$B$2,Notes!$I$2:$I$11,0),6)*$E323</f>
        <v>730632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365316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636256</v>
      </c>
      <c r="D324" s="163">
        <f>INDEX(Data[],MATCH($A324,Data[Dist],0),MATCH(D$6,Data[#Headers],0))</f>
        <v>632971</v>
      </c>
      <c r="E324" s="163">
        <f>INDEX(Data[],MATCH($A324,Data[Dist],0),MATCH(E$6,Data[#Headers],0))</f>
        <v>632971</v>
      </c>
      <c r="F324" s="163">
        <f>INDEX(Data[],MATCH($A324,Data[Dist],0),MATCH(F$6,Data[#Headers],0))</f>
        <v>632969</v>
      </c>
      <c r="G324" s="22">
        <f>INDEX(Data[],MATCH($A324,Data[Dist],0),MATCH(G$6,Data[#Headers],0))</f>
        <v>5076908</v>
      </c>
      <c r="H324" s="22">
        <f>INDEX(Data[],MATCH($A324,Data[Dist],0),MATCH(H$6,Data[#Headers],0))-G324</f>
        <v>1265940</v>
      </c>
      <c r="I324" s="25"/>
      <c r="J324" s="22">
        <f>INDEX(Notes!$I$2:$N$11,MATCH(Notes!$B$2,Notes!$I$2:$I$11,0),4)*$C324</f>
        <v>2545024</v>
      </c>
      <c r="K324" s="22">
        <f>INDEX(Notes!$I$2:$N$11,MATCH(Notes!$B$2,Notes!$I$2:$I$11,0),5)*$D324</f>
        <v>1265942</v>
      </c>
      <c r="L324" s="22">
        <f>INDEX(Notes!$I$2:$N$11,MATCH(Notes!$B$2,Notes!$I$2:$I$11,0),6)*$E324</f>
        <v>1265942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632971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275906</v>
      </c>
      <c r="D325" s="163">
        <f>INDEX(Data[],MATCH($A325,Data[Dist],0),MATCH(D$6,Data[#Headers],0))</f>
        <v>273798</v>
      </c>
      <c r="E325" s="163">
        <f>INDEX(Data[],MATCH($A325,Data[Dist],0),MATCH(E$6,Data[#Headers],0))</f>
        <v>273797</v>
      </c>
      <c r="F325" s="163">
        <f>INDEX(Data[],MATCH($A325,Data[Dist],0),MATCH(F$6,Data[#Headers],0))</f>
        <v>273798</v>
      </c>
      <c r="G325" s="22">
        <f>INDEX(Data[],MATCH($A325,Data[Dist],0),MATCH(G$6,Data[#Headers],0))</f>
        <v>2198814</v>
      </c>
      <c r="H325" s="22">
        <f>INDEX(Data[],MATCH($A325,Data[Dist],0),MATCH(H$6,Data[#Headers],0))-G325</f>
        <v>547595</v>
      </c>
      <c r="I325" s="25"/>
      <c r="J325" s="22">
        <f>INDEX(Notes!$I$2:$N$11,MATCH(Notes!$B$2,Notes!$I$2:$I$11,0),4)*$C325</f>
        <v>1103624</v>
      </c>
      <c r="K325" s="22">
        <f>INDEX(Notes!$I$2:$N$11,MATCH(Notes!$B$2,Notes!$I$2:$I$11,0),5)*$D325</f>
        <v>547596</v>
      </c>
      <c r="L325" s="22">
        <f>INDEX(Notes!$I$2:$N$11,MATCH(Notes!$B$2,Notes!$I$2:$I$11,0),6)*$E325</f>
        <v>547594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273797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104998</v>
      </c>
      <c r="D326" s="163">
        <f>INDEX(Data[],MATCH($A326,Data[Dist],0),MATCH(D$6,Data[#Headers],0))</f>
        <v>104258</v>
      </c>
      <c r="E326" s="163">
        <f>INDEX(Data[],MATCH($A326,Data[Dist],0),MATCH(E$6,Data[#Headers],0))</f>
        <v>104258</v>
      </c>
      <c r="F326" s="163">
        <f>INDEX(Data[],MATCH($A326,Data[Dist],0),MATCH(F$6,Data[#Headers],0))</f>
        <v>104258</v>
      </c>
      <c r="G326" s="22">
        <f>INDEX(Data[],MATCH($A326,Data[Dist],0),MATCH(G$6,Data[#Headers],0))</f>
        <v>837024</v>
      </c>
      <c r="H326" s="22">
        <f>INDEX(Data[],MATCH($A326,Data[Dist],0),MATCH(H$6,Data[#Headers],0))-G326</f>
        <v>208516</v>
      </c>
      <c r="I326" s="25"/>
      <c r="J326" s="22">
        <f>INDEX(Notes!$I$2:$N$11,MATCH(Notes!$B$2,Notes!$I$2:$I$11,0),4)*$C326</f>
        <v>419992</v>
      </c>
      <c r="K326" s="22">
        <f>INDEX(Notes!$I$2:$N$11,MATCH(Notes!$B$2,Notes!$I$2:$I$11,0),5)*$D326</f>
        <v>208516</v>
      </c>
      <c r="L326" s="22">
        <f>INDEX(Notes!$I$2:$N$11,MATCH(Notes!$B$2,Notes!$I$2:$I$11,0),6)*$E326</f>
        <v>208516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104258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702269</v>
      </c>
      <c r="D327" s="163">
        <f>INDEX(Data[],MATCH($A327,Data[Dist],0),MATCH(D$6,Data[#Headers],0))</f>
        <v>697746</v>
      </c>
      <c r="E327" s="163">
        <f>INDEX(Data[],MATCH($A327,Data[Dist],0),MATCH(E$6,Data[#Headers],0))</f>
        <v>697745</v>
      </c>
      <c r="F327" s="163">
        <f>INDEX(Data[],MATCH($A327,Data[Dist],0),MATCH(F$6,Data[#Headers],0))</f>
        <v>697746</v>
      </c>
      <c r="G327" s="22">
        <f>INDEX(Data[],MATCH($A327,Data[Dist],0),MATCH(G$6,Data[#Headers],0))</f>
        <v>5600058</v>
      </c>
      <c r="H327" s="22">
        <f>INDEX(Data[],MATCH($A327,Data[Dist],0),MATCH(H$6,Data[#Headers],0))-G327</f>
        <v>1395491</v>
      </c>
      <c r="I327" s="25"/>
      <c r="J327" s="22">
        <f>INDEX(Notes!$I$2:$N$11,MATCH(Notes!$B$2,Notes!$I$2:$I$11,0),4)*$C327</f>
        <v>2809076</v>
      </c>
      <c r="K327" s="22">
        <f>INDEX(Notes!$I$2:$N$11,MATCH(Notes!$B$2,Notes!$I$2:$I$11,0),5)*$D327</f>
        <v>1395492</v>
      </c>
      <c r="L327" s="22">
        <f>INDEX(Notes!$I$2:$N$11,MATCH(Notes!$B$2,Notes!$I$2:$I$11,0),6)*$E327</f>
        <v>1395490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697745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554963</v>
      </c>
      <c r="D328" s="163">
        <f>INDEX(Data[],MATCH($A328,Data[Dist],0),MATCH(D$6,Data[#Headers],0))</f>
        <v>551624</v>
      </c>
      <c r="E328" s="163">
        <f>INDEX(Data[],MATCH($A328,Data[Dist],0),MATCH(E$6,Data[#Headers],0))</f>
        <v>551624</v>
      </c>
      <c r="F328" s="163">
        <f>INDEX(Data[],MATCH($A328,Data[Dist],0),MATCH(F$6,Data[#Headers],0))</f>
        <v>551624</v>
      </c>
      <c r="G328" s="22">
        <f>INDEX(Data[],MATCH($A328,Data[Dist],0),MATCH(G$6,Data[#Headers],0))</f>
        <v>4426348</v>
      </c>
      <c r="H328" s="22">
        <f>INDEX(Data[],MATCH($A328,Data[Dist],0),MATCH(H$6,Data[#Headers],0))-G328</f>
        <v>1103248</v>
      </c>
      <c r="I328" s="25"/>
      <c r="J328" s="22">
        <f>INDEX(Notes!$I$2:$N$11,MATCH(Notes!$B$2,Notes!$I$2:$I$11,0),4)*$C328</f>
        <v>2219852</v>
      </c>
      <c r="K328" s="22">
        <f>INDEX(Notes!$I$2:$N$11,MATCH(Notes!$B$2,Notes!$I$2:$I$11,0),5)*$D328</f>
        <v>1103248</v>
      </c>
      <c r="L328" s="22">
        <f>INDEX(Notes!$I$2:$N$11,MATCH(Notes!$B$2,Notes!$I$2:$I$11,0),6)*$E328</f>
        <v>1103248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551624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INDEX($A$7:$H$333,MATCH($S328,$A$7:$A$333,0),5)-Q328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196337</v>
      </c>
      <c r="D329" s="163">
        <f>INDEX(Data[],MATCH($A329,Data[Dist],0),MATCH(D$6,Data[#Headers],0))</f>
        <v>195094</v>
      </c>
      <c r="E329" s="163">
        <f>INDEX(Data[],MATCH($A329,Data[Dist],0),MATCH(E$6,Data[#Headers],0))</f>
        <v>191023</v>
      </c>
      <c r="F329" s="163">
        <f>INDEX(Data[],MATCH($A329,Data[Dist],0),MATCH(F$6,Data[#Headers],0))</f>
        <v>191023</v>
      </c>
      <c r="G329" s="22">
        <f>INDEX(Data[],MATCH($A329,Data[Dist],0),MATCH(G$6,Data[#Headers],0))</f>
        <v>1557582</v>
      </c>
      <c r="H329" s="22">
        <f>INDEX(Data[],MATCH($A329,Data[Dist],0),MATCH(H$6,Data[#Headers],0))-G329</f>
        <v>382046</v>
      </c>
      <c r="I329" s="25"/>
      <c r="J329" s="22">
        <f>INDEX(Notes!$I$2:$N$11,MATCH(Notes!$B$2,Notes!$I$2:$I$11,0),4)*$C329</f>
        <v>785348</v>
      </c>
      <c r="K329" s="22">
        <f>INDEX(Notes!$I$2:$N$11,MATCH(Notes!$B$2,Notes!$I$2:$I$11,0),5)*$D329</f>
        <v>390188</v>
      </c>
      <c r="L329" s="22">
        <f>INDEX(Notes!$I$2:$N$11,MATCH(Notes!$B$2,Notes!$I$2:$I$11,0),6)*$E329</f>
        <v>382046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191023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1091878</v>
      </c>
      <c r="D330" s="163">
        <f>INDEX(Data[],MATCH($A330,Data[Dist],0),MATCH(D$6,Data[#Headers],0))</f>
        <v>1085268</v>
      </c>
      <c r="E330" s="163">
        <f>INDEX(Data[],MATCH($A330,Data[Dist],0),MATCH(E$6,Data[#Headers],0))</f>
        <v>1085268</v>
      </c>
      <c r="F330" s="163">
        <f>INDEX(Data[],MATCH($A330,Data[Dist],0),MATCH(F$6,Data[#Headers],0))</f>
        <v>1085267</v>
      </c>
      <c r="G330" s="22">
        <f>INDEX(Data[],MATCH($A330,Data[Dist],0),MATCH(G$6,Data[#Headers],0))</f>
        <v>8708584</v>
      </c>
      <c r="H330" s="22">
        <f>INDEX(Data[],MATCH($A330,Data[Dist],0),MATCH(H$6,Data[#Headers],0))-G330</f>
        <v>2170535</v>
      </c>
      <c r="I330" s="25"/>
      <c r="J330" s="22">
        <f>INDEX(Notes!$I$2:$N$11,MATCH(Notes!$B$2,Notes!$I$2:$I$11,0),4)*$C330</f>
        <v>4367512</v>
      </c>
      <c r="K330" s="22">
        <f>INDEX(Notes!$I$2:$N$11,MATCH(Notes!$B$2,Notes!$I$2:$I$11,0),5)*$D330</f>
        <v>2170536</v>
      </c>
      <c r="L330" s="22">
        <f>INDEX(Notes!$I$2:$N$11,MATCH(Notes!$B$2,Notes!$I$2:$I$11,0),6)*$E330</f>
        <v>2170536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1085268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303932</v>
      </c>
      <c r="D331" s="163">
        <f>INDEX(Data[],MATCH($A331,Data[Dist],0),MATCH(D$6,Data[#Headers],0))</f>
        <v>302070</v>
      </c>
      <c r="E331" s="163">
        <f>INDEX(Data[],MATCH($A331,Data[Dist],0),MATCH(E$6,Data[#Headers],0))</f>
        <v>302069</v>
      </c>
      <c r="F331" s="163">
        <f>INDEX(Data[],MATCH($A331,Data[Dist],0),MATCH(F$6,Data[#Headers],0))</f>
        <v>302070</v>
      </c>
      <c r="G331" s="22">
        <f>INDEX(Data[],MATCH($A331,Data[Dist],0),MATCH(G$6,Data[#Headers],0))</f>
        <v>2424006</v>
      </c>
      <c r="H331" s="22">
        <f>INDEX(Data[],MATCH($A331,Data[Dist],0),MATCH(H$6,Data[#Headers],0))-G331</f>
        <v>604139</v>
      </c>
      <c r="I331" s="25"/>
      <c r="J331" s="22">
        <f>INDEX(Notes!$I$2:$N$11,MATCH(Notes!$B$2,Notes!$I$2:$I$11,0),4)*$C331</f>
        <v>1215728</v>
      </c>
      <c r="K331" s="22">
        <f>INDEX(Notes!$I$2:$N$11,MATCH(Notes!$B$2,Notes!$I$2:$I$11,0),5)*$D331</f>
        <v>604140</v>
      </c>
      <c r="L331" s="22">
        <f>INDEX(Notes!$I$2:$N$11,MATCH(Notes!$B$2,Notes!$I$2:$I$11,0),6)*$E331</f>
        <v>604138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302069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360182</v>
      </c>
      <c r="D332" s="163">
        <f>INDEX(Data[],MATCH($A332,Data[Dist],0),MATCH(D$6,Data[#Headers],0))</f>
        <v>358080</v>
      </c>
      <c r="E332" s="163">
        <f>INDEX(Data[],MATCH($A332,Data[Dist],0),MATCH(E$6,Data[#Headers],0))</f>
        <v>358080</v>
      </c>
      <c r="F332" s="163">
        <f>INDEX(Data[],MATCH($A332,Data[Dist],0),MATCH(F$6,Data[#Headers],0))</f>
        <v>358078</v>
      </c>
      <c r="G332" s="22">
        <f>INDEX(Data[],MATCH($A332,Data[Dist],0),MATCH(G$6,Data[#Headers],0))</f>
        <v>2873048</v>
      </c>
      <c r="H332" s="22">
        <f>INDEX(Data[],MATCH($A332,Data[Dist],0),MATCH(H$6,Data[#Headers],0))-G332</f>
        <v>716158</v>
      </c>
      <c r="I332" s="23"/>
      <c r="J332" s="22">
        <f>INDEX(Notes!$I$2:$N$11,MATCH(Notes!$B$2,Notes!$I$2:$I$11,0),4)*$C332</f>
        <v>1440728</v>
      </c>
      <c r="K332" s="22">
        <f>INDEX(Notes!$I$2:$N$11,MATCH(Notes!$B$2,Notes!$I$2:$I$11,0),5)*$D332</f>
        <v>716160</v>
      </c>
      <c r="L332" s="22">
        <f>INDEX(Notes!$I$2:$N$11,MATCH(Notes!$B$2,Notes!$I$2:$I$11,0),6)*$E332</f>
        <v>716160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358080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659665</v>
      </c>
      <c r="D333" s="163">
        <f>INDEX(Data[],MATCH($A333,Data[Dist],0),MATCH(D$6,Data[#Headers],0))</f>
        <v>655679</v>
      </c>
      <c r="E333" s="163">
        <f>INDEX(Data[],MATCH($A333,Data[Dist],0),MATCH(E$6,Data[#Headers],0))</f>
        <v>655679</v>
      </c>
      <c r="F333" s="163">
        <f>INDEX(Data[],MATCH($A333,Data[Dist],0),MATCH(F$6,Data[#Headers],0))</f>
        <v>655678</v>
      </c>
      <c r="G333" s="22">
        <f>INDEX(Data[],MATCH($A333,Data[Dist],0),MATCH(G$6,Data[#Headers],0))</f>
        <v>5261376</v>
      </c>
      <c r="H333" s="22">
        <f>INDEX(Data[],MATCH($A333,Data[Dist],0),MATCH(H$6,Data[#Headers],0))-G333</f>
        <v>1311357</v>
      </c>
      <c r="I333" s="23"/>
      <c r="J333" s="22">
        <f>INDEX(Notes!$I$2:$N$11,MATCH(Notes!$B$2,Notes!$I$2:$I$11,0),4)*$C333</f>
        <v>2638660</v>
      </c>
      <c r="K333" s="22">
        <f>INDEX(Notes!$I$2:$N$11,MATCH(Notes!$B$2,Notes!$I$2:$I$11,0),5)*$D333</f>
        <v>1311358</v>
      </c>
      <c r="L333" s="22">
        <f>INDEX(Notes!$I$2:$N$11,MATCH(Notes!$B$2,Notes!$I$2:$I$11,0),6)*$E333</f>
        <v>1311358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655679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318773196</v>
      </c>
      <c r="D334" s="164">
        <f t="shared" si="24"/>
        <v>316856454</v>
      </c>
      <c r="E334" s="164">
        <f t="shared" si="24"/>
        <v>316297417</v>
      </c>
      <c r="F334" s="164">
        <f t="shared" si="24"/>
        <v>316297251</v>
      </c>
      <c r="G334" s="24">
        <f t="shared" si="24"/>
        <v>2541400526</v>
      </c>
      <c r="H334" s="24">
        <f t="shared" si="24"/>
        <v>632594668</v>
      </c>
      <c r="Q334" s="21">
        <f>SUM(Q7:Q333)</f>
        <v>316297417</v>
      </c>
      <c r="T334" s="44"/>
    </row>
    <row r="335" spans="1:22" s="21" customFormat="1" ht="13.5" thickTop="1" x14ac:dyDescent="0.2">
      <c r="A335" s="23"/>
      <c r="C335" s="22"/>
      <c r="D335" s="163"/>
      <c r="E335" s="163"/>
      <c r="F335" s="163"/>
      <c r="G335" s="22"/>
      <c r="H335" s="22"/>
      <c r="T335" s="44"/>
    </row>
    <row r="336" spans="1:22" s="26" customFormat="1" x14ac:dyDescent="0.2">
      <c r="A336" s="25"/>
      <c r="C336" s="27"/>
      <c r="D336" s="165"/>
      <c r="E336" s="165"/>
      <c r="F336" s="165"/>
      <c r="G336" s="27"/>
      <c r="H336" s="27"/>
      <c r="T336" s="65"/>
    </row>
    <row r="337" spans="1:20" s="26" customFormat="1" x14ac:dyDescent="0.2">
      <c r="A337" s="25"/>
      <c r="C337" s="27"/>
      <c r="D337" s="165"/>
      <c r="E337" s="165"/>
      <c r="F337" s="165"/>
      <c r="G337" s="27"/>
      <c r="H337" s="27"/>
      <c r="T337" s="65"/>
    </row>
    <row r="338" spans="1:20" s="26" customFormat="1" x14ac:dyDescent="0.2">
      <c r="A338" s="25"/>
      <c r="C338" s="27"/>
      <c r="D338" s="165"/>
      <c r="E338" s="165"/>
      <c r="F338" s="165"/>
      <c r="G338" s="27"/>
      <c r="H338" s="27"/>
      <c r="T338" s="65"/>
    </row>
    <row r="339" spans="1:20" s="26" customFormat="1" x14ac:dyDescent="0.2">
      <c r="A339" s="25"/>
      <c r="C339" s="27"/>
      <c r="D339" s="165"/>
      <c r="E339" s="165"/>
      <c r="F339" s="165"/>
      <c r="G339" s="27"/>
      <c r="H339" s="27"/>
      <c r="T339" s="65"/>
    </row>
    <row r="340" spans="1:20" s="26" customFormat="1" x14ac:dyDescent="0.2">
      <c r="A340" s="25"/>
      <c r="C340" s="27"/>
      <c r="D340" s="165"/>
      <c r="E340" s="165"/>
      <c r="F340" s="165"/>
      <c r="G340" s="27"/>
      <c r="H340" s="27"/>
      <c r="T340" s="65"/>
    </row>
    <row r="341" spans="1:20" s="26" customFormat="1" x14ac:dyDescent="0.2">
      <c r="A341" s="25"/>
      <c r="C341" s="27"/>
      <c r="D341" s="165"/>
      <c r="E341" s="165"/>
      <c r="F341" s="165"/>
      <c r="G341" s="27"/>
      <c r="H341" s="27"/>
      <c r="T341" s="65"/>
    </row>
    <row r="342" spans="1:20" s="26" customFormat="1" x14ac:dyDescent="0.2">
      <c r="A342" s="25"/>
      <c r="C342" s="27"/>
      <c r="D342" s="165"/>
      <c r="E342" s="165"/>
      <c r="F342" s="165"/>
      <c r="G342" s="27"/>
      <c r="H342" s="27"/>
      <c r="T342" s="65"/>
    </row>
    <row r="343" spans="1:20" s="26" customFormat="1" x14ac:dyDescent="0.2">
      <c r="A343" s="25"/>
      <c r="C343" s="27"/>
      <c r="D343" s="165"/>
      <c r="E343" s="165"/>
      <c r="F343" s="165"/>
      <c r="G343" s="27"/>
      <c r="H343" s="27"/>
      <c r="T343" s="65"/>
    </row>
    <row r="344" spans="1:20" s="26" customFormat="1" x14ac:dyDescent="0.2">
      <c r="A344" s="25"/>
      <c r="C344" s="27"/>
      <c r="D344" s="165"/>
      <c r="E344" s="165"/>
      <c r="F344" s="165"/>
      <c r="G344" s="27"/>
      <c r="H344" s="27"/>
      <c r="T344" s="65"/>
    </row>
    <row r="345" spans="1:20" s="26" customFormat="1" x14ac:dyDescent="0.2">
      <c r="A345" s="25"/>
      <c r="C345" s="27"/>
      <c r="D345" s="165"/>
      <c r="E345" s="165"/>
      <c r="F345" s="165"/>
      <c r="G345" s="27"/>
      <c r="H345" s="27"/>
      <c r="T345" s="65"/>
    </row>
  </sheetData>
  <sheetProtection sheet="1" objects="1" scenarios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9" hidden="1" customWidth="1"/>
    <col min="21" max="21" width="15.140625" style="159" hidden="1" customWidth="1"/>
    <col min="22" max="23" width="9.140625" style="159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1" t="str">
        <f>CONCATENATE("FY ",Notes!$B$1," Budget for State Payments to School Districts (",Notes!$B$2," by Source)")</f>
        <v>FY 2022 Budget for State Payments to School Districts (April by Source)</v>
      </c>
      <c r="B1" s="221"/>
      <c r="C1" s="221"/>
      <c r="D1" s="221"/>
      <c r="E1" s="221"/>
      <c r="F1" s="221"/>
      <c r="G1" s="221"/>
      <c r="H1" s="221"/>
      <c r="I1" s="221"/>
      <c r="K1" s="67"/>
      <c r="L1" s="217" t="s">
        <v>803</v>
      </c>
      <c r="M1" s="217"/>
      <c r="N1" s="217"/>
      <c r="O1" s="217"/>
      <c r="P1" s="156"/>
      <c r="Q1" s="156"/>
      <c r="R1" s="156"/>
      <c r="S1" s="156"/>
      <c r="T1" s="156"/>
      <c r="U1" s="156"/>
      <c r="V1" s="156"/>
      <c r="W1" s="156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7"/>
      <c r="M2" s="217"/>
      <c r="N2" s="217"/>
      <c r="O2" s="217"/>
      <c r="P2" s="156"/>
      <c r="Q2" s="156"/>
      <c r="R2" s="156"/>
      <c r="S2" s="156"/>
      <c r="T2" s="156"/>
      <c r="U2" s="156"/>
      <c r="V2" s="156"/>
      <c r="W2" s="156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7"/>
      <c r="M3" s="217"/>
      <c r="N3" s="217"/>
      <c r="O3" s="217"/>
      <c r="P3" s="156" t="s">
        <v>757</v>
      </c>
      <c r="Q3" s="156" t="s">
        <v>708</v>
      </c>
      <c r="R3" s="156" t="s">
        <v>362</v>
      </c>
      <c r="S3" s="156" t="s">
        <v>363</v>
      </c>
      <c r="T3" s="156" t="s">
        <v>756</v>
      </c>
      <c r="U3" s="156" t="s">
        <v>758</v>
      </c>
      <c r="V3" s="156"/>
      <c r="W3" s="156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7"/>
      <c r="M4" s="217"/>
      <c r="N4" s="217"/>
      <c r="O4" s="217"/>
      <c r="P4" s="156" t="s">
        <v>773</v>
      </c>
      <c r="Q4" s="156"/>
      <c r="R4" s="156"/>
      <c r="S4" s="156"/>
      <c r="T4" s="156"/>
      <c r="U4" s="156"/>
      <c r="V4" s="156"/>
      <c r="W4" s="156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April Payment</v>
      </c>
      <c r="K5" s="67" t="s">
        <v>745</v>
      </c>
      <c r="L5" s="38"/>
      <c r="M5" s="38"/>
      <c r="N5" s="38"/>
      <c r="O5" s="38"/>
      <c r="P5" s="156"/>
      <c r="Q5" s="156"/>
      <c r="R5" s="156"/>
      <c r="S5" s="156"/>
      <c r="T5" s="156"/>
      <c r="U5" s="156"/>
      <c r="V5" s="156"/>
      <c r="W5" s="156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16186</v>
      </c>
      <c r="D6" s="22">
        <f>IF(Notes!$B$2="June",ROUND('Budget by Source'!D6/10,0)+Q6,ROUND('Budget by Source'!D6/10,0))</f>
        <v>43810</v>
      </c>
      <c r="E6" s="22">
        <f>IF(Notes!$B$2="June",ROUND('Budget by Source'!E6/10,0)+R6,ROUND('Budget by Source'!E6/10,0))</f>
        <v>4215</v>
      </c>
      <c r="F6" s="22">
        <f>IF(Notes!$B$2="June",ROUND('Budget by Source'!F6/10,0)+S6,ROUND('Budget by Source'!F6/10,0))</f>
        <v>4741</v>
      </c>
      <c r="G6" s="22">
        <f>IF(Notes!$B$2="June",ROUND('Budget by Source'!G6/10,0)+T6,ROUND('Budget by Source'!G6/10,0))</f>
        <v>23604</v>
      </c>
      <c r="H6" s="22">
        <f>I6-SUM(C6:G6)</f>
        <v>253203</v>
      </c>
      <c r="I6" s="22">
        <f>INDEX(Data[],MATCH($A6,Data[Dist],0),MATCH(I$5,Data[#Headers],0))</f>
        <v>345759</v>
      </c>
      <c r="K6" s="69">
        <f>INDEX('Payment Total'!$A$7:$H$333,MATCH('Payment by Source'!$A6,'Payment Total'!$A$7:$A$333,0),5)-I6</f>
        <v>0</v>
      </c>
      <c r="P6" s="157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2</v>
      </c>
      <c r="Q6" s="157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-4</v>
      </c>
      <c r="R6" s="157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-2</v>
      </c>
      <c r="S6" s="157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-2</v>
      </c>
      <c r="T6" s="157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1</v>
      </c>
      <c r="U6" s="158">
        <f>INDEX('Budget by Source'!$A$6:$I$332,MATCH('Payment by Source'!$A6,'Budget by Source'!$A$6:$A$332,0),MATCH(U$3,'Budget by Source'!$A$5:$I$5,0))</f>
        <v>2542737</v>
      </c>
      <c r="V6" s="155">
        <f>ROUND(U6/10,0)</f>
        <v>254274</v>
      </c>
      <c r="W6" s="155">
        <f>V6*10</f>
        <v>2542740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6474</v>
      </c>
      <c r="D7" s="22">
        <f>IF(Notes!$B$2="June",ROUND('Budget by Source'!D7/10,0)+Q7,ROUND('Budget by Source'!D7/10,0))</f>
        <v>19859</v>
      </c>
      <c r="E7" s="22">
        <f>IF(Notes!$B$2="June",ROUND('Budget by Source'!E7/10,0)+R7,ROUND('Budget by Source'!E7/10,0))</f>
        <v>2202</v>
      </c>
      <c r="F7" s="22">
        <f>IF(Notes!$B$2="June",ROUND('Budget by Source'!F7/10,0)+S7,ROUND('Budget by Source'!F7/10,0))</f>
        <v>1996</v>
      </c>
      <c r="G7" s="22">
        <f>IF(Notes!$B$2="June",ROUND('Budget by Source'!G7/10,0)+T7,ROUND('Budget by Source'!G7/10,0))</f>
        <v>10305</v>
      </c>
      <c r="H7" s="22">
        <f t="shared" ref="H7:H70" si="0">I7-SUM(C7:G7)</f>
        <v>109175</v>
      </c>
      <c r="I7" s="22">
        <f>INDEX(Data[],MATCH($A7,Data[Dist],0),MATCH(I$5,Data[#Headers],0))</f>
        <v>150011</v>
      </c>
      <c r="K7" s="69">
        <f>INDEX('Payment Total'!$A$7:$H$333,MATCH('Payment by Source'!$A7,'Payment Total'!$A$7:$A$333,0),5)-I7</f>
        <v>0</v>
      </c>
      <c r="P7" s="157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4</v>
      </c>
      <c r="Q7" s="157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-3</v>
      </c>
      <c r="R7" s="157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2</v>
      </c>
      <c r="S7" s="157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-4</v>
      </c>
      <c r="T7" s="157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-5</v>
      </c>
      <c r="U7" s="158">
        <f>INDEX('Budget by Source'!$A$6:$I$332,MATCH('Payment by Source'!$A7,'Budget by Source'!$A$6:$A$332,0),MATCH(U$3,'Budget by Source'!$A$5:$I$5,0))</f>
        <v>1096427</v>
      </c>
      <c r="V7" s="155">
        <f t="shared" ref="V7:V70" si="1">ROUND(U7/10,0)</f>
        <v>109643</v>
      </c>
      <c r="W7" s="155">
        <f t="shared" ref="W7:W70" si="2">V7*10</f>
        <v>1096430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126550</v>
      </c>
      <c r="E8" s="22">
        <f>IF(Notes!$B$2="June",ROUND('Budget by Source'!E8/10,0)+R8,ROUND('Budget by Source'!E8/10,0))</f>
        <v>14327</v>
      </c>
      <c r="F8" s="22">
        <f>IF(Notes!$B$2="June",ROUND('Budget by Source'!F8/10,0)+S8,ROUND('Budget by Source'!F8/10,0))</f>
        <v>13734</v>
      </c>
      <c r="G8" s="22">
        <f>IF(Notes!$B$2="June",ROUND('Budget by Source'!G8/10,0)+T8,ROUND('Budget by Source'!G8/10,0))</f>
        <v>69964</v>
      </c>
      <c r="H8" s="22">
        <f t="shared" si="0"/>
        <v>1120355</v>
      </c>
      <c r="I8" s="22">
        <f>INDEX(Data[],MATCH($A8,Data[Dist],0),MATCH(I$5,Data[#Headers],0))</f>
        <v>1344930</v>
      </c>
      <c r="K8" s="69">
        <f>INDEX('Payment Total'!$A$7:$H$333,MATCH('Payment by Source'!$A8,'Payment Total'!$A$7:$A$333,0),5)-I8</f>
        <v>0</v>
      </c>
      <c r="P8" s="157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7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-5</v>
      </c>
      <c r="R8" s="157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-3</v>
      </c>
      <c r="S8" s="157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-5</v>
      </c>
      <c r="T8" s="157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1</v>
      </c>
      <c r="U8" s="158">
        <f>INDEX('Budget by Source'!$A$6:$I$332,MATCH('Payment by Source'!$A8,'Budget by Source'!$A$6:$A$332,0),MATCH(U$3,'Budget by Source'!$A$5:$I$5,0))</f>
        <v>11235309</v>
      </c>
      <c r="V8" s="155">
        <f t="shared" si="1"/>
        <v>1123531</v>
      </c>
      <c r="W8" s="155">
        <f t="shared" si="2"/>
        <v>11235310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10071</v>
      </c>
      <c r="D9" s="22">
        <f>IF(Notes!$B$2="June",ROUND('Budget by Source'!D9/10,0)+Q9,ROUND('Budget by Source'!D9/10,0))</f>
        <v>37376</v>
      </c>
      <c r="E9" s="22">
        <f>IF(Notes!$B$2="June",ROUND('Budget by Source'!E9/10,0)+R9,ROUND('Budget by Source'!E9/10,0))</f>
        <v>4148</v>
      </c>
      <c r="F9" s="22">
        <f>IF(Notes!$B$2="June",ROUND('Budget by Source'!F9/10,0)+S9,ROUND('Budget by Source'!F9/10,0))</f>
        <v>4278</v>
      </c>
      <c r="G9" s="22">
        <f>IF(Notes!$B$2="June",ROUND('Budget by Source'!G9/10,0)+T9,ROUND('Budget by Source'!G9/10,0))</f>
        <v>19683</v>
      </c>
      <c r="H9" s="22">
        <f t="shared" si="0"/>
        <v>291356</v>
      </c>
      <c r="I9" s="22">
        <f>INDEX(Data[],MATCH($A9,Data[Dist],0),MATCH(I$5,Data[#Headers],0))</f>
        <v>366912</v>
      </c>
      <c r="K9" s="69">
        <f>INDEX('Payment Total'!$A$7:$H$333,MATCH('Payment by Source'!$A9,'Payment Total'!$A$7:$A$333,0),5)-I9</f>
        <v>0</v>
      </c>
      <c r="P9" s="157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4</v>
      </c>
      <c r="Q9" s="157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-3</v>
      </c>
      <c r="R9" s="157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7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7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0</v>
      </c>
      <c r="U9" s="158">
        <f>INDEX('Budget by Source'!$A$6:$I$332,MATCH('Payment by Source'!$A9,'Budget by Source'!$A$6:$A$332,0),MATCH(U$3,'Budget by Source'!$A$5:$I$5,0))</f>
        <v>2922102</v>
      </c>
      <c r="V9" s="155">
        <f t="shared" si="1"/>
        <v>292210</v>
      </c>
      <c r="W9" s="155">
        <f t="shared" si="2"/>
        <v>2922100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3957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87252</v>
      </c>
      <c r="I10" s="22">
        <f>INDEX(Data[],MATCH($A10,Data[Dist],0),MATCH(I$5,Data[#Headers],0))</f>
        <v>112448</v>
      </c>
      <c r="K10" s="69">
        <f>INDEX('Payment Total'!$A$7:$H$333,MATCH('Payment by Source'!$A10,'Payment Total'!$A$7:$A$333,0),5)-I10</f>
        <v>0</v>
      </c>
      <c r="P10" s="157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-3</v>
      </c>
      <c r="Q10" s="157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7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7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7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8">
        <f>INDEX('Budget by Source'!$A$6:$I$332,MATCH('Payment by Source'!$A10,'Budget by Source'!$A$6:$A$332,0),MATCH(U$3,'Budget by Source'!$A$5:$I$5,0))</f>
        <v>875943</v>
      </c>
      <c r="V10" s="155">
        <f t="shared" si="1"/>
        <v>87594</v>
      </c>
      <c r="W10" s="155">
        <f t="shared" si="2"/>
        <v>875940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21582</v>
      </c>
      <c r="D11" s="22">
        <f>IF(Notes!$B$2="June",ROUND('Budget by Source'!D11/10,0)+Q11,ROUND('Budget by Source'!D11/10,0))</f>
        <v>69709</v>
      </c>
      <c r="E11" s="22">
        <f>IF(Notes!$B$2="June",ROUND('Budget by Source'!E11/10,0)+R11,ROUND('Budget by Source'!E11/10,0))</f>
        <v>7870</v>
      </c>
      <c r="F11" s="22">
        <f>IF(Notes!$B$2="June",ROUND('Budget by Source'!F11/10,0)+S11,ROUND('Budget by Source'!F11/10,0))</f>
        <v>8060</v>
      </c>
      <c r="G11" s="22">
        <f>IF(Notes!$B$2="June",ROUND('Budget by Source'!G11/10,0)+T11,ROUND('Budget by Source'!G11/10,0))</f>
        <v>40140</v>
      </c>
      <c r="H11" s="22">
        <f t="shared" si="0"/>
        <v>659784</v>
      </c>
      <c r="I11" s="22">
        <f>INDEX(Data[],MATCH($A11,Data[Dist],0),MATCH(I$5,Data[#Headers],0))</f>
        <v>807145</v>
      </c>
      <c r="K11" s="69">
        <f>INDEX('Payment Total'!$A$7:$H$333,MATCH('Payment by Source'!$A11,'Payment Total'!$A$7:$A$333,0),5)-I11</f>
        <v>0</v>
      </c>
      <c r="P11" s="157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-5</v>
      </c>
      <c r="Q11" s="157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2</v>
      </c>
      <c r="R11" s="157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7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-4</v>
      </c>
      <c r="T11" s="157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-4</v>
      </c>
      <c r="U11" s="158">
        <f>INDEX('Budget by Source'!$A$6:$I$332,MATCH('Payment by Source'!$A11,'Budget by Source'!$A$6:$A$332,0),MATCH(U$3,'Budget by Source'!$A$5:$I$5,0))</f>
        <v>6616067</v>
      </c>
      <c r="V11" s="155">
        <f t="shared" si="1"/>
        <v>661607</v>
      </c>
      <c r="W11" s="155">
        <f t="shared" si="2"/>
        <v>6616070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12949</v>
      </c>
      <c r="D12" s="22">
        <f>IF(Notes!$B$2="June",ROUND('Budget by Source'!D12/10,0)+Q12,ROUND('Budget by Source'!D12/10,0))</f>
        <v>32382</v>
      </c>
      <c r="E12" s="22">
        <f>IF(Notes!$B$2="June",ROUND('Budget by Source'!E12/10,0)+R12,ROUND('Budget by Source'!E12/10,0))</f>
        <v>3174</v>
      </c>
      <c r="F12" s="22">
        <f>IF(Notes!$B$2="June",ROUND('Budget by Source'!F12/10,0)+S12,ROUND('Budget by Source'!F12/10,0))</f>
        <v>3733</v>
      </c>
      <c r="G12" s="22">
        <f>IF(Notes!$B$2="June",ROUND('Budget by Source'!G12/10,0)+T12,ROUND('Budget by Source'!G12/10,0))</f>
        <v>18016</v>
      </c>
      <c r="H12" s="22">
        <f t="shared" si="0"/>
        <v>238862</v>
      </c>
      <c r="I12" s="22">
        <f>INDEX(Data[],MATCH($A12,Data[Dist],0),MATCH(I$5,Data[#Headers],0))</f>
        <v>309116</v>
      </c>
      <c r="K12" s="69">
        <f>INDEX('Payment Total'!$A$7:$H$333,MATCH('Payment by Source'!$A12,'Payment Total'!$A$7:$A$333,0),5)-I12</f>
        <v>0</v>
      </c>
      <c r="P12" s="157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-1</v>
      </c>
      <c r="Q12" s="157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2</v>
      </c>
      <c r="R12" s="157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0</v>
      </c>
      <c r="S12" s="157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0</v>
      </c>
      <c r="T12" s="157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-5</v>
      </c>
      <c r="U12" s="158">
        <f>INDEX('Budget by Source'!$A$6:$I$332,MATCH('Payment by Source'!$A12,'Budget by Source'!$A$6:$A$332,0),MATCH(U$3,'Budget by Source'!$A$5:$I$5,0))</f>
        <v>2396794</v>
      </c>
      <c r="V12" s="155">
        <f t="shared" si="1"/>
        <v>239679</v>
      </c>
      <c r="W12" s="155">
        <f t="shared" si="2"/>
        <v>2396790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4676</v>
      </c>
      <c r="D13" s="22">
        <f>IF(Notes!$B$2="June",ROUND('Budget by Source'!D13/10,0)+Q13,ROUND('Budget by Source'!D13/10,0))</f>
        <v>17170</v>
      </c>
      <c r="E13" s="22">
        <f>IF(Notes!$B$2="June",ROUND('Budget by Source'!E13/10,0)+R13,ROUND('Budget by Source'!E13/10,0))</f>
        <v>2129</v>
      </c>
      <c r="F13" s="22">
        <f>IF(Notes!$B$2="June",ROUND('Budget by Source'!F13/10,0)+S13,ROUND('Budget by Source'!F13/10,0))</f>
        <v>1643</v>
      </c>
      <c r="G13" s="22">
        <f>IF(Notes!$B$2="June",ROUND('Budget by Source'!G13/10,0)+T13,ROUND('Budget by Source'!G13/10,0))</f>
        <v>9013</v>
      </c>
      <c r="H13" s="22">
        <f t="shared" si="0"/>
        <v>113779</v>
      </c>
      <c r="I13" s="22">
        <f>INDEX(Data[],MATCH($A13,Data[Dist],0),MATCH(I$5,Data[#Headers],0))</f>
        <v>148410</v>
      </c>
      <c r="K13" s="69">
        <f>INDEX('Payment Total'!$A$7:$H$333,MATCH('Payment by Source'!$A13,'Payment Total'!$A$7:$A$333,0),5)-I13</f>
        <v>0</v>
      </c>
      <c r="P13" s="157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0</v>
      </c>
      <c r="Q13" s="157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-1</v>
      </c>
      <c r="R13" s="157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7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0</v>
      </c>
      <c r="T13" s="157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1</v>
      </c>
      <c r="U13" s="158">
        <f>INDEX('Budget by Source'!$A$6:$I$332,MATCH('Payment by Source'!$A13,'Budget by Source'!$A$6:$A$332,0),MATCH(U$3,'Budget by Source'!$A$5:$I$5,0))</f>
        <v>1141810</v>
      </c>
      <c r="V13" s="155">
        <f t="shared" si="1"/>
        <v>114181</v>
      </c>
      <c r="W13" s="155">
        <f t="shared" si="2"/>
        <v>1141810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38847</v>
      </c>
      <c r="D14" s="22">
        <f>IF(Notes!$B$2="June",ROUND('Budget by Source'!D14/10,0)+Q14,ROUND('Budget by Source'!D14/10,0))</f>
        <v>80573</v>
      </c>
      <c r="E14" s="22">
        <f>IF(Notes!$B$2="June",ROUND('Budget by Source'!E14/10,0)+R14,ROUND('Budget by Source'!E14/10,0))</f>
        <v>8609</v>
      </c>
      <c r="F14" s="22">
        <f>IF(Notes!$B$2="June",ROUND('Budget by Source'!F14/10,0)+S14,ROUND('Budget by Source'!F14/10,0))</f>
        <v>9705</v>
      </c>
      <c r="G14" s="22">
        <f>IF(Notes!$B$2="June",ROUND('Budget by Source'!G14/10,0)+T14,ROUND('Budget by Source'!G14/10,0))</f>
        <v>44765</v>
      </c>
      <c r="H14" s="22">
        <f t="shared" si="0"/>
        <v>556379</v>
      </c>
      <c r="I14" s="22">
        <f>INDEX(Data[],MATCH($A14,Data[Dist],0),MATCH(I$5,Data[#Headers],0))</f>
        <v>738878</v>
      </c>
      <c r="K14" s="69">
        <f>INDEX('Payment Total'!$A$7:$H$333,MATCH('Payment by Source'!$A14,'Payment Total'!$A$7:$A$333,0),5)-I14</f>
        <v>0</v>
      </c>
      <c r="P14" s="157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-3</v>
      </c>
      <c r="Q14" s="157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2</v>
      </c>
      <c r="R14" s="157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-2</v>
      </c>
      <c r="S14" s="157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2</v>
      </c>
      <c r="T14" s="157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-3</v>
      </c>
      <c r="U14" s="158">
        <f>INDEX('Budget by Source'!$A$6:$I$332,MATCH('Payment by Source'!$A14,'Budget by Source'!$A$6:$A$332,0),MATCH(U$3,'Budget by Source'!$A$5:$I$5,0))</f>
        <v>5584103</v>
      </c>
      <c r="V14" s="155">
        <f t="shared" si="1"/>
        <v>558410</v>
      </c>
      <c r="W14" s="155">
        <f t="shared" si="2"/>
        <v>5584100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24099</v>
      </c>
      <c r="D15" s="22">
        <f>IF(Notes!$B$2="June",ROUND('Budget by Source'!D15/10,0)+Q15,ROUND('Budget by Source'!D15/10,0))</f>
        <v>65457</v>
      </c>
      <c r="E15" s="22">
        <f>IF(Notes!$B$2="June",ROUND('Budget by Source'!E15/10,0)+R15,ROUND('Budget by Source'!E15/10,0))</f>
        <v>7641</v>
      </c>
      <c r="F15" s="22">
        <f>IF(Notes!$B$2="June",ROUND('Budget by Source'!F15/10,0)+S15,ROUND('Budget by Source'!F15/10,0))</f>
        <v>6958</v>
      </c>
      <c r="G15" s="22">
        <f>IF(Notes!$B$2="June",ROUND('Budget by Source'!G15/10,0)+T15,ROUND('Budget by Source'!G15/10,0))</f>
        <v>37382</v>
      </c>
      <c r="H15" s="22">
        <f t="shared" si="0"/>
        <v>481413</v>
      </c>
      <c r="I15" s="22">
        <f>INDEX(Data[],MATCH($A15,Data[Dist],0),MATCH(I$5,Data[#Headers],0))</f>
        <v>622950</v>
      </c>
      <c r="K15" s="69">
        <f>INDEX('Payment Total'!$A$7:$H$333,MATCH('Payment by Source'!$A15,'Payment Total'!$A$7:$A$333,0),5)-I15</f>
        <v>0</v>
      </c>
      <c r="P15" s="157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4</v>
      </c>
      <c r="Q15" s="157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-4</v>
      </c>
      <c r="R15" s="157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-1</v>
      </c>
      <c r="S15" s="157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-4</v>
      </c>
      <c r="T15" s="157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-1</v>
      </c>
      <c r="U15" s="158">
        <f>INDEX('Budget by Source'!$A$6:$I$332,MATCH('Payment by Source'!$A15,'Budget by Source'!$A$6:$A$332,0),MATCH(U$3,'Budget by Source'!$A$5:$I$5,0))</f>
        <v>4831096</v>
      </c>
      <c r="V15" s="155">
        <f t="shared" si="1"/>
        <v>483110</v>
      </c>
      <c r="W15" s="155">
        <f t="shared" si="2"/>
        <v>4831100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8273</v>
      </c>
      <c r="D16" s="22">
        <f>IF(Notes!$B$2="June",ROUND('Budget by Source'!D16/10,0)+Q16,ROUND('Budget by Source'!D16/10,0))</f>
        <v>39392</v>
      </c>
      <c r="E16" s="22">
        <f>IF(Notes!$B$2="June",ROUND('Budget by Source'!E16/10,0)+R16,ROUND('Budget by Source'!E16/10,0))</f>
        <v>3772</v>
      </c>
      <c r="F16" s="22">
        <f>IF(Notes!$B$2="June",ROUND('Budget by Source'!F16/10,0)+S16,ROUND('Budget by Source'!F16/10,0))</f>
        <v>4412</v>
      </c>
      <c r="G16" s="22">
        <f>IF(Notes!$B$2="June",ROUND('Budget by Source'!G16/10,0)+T16,ROUND('Budget by Source'!G16/10,0))</f>
        <v>19597</v>
      </c>
      <c r="H16" s="22">
        <f t="shared" si="0"/>
        <v>262186</v>
      </c>
      <c r="I16" s="22">
        <f>INDEX(Data[],MATCH($A16,Data[Dist],0),MATCH(I$5,Data[#Headers],0))</f>
        <v>337632</v>
      </c>
      <c r="K16" s="69">
        <f>INDEX('Payment Total'!$A$7:$H$333,MATCH('Payment by Source'!$A16,'Payment Total'!$A$7:$A$333,0),5)-I16</f>
        <v>0</v>
      </c>
      <c r="P16" s="157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0</v>
      </c>
      <c r="Q16" s="157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-2</v>
      </c>
      <c r="R16" s="157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7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-5</v>
      </c>
      <c r="T16" s="157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-2</v>
      </c>
      <c r="U16" s="158">
        <f>INDEX('Budget by Source'!$A$6:$I$332,MATCH('Payment by Source'!$A16,'Budget by Source'!$A$6:$A$332,0),MATCH(U$3,'Budget by Source'!$A$5:$I$5,0))</f>
        <v>2630758</v>
      </c>
      <c r="V16" s="155">
        <f t="shared" si="1"/>
        <v>263076</v>
      </c>
      <c r="W16" s="155">
        <f t="shared" si="2"/>
        <v>2630760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21582</v>
      </c>
      <c r="D17" s="22">
        <f>IF(Notes!$B$2="June",ROUND('Budget by Source'!D17/10,0)+Q17,ROUND('Budget by Source'!D17/10,0))</f>
        <v>56044</v>
      </c>
      <c r="E17" s="22">
        <f>IF(Notes!$B$2="June",ROUND('Budget by Source'!E17/10,0)+R17,ROUND('Budget by Source'!E17/10,0))</f>
        <v>6822</v>
      </c>
      <c r="F17" s="22">
        <f>IF(Notes!$B$2="June",ROUND('Budget by Source'!F17/10,0)+S17,ROUND('Budget by Source'!F17/10,0))</f>
        <v>6400</v>
      </c>
      <c r="G17" s="22">
        <f>IF(Notes!$B$2="June",ROUND('Budget by Source'!G17/10,0)+T17,ROUND('Budget by Source'!G17/10,0))</f>
        <v>28833</v>
      </c>
      <c r="H17" s="22">
        <f t="shared" si="0"/>
        <v>360757</v>
      </c>
      <c r="I17" s="22">
        <f>INDEX(Data[],MATCH($A17,Data[Dist],0),MATCH(I$5,Data[#Headers],0))</f>
        <v>480438</v>
      </c>
      <c r="K17" s="69">
        <f>INDEX('Payment Total'!$A$7:$H$333,MATCH('Payment by Source'!$A17,'Payment Total'!$A$7:$A$333,0),5)-I17</f>
        <v>0</v>
      </c>
      <c r="P17" s="157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-5</v>
      </c>
      <c r="Q17" s="157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1</v>
      </c>
      <c r="R17" s="157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-1</v>
      </c>
      <c r="S17" s="157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-2</v>
      </c>
      <c r="T17" s="157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2</v>
      </c>
      <c r="U17" s="158">
        <f>INDEX('Budget by Source'!$A$6:$I$332,MATCH('Payment by Source'!$A17,'Budget by Source'!$A$6:$A$332,0),MATCH(U$3,'Budget by Source'!$A$5:$I$5,0))</f>
        <v>3620654</v>
      </c>
      <c r="V17" s="155">
        <f t="shared" si="1"/>
        <v>362065</v>
      </c>
      <c r="W17" s="155">
        <f t="shared" si="2"/>
        <v>3620650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91002</v>
      </c>
      <c r="D18" s="22">
        <f>IF(Notes!$B$2="June",ROUND('Budget by Source'!D18/10,0)+Q18,ROUND('Budget by Source'!D18/10,0))</f>
        <v>271111</v>
      </c>
      <c r="E18" s="22">
        <f>IF(Notes!$B$2="June",ROUND('Budget by Source'!E18/10,0)+R18,ROUND('Budget by Source'!E18/10,0))</f>
        <v>30281</v>
      </c>
      <c r="F18" s="22">
        <f>IF(Notes!$B$2="June",ROUND('Budget by Source'!F18/10,0)+S18,ROUND('Budget by Source'!F18/10,0))</f>
        <v>33160</v>
      </c>
      <c r="G18" s="22">
        <f>IF(Notes!$B$2="June",ROUND('Budget by Source'!G18/10,0)+T18,ROUND('Budget by Source'!G18/10,0))</f>
        <v>152630</v>
      </c>
      <c r="H18" s="22">
        <f t="shared" si="0"/>
        <v>1451190</v>
      </c>
      <c r="I18" s="22">
        <f>INDEX(Data[],MATCH($A18,Data[Dist],0),MATCH(I$5,Data[#Headers],0))</f>
        <v>2029374</v>
      </c>
      <c r="K18" s="69">
        <f>INDEX('Payment Total'!$A$7:$H$333,MATCH('Payment by Source'!$A18,'Payment Total'!$A$7:$A$333,0),5)-I18</f>
        <v>0</v>
      </c>
      <c r="P18" s="157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0</v>
      </c>
      <c r="Q18" s="157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0</v>
      </c>
      <c r="R18" s="157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-3</v>
      </c>
      <c r="S18" s="157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7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1</v>
      </c>
      <c r="U18" s="158">
        <f>INDEX('Budget by Source'!$A$6:$I$332,MATCH('Payment by Source'!$A18,'Budget by Source'!$A$6:$A$332,0),MATCH(U$3,'Budget by Source'!$A$5:$I$5,0))</f>
        <v>14580813</v>
      </c>
      <c r="V18" s="155">
        <f t="shared" si="1"/>
        <v>1458081</v>
      </c>
      <c r="W18" s="155">
        <f t="shared" si="2"/>
        <v>14580810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20143</v>
      </c>
      <c r="D19" s="22">
        <f>IF(Notes!$B$2="June",ROUND('Budget by Source'!D19/10,0)+Q19,ROUND('Budget by Source'!D19/10,0))</f>
        <v>83325</v>
      </c>
      <c r="E19" s="22">
        <f>IF(Notes!$B$2="June",ROUND('Budget by Source'!E19/10,0)+R19,ROUND('Budget by Source'!E19/10,0))</f>
        <v>8823</v>
      </c>
      <c r="F19" s="22">
        <f>IF(Notes!$B$2="June",ROUND('Budget by Source'!F19/10,0)+S19,ROUND('Budget by Source'!F19/10,0))</f>
        <v>9880</v>
      </c>
      <c r="G19" s="22">
        <f>IF(Notes!$B$2="June",ROUND('Budget by Source'!G19/10,0)+T19,ROUND('Budget by Source'!G19/10,0))</f>
        <v>44870</v>
      </c>
      <c r="H19" s="22">
        <f t="shared" si="0"/>
        <v>683882</v>
      </c>
      <c r="I19" s="22">
        <f>INDEX(Data[],MATCH($A19,Data[Dist],0),MATCH(I$5,Data[#Headers],0))</f>
        <v>850923</v>
      </c>
      <c r="K19" s="69">
        <f>INDEX('Payment Total'!$A$7:$H$333,MATCH('Payment by Source'!$A19,'Payment Total'!$A$7:$A$333,0),5)-I19</f>
        <v>0</v>
      </c>
      <c r="P19" s="157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-3</v>
      </c>
      <c r="Q19" s="157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7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0</v>
      </c>
      <c r="S19" s="157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-4</v>
      </c>
      <c r="T19" s="157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-5</v>
      </c>
      <c r="U19" s="158">
        <f>INDEX('Budget by Source'!$A$6:$I$332,MATCH('Payment by Source'!$A19,'Budget by Source'!$A$6:$A$332,0),MATCH(U$3,'Budget by Source'!$A$5:$I$5,0))</f>
        <v>6859197</v>
      </c>
      <c r="V19" s="155">
        <f t="shared" si="1"/>
        <v>685920</v>
      </c>
      <c r="W19" s="155">
        <f t="shared" si="2"/>
        <v>6859200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3237</v>
      </c>
      <c r="D20" s="22">
        <f>IF(Notes!$B$2="June",ROUND('Budget by Source'!D20/10,0)+Q20,ROUND('Budget by Source'!D20/10,0))</f>
        <v>15229</v>
      </c>
      <c r="E20" s="22">
        <f>IF(Notes!$B$2="June",ROUND('Budget by Source'!E20/10,0)+R20,ROUND('Budget by Source'!E20/10,0))</f>
        <v>1921</v>
      </c>
      <c r="F20" s="22">
        <f>IF(Notes!$B$2="June",ROUND('Budget by Source'!F20/10,0)+S20,ROUND('Budget by Source'!F20/10,0))</f>
        <v>1680</v>
      </c>
      <c r="G20" s="22">
        <f>IF(Notes!$B$2="June",ROUND('Budget by Source'!G20/10,0)+T20,ROUND('Budget by Source'!G20/10,0))</f>
        <v>7987</v>
      </c>
      <c r="H20" s="22">
        <f t="shared" si="0"/>
        <v>99577</v>
      </c>
      <c r="I20" s="22">
        <f>INDEX(Data[],MATCH($A20,Data[Dist],0),MATCH(I$5,Data[#Headers],0))</f>
        <v>129631</v>
      </c>
      <c r="K20" s="69">
        <f>INDEX('Payment Total'!$A$7:$H$333,MATCH('Payment by Source'!$A20,'Payment Total'!$A$7:$A$333,0),5)-I20</f>
        <v>0</v>
      </c>
      <c r="P20" s="157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3</v>
      </c>
      <c r="Q20" s="157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3</v>
      </c>
      <c r="R20" s="157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-4</v>
      </c>
      <c r="S20" s="157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7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1</v>
      </c>
      <c r="U20" s="158">
        <f>INDEX('Budget by Source'!$A$6:$I$332,MATCH('Payment by Source'!$A20,'Budget by Source'!$A$6:$A$332,0),MATCH(U$3,'Budget by Source'!$A$5:$I$5,0))</f>
        <v>999206</v>
      </c>
      <c r="V20" s="155">
        <f t="shared" si="1"/>
        <v>99921</v>
      </c>
      <c r="W20" s="155">
        <f t="shared" si="2"/>
        <v>999210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93520</v>
      </c>
      <c r="D21" s="22">
        <f>IF(Notes!$B$2="June",ROUND('Budget by Source'!D21/10,0)+Q21,ROUND('Budget by Source'!D21/10,0))</f>
        <v>690908</v>
      </c>
      <c r="E21" s="22">
        <f>IF(Notes!$B$2="June",ROUND('Budget by Source'!E21/10,0)+R21,ROUND('Budget by Source'!E21/10,0))</f>
        <v>80173</v>
      </c>
      <c r="F21" s="22">
        <f>IF(Notes!$B$2="June",ROUND('Budget by Source'!F21/10,0)+S21,ROUND('Budget by Source'!F21/10,0))</f>
        <v>76249</v>
      </c>
      <c r="G21" s="22">
        <f>IF(Notes!$B$2="June",ROUND('Budget by Source'!G21/10,0)+T21,ROUND('Budget by Source'!G21/10,0))</f>
        <v>424029</v>
      </c>
      <c r="H21" s="22">
        <f t="shared" si="0"/>
        <v>6124986</v>
      </c>
      <c r="I21" s="22">
        <f>INDEX(Data[],MATCH($A21,Data[Dist],0),MATCH(I$5,Data[#Headers],0))</f>
        <v>7489865</v>
      </c>
      <c r="K21" s="69">
        <f>INDEX('Payment Total'!$A$7:$H$333,MATCH('Payment by Source'!$A21,'Payment Total'!$A$7:$A$333,0),5)-I21</f>
        <v>0</v>
      </c>
      <c r="P21" s="157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-2</v>
      </c>
      <c r="Q21" s="157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-3</v>
      </c>
      <c r="R21" s="157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-2</v>
      </c>
      <c r="S21" s="157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7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3</v>
      </c>
      <c r="U21" s="158">
        <f>INDEX('Budget by Source'!$A$6:$I$332,MATCH('Payment by Source'!$A21,'Budget by Source'!$A$6:$A$332,0),MATCH(U$3,'Budget by Source'!$A$5:$I$5,0))</f>
        <v>61442223</v>
      </c>
      <c r="V21" s="155">
        <f t="shared" si="1"/>
        <v>6144222</v>
      </c>
      <c r="W21" s="155">
        <f t="shared" si="2"/>
        <v>61442220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17985</v>
      </c>
      <c r="D22" s="22">
        <f>IF(Notes!$B$2="June",ROUND('Budget by Source'!D22/10,0)+Q22,ROUND('Budget by Source'!D22/10,0))</f>
        <v>51421</v>
      </c>
      <c r="E22" s="22">
        <f>IF(Notes!$B$2="June",ROUND('Budget by Source'!E22/10,0)+R22,ROUND('Budget by Source'!E22/10,0))</f>
        <v>6714</v>
      </c>
      <c r="F22" s="22">
        <f>IF(Notes!$B$2="June",ROUND('Budget by Source'!F22/10,0)+S22,ROUND('Budget by Source'!F22/10,0))</f>
        <v>5741</v>
      </c>
      <c r="G22" s="22">
        <f>IF(Notes!$B$2="June",ROUND('Budget by Source'!G22/10,0)+T22,ROUND('Budget by Source'!G22/10,0))</f>
        <v>27758</v>
      </c>
      <c r="H22" s="22">
        <f t="shared" si="0"/>
        <v>418128</v>
      </c>
      <c r="I22" s="22">
        <f>INDEX(Data[],MATCH($A22,Data[Dist],0),MATCH(I$5,Data[#Headers],0))</f>
        <v>527747</v>
      </c>
      <c r="K22" s="69">
        <f>INDEX('Payment Total'!$A$7:$H$333,MATCH('Payment by Source'!$A22,'Payment Total'!$A$7:$A$333,0),5)-I22</f>
        <v>0</v>
      </c>
      <c r="P22" s="157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-4</v>
      </c>
      <c r="Q22" s="157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-2</v>
      </c>
      <c r="R22" s="157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-1</v>
      </c>
      <c r="S22" s="157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-5</v>
      </c>
      <c r="T22" s="157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0</v>
      </c>
      <c r="U22" s="158">
        <f>INDEX('Budget by Source'!$A$6:$I$332,MATCH('Payment by Source'!$A22,'Budget by Source'!$A$6:$A$332,0),MATCH(U$3,'Budget by Source'!$A$5:$I$5,0))</f>
        <v>4193887</v>
      </c>
      <c r="V22" s="155">
        <f t="shared" si="1"/>
        <v>419389</v>
      </c>
      <c r="W22" s="155">
        <f t="shared" si="2"/>
        <v>4193890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4676</v>
      </c>
      <c r="D23" s="22">
        <f>IF(Notes!$B$2="June",ROUND('Budget by Source'!D23/10,0)+Q23,ROUND('Budget by Source'!D23/10,0))</f>
        <v>28782</v>
      </c>
      <c r="E23" s="22">
        <f>IF(Notes!$B$2="June",ROUND('Budget by Source'!E23/10,0)+R23,ROUND('Budget by Source'!E23/10,0))</f>
        <v>3492</v>
      </c>
      <c r="F23" s="22">
        <f>IF(Notes!$B$2="June",ROUND('Budget by Source'!F23/10,0)+S23,ROUND('Budget by Source'!F23/10,0))</f>
        <v>3239</v>
      </c>
      <c r="G23" s="22">
        <f>IF(Notes!$B$2="June",ROUND('Budget by Source'!G23/10,0)+T23,ROUND('Budget by Source'!G23/10,0))</f>
        <v>13998</v>
      </c>
      <c r="H23" s="22">
        <f t="shared" si="0"/>
        <v>106025</v>
      </c>
      <c r="I23" s="22">
        <f>INDEX(Data[],MATCH($A23,Data[Dist],0),MATCH(I$5,Data[#Headers],0))</f>
        <v>160212</v>
      </c>
      <c r="K23" s="69">
        <f>INDEX('Payment Total'!$A$7:$H$333,MATCH('Payment by Source'!$A23,'Payment Total'!$A$7:$A$333,0),5)-I23</f>
        <v>0</v>
      </c>
      <c r="P23" s="157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7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2</v>
      </c>
      <c r="R23" s="157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3</v>
      </c>
      <c r="S23" s="157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3</v>
      </c>
      <c r="T23" s="157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-3</v>
      </c>
      <c r="U23" s="158">
        <f>INDEX('Budget by Source'!$A$6:$I$332,MATCH('Payment by Source'!$A23,'Budget by Source'!$A$6:$A$332,0),MATCH(U$3,'Budget by Source'!$A$5:$I$5,0))</f>
        <v>1066594</v>
      </c>
      <c r="V23" s="155">
        <f t="shared" si="1"/>
        <v>106659</v>
      </c>
      <c r="W23" s="155">
        <f t="shared" si="2"/>
        <v>1066590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6474</v>
      </c>
      <c r="D24" s="22">
        <f>IF(Notes!$B$2="June",ROUND('Budget by Source'!D24/10,0)+Q24,ROUND('Budget by Source'!D24/10,0))</f>
        <v>18034</v>
      </c>
      <c r="E24" s="22">
        <f>IF(Notes!$B$2="June",ROUND('Budget by Source'!E24/10,0)+R24,ROUND('Budget by Source'!E24/10,0))</f>
        <v>1836</v>
      </c>
      <c r="F24" s="22">
        <f>IF(Notes!$B$2="June",ROUND('Budget by Source'!F24/10,0)+S24,ROUND('Budget by Source'!F24/10,0))</f>
        <v>1786</v>
      </c>
      <c r="G24" s="22">
        <f>IF(Notes!$B$2="June",ROUND('Budget by Source'!G24/10,0)+T24,ROUND('Budget by Source'!G24/10,0))</f>
        <v>9704</v>
      </c>
      <c r="H24" s="22">
        <f t="shared" si="0"/>
        <v>69024</v>
      </c>
      <c r="I24" s="22">
        <f>INDEX(Data[],MATCH($A24,Data[Dist],0),MATCH(I$5,Data[#Headers],0))</f>
        <v>106858</v>
      </c>
      <c r="K24" s="69">
        <f>INDEX('Payment Total'!$A$7:$H$333,MATCH('Payment by Source'!$A24,'Payment Total'!$A$7:$A$333,0),5)-I24</f>
        <v>0</v>
      </c>
      <c r="P24" s="157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4</v>
      </c>
      <c r="Q24" s="157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-1</v>
      </c>
      <c r="R24" s="157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-4</v>
      </c>
      <c r="S24" s="157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-1</v>
      </c>
      <c r="T24" s="157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1</v>
      </c>
      <c r="U24" s="158">
        <f>INDEX('Budget by Source'!$A$6:$I$332,MATCH('Payment by Source'!$A24,'Budget by Source'!$A$6:$A$332,0),MATCH(U$3,'Budget by Source'!$A$5:$I$5,0))</f>
        <v>694642</v>
      </c>
      <c r="V24" s="155">
        <f t="shared" si="1"/>
        <v>69464</v>
      </c>
      <c r="W24" s="155">
        <f t="shared" si="2"/>
        <v>694640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30214</v>
      </c>
      <c r="D25" s="22">
        <f>IF(Notes!$B$2="June",ROUND('Budget by Source'!D25/10,0)+Q25,ROUND('Budget by Source'!D25/10,0))</f>
        <v>84785</v>
      </c>
      <c r="E25" s="22">
        <f>IF(Notes!$B$2="June",ROUND('Budget by Source'!E25/10,0)+R25,ROUND('Budget by Source'!E25/10,0))</f>
        <v>11090</v>
      </c>
      <c r="F25" s="22">
        <f>IF(Notes!$B$2="June",ROUND('Budget by Source'!F25/10,0)+S25,ROUND('Budget by Source'!F25/10,0))</f>
        <v>9917</v>
      </c>
      <c r="G25" s="22">
        <f>IF(Notes!$B$2="June",ROUND('Budget by Source'!G25/10,0)+T25,ROUND('Budget by Source'!G25/10,0))</f>
        <v>46542</v>
      </c>
      <c r="H25" s="22">
        <f t="shared" si="0"/>
        <v>726143</v>
      </c>
      <c r="I25" s="22">
        <f>INDEX(Data[],MATCH($A25,Data[Dist],0),MATCH(I$5,Data[#Headers],0))</f>
        <v>908691</v>
      </c>
      <c r="K25" s="69">
        <f>INDEX('Payment Total'!$A$7:$H$333,MATCH('Payment by Source'!$A25,'Payment Total'!$A$7:$A$333,0),5)-I25</f>
        <v>0</v>
      </c>
      <c r="P25" s="157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1</v>
      </c>
      <c r="Q25" s="157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7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4</v>
      </c>
      <c r="S25" s="157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1</v>
      </c>
      <c r="T25" s="157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-5</v>
      </c>
      <c r="U25" s="158">
        <f>INDEX('Budget by Source'!$A$6:$I$332,MATCH('Payment by Source'!$A25,'Budget by Source'!$A$6:$A$332,0),MATCH(U$3,'Budget by Source'!$A$5:$I$5,0))</f>
        <v>7282548</v>
      </c>
      <c r="V25" s="155">
        <f t="shared" si="1"/>
        <v>728255</v>
      </c>
      <c r="W25" s="155">
        <f t="shared" si="2"/>
        <v>7282550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11151</v>
      </c>
      <c r="D26" s="22">
        <f>IF(Notes!$B$2="June",ROUND('Budget by Source'!D26/10,0)+Q26,ROUND('Budget by Source'!D26/10,0))</f>
        <v>32500</v>
      </c>
      <c r="E26" s="22">
        <f>IF(Notes!$B$2="June",ROUND('Budget by Source'!E26/10,0)+R26,ROUND('Budget by Source'!E26/10,0))</f>
        <v>3360</v>
      </c>
      <c r="F26" s="22">
        <f>IF(Notes!$B$2="June",ROUND('Budget by Source'!F26/10,0)+S26,ROUND('Budget by Source'!F26/10,0))</f>
        <v>3705</v>
      </c>
      <c r="G26" s="22">
        <f>IF(Notes!$B$2="June",ROUND('Budget by Source'!G26/10,0)+T26,ROUND('Budget by Source'!G26/10,0))</f>
        <v>17527</v>
      </c>
      <c r="H26" s="22">
        <f t="shared" si="0"/>
        <v>229214</v>
      </c>
      <c r="I26" s="22">
        <f>INDEX(Data[],MATCH($A26,Data[Dist],0),MATCH(I$5,Data[#Headers],0))</f>
        <v>297457</v>
      </c>
      <c r="K26" s="69">
        <f>INDEX('Payment Total'!$A$7:$H$333,MATCH('Payment by Source'!$A26,'Payment Total'!$A$7:$A$333,0),5)-I26</f>
        <v>0</v>
      </c>
      <c r="P26" s="157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-5</v>
      </c>
      <c r="Q26" s="157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-1</v>
      </c>
      <c r="R26" s="157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1</v>
      </c>
      <c r="S26" s="157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1</v>
      </c>
      <c r="T26" s="157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-2</v>
      </c>
      <c r="U26" s="158">
        <f>INDEX('Budget by Source'!$A$6:$I$332,MATCH('Payment by Source'!$A26,'Budget by Source'!$A$6:$A$332,0),MATCH(U$3,'Budget by Source'!$A$5:$I$5,0))</f>
        <v>2300101</v>
      </c>
      <c r="V26" s="155">
        <f t="shared" si="1"/>
        <v>230010</v>
      </c>
      <c r="W26" s="155">
        <f t="shared" si="2"/>
        <v>2300100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17265</v>
      </c>
      <c r="D27" s="22">
        <f>IF(Notes!$B$2="June",ROUND('Budget by Source'!D27/10,0)+Q27,ROUND('Budget by Source'!D27/10,0))</f>
        <v>44481</v>
      </c>
      <c r="E27" s="22">
        <f>IF(Notes!$B$2="June",ROUND('Budget by Source'!E27/10,0)+R27,ROUND('Budget by Source'!E27/10,0))</f>
        <v>4991</v>
      </c>
      <c r="F27" s="22">
        <f>IF(Notes!$B$2="June",ROUND('Budget by Source'!F27/10,0)+S27,ROUND('Budget by Source'!F27/10,0))</f>
        <v>4488</v>
      </c>
      <c r="G27" s="22">
        <f>IF(Notes!$B$2="June",ROUND('Budget by Source'!G27/10,0)+T27,ROUND('Budget by Source'!G27/10,0))</f>
        <v>26613</v>
      </c>
      <c r="H27" s="22">
        <f t="shared" si="0"/>
        <v>278388</v>
      </c>
      <c r="I27" s="22">
        <f>INDEX(Data[],MATCH($A27,Data[Dist],0),MATCH(I$5,Data[#Headers],0))</f>
        <v>376226</v>
      </c>
      <c r="K27" s="69">
        <f>INDEX('Payment Total'!$A$7:$H$333,MATCH('Payment by Source'!$A27,'Payment Total'!$A$7:$A$333,0),5)-I27</f>
        <v>0</v>
      </c>
      <c r="P27" s="157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2</v>
      </c>
      <c r="Q27" s="157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2</v>
      </c>
      <c r="R27" s="157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0</v>
      </c>
      <c r="S27" s="157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-5</v>
      </c>
      <c r="T27" s="157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3</v>
      </c>
      <c r="U27" s="158">
        <f>INDEX('Budget by Source'!$A$6:$I$332,MATCH('Payment by Source'!$A27,'Budget by Source'!$A$6:$A$332,0),MATCH(U$3,'Budget by Source'!$A$5:$I$5,0))</f>
        <v>2795841</v>
      </c>
      <c r="V27" s="155">
        <f t="shared" si="1"/>
        <v>279584</v>
      </c>
      <c r="W27" s="155">
        <f t="shared" si="2"/>
        <v>2795840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45321</v>
      </c>
      <c r="D28" s="22">
        <f>IF(Notes!$B$2="June",ROUND('Budget by Source'!D28/10,0)+Q28,ROUND('Budget by Source'!D28/10,0))</f>
        <v>94689</v>
      </c>
      <c r="E28" s="22">
        <f>IF(Notes!$B$2="June",ROUND('Budget by Source'!E28/10,0)+R28,ROUND('Budget by Source'!E28/10,0))</f>
        <v>11901</v>
      </c>
      <c r="F28" s="22">
        <f>IF(Notes!$B$2="June",ROUND('Budget by Source'!F28/10,0)+S28,ROUND('Budget by Source'!F28/10,0))</f>
        <v>10143</v>
      </c>
      <c r="G28" s="22">
        <f>IF(Notes!$B$2="June",ROUND('Budget by Source'!G28/10,0)+T28,ROUND('Budget by Source'!G28/10,0))</f>
        <v>57419</v>
      </c>
      <c r="H28" s="22">
        <f t="shared" si="0"/>
        <v>923746</v>
      </c>
      <c r="I28" s="22">
        <f>INDEX(Data[],MATCH($A28,Data[Dist],0),MATCH(I$5,Data[#Headers],0))</f>
        <v>1143219</v>
      </c>
      <c r="K28" s="69">
        <f>INDEX('Payment Total'!$A$7:$H$333,MATCH('Payment by Source'!$A28,'Payment Total'!$A$7:$A$333,0),5)-I28</f>
        <v>0</v>
      </c>
      <c r="P28" s="157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1</v>
      </c>
      <c r="Q28" s="157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-3</v>
      </c>
      <c r="R28" s="157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-1</v>
      </c>
      <c r="S28" s="157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-5</v>
      </c>
      <c r="T28" s="157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-5</v>
      </c>
      <c r="U28" s="158">
        <f>INDEX('Budget by Source'!$A$6:$I$332,MATCH('Payment by Source'!$A28,'Budget by Source'!$A$6:$A$332,0),MATCH(U$3,'Budget by Source'!$A$5:$I$5,0))</f>
        <v>9263519</v>
      </c>
      <c r="V28" s="155">
        <f t="shared" si="1"/>
        <v>926352</v>
      </c>
      <c r="W28" s="155">
        <f t="shared" si="2"/>
        <v>9263520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8992</v>
      </c>
      <c r="D29" s="22">
        <f>IF(Notes!$B$2="June",ROUND('Budget by Source'!D29/10,0)+Q29,ROUND('Budget by Source'!D29/10,0))</f>
        <v>22491</v>
      </c>
      <c r="E29" s="22">
        <f>IF(Notes!$B$2="June",ROUND('Budget by Source'!E29/10,0)+R29,ROUND('Budget by Source'!E29/10,0))</f>
        <v>2438</v>
      </c>
      <c r="F29" s="22">
        <f>IF(Notes!$B$2="June",ROUND('Budget by Source'!F29/10,0)+S29,ROUND('Budget by Source'!F29/10,0))</f>
        <v>2271</v>
      </c>
      <c r="G29" s="22">
        <f>IF(Notes!$B$2="June",ROUND('Budget by Source'!G29/10,0)+T29,ROUND('Budget by Source'!G29/10,0))</f>
        <v>11914</v>
      </c>
      <c r="H29" s="22">
        <f t="shared" si="0"/>
        <v>187829</v>
      </c>
      <c r="I29" s="22">
        <f>INDEX(Data[],MATCH($A29,Data[Dist],0),MATCH(I$5,Data[#Headers],0))</f>
        <v>235935</v>
      </c>
      <c r="K29" s="69">
        <f>INDEX('Payment Total'!$A$7:$H$333,MATCH('Payment by Source'!$A29,'Payment Total'!$A$7:$A$333,0),5)-I29</f>
        <v>0</v>
      </c>
      <c r="P29" s="157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3</v>
      </c>
      <c r="Q29" s="157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3</v>
      </c>
      <c r="R29" s="157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-4</v>
      </c>
      <c r="S29" s="157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0</v>
      </c>
      <c r="T29" s="157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-2</v>
      </c>
      <c r="U29" s="158">
        <f>INDEX('Budget by Source'!$A$6:$I$332,MATCH('Payment by Source'!$A29,'Budget by Source'!$A$6:$A$332,0),MATCH(U$3,'Budget by Source'!$A$5:$I$5,0))</f>
        <v>1883692</v>
      </c>
      <c r="V29" s="155">
        <f t="shared" si="1"/>
        <v>188369</v>
      </c>
      <c r="W29" s="155">
        <f t="shared" si="2"/>
        <v>1883690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7554</v>
      </c>
      <c r="D30" s="22">
        <f>IF(Notes!$B$2="June",ROUND('Budget by Source'!D30/10,0)+Q30,ROUND('Budget by Source'!D30/10,0))</f>
        <v>30980</v>
      </c>
      <c r="E30" s="22">
        <f>IF(Notes!$B$2="June",ROUND('Budget by Source'!E30/10,0)+R30,ROUND('Budget by Source'!E30/10,0))</f>
        <v>3310</v>
      </c>
      <c r="F30" s="22">
        <f>IF(Notes!$B$2="June",ROUND('Budget by Source'!F30/10,0)+S30,ROUND('Budget by Source'!F30/10,0))</f>
        <v>3442</v>
      </c>
      <c r="G30" s="22">
        <f>IF(Notes!$B$2="June",ROUND('Budget by Source'!G30/10,0)+T30,ROUND('Budget by Source'!G30/10,0))</f>
        <v>17184</v>
      </c>
      <c r="H30" s="22">
        <f t="shared" si="0"/>
        <v>196780</v>
      </c>
      <c r="I30" s="22">
        <f>INDEX(Data[],MATCH($A30,Data[Dist],0),MATCH(I$5,Data[#Headers],0))</f>
        <v>259250</v>
      </c>
      <c r="K30" s="69">
        <f>INDEX('Payment Total'!$A$7:$H$333,MATCH('Payment by Source'!$A30,'Payment Total'!$A$7:$A$333,0),5)-I30</f>
        <v>0</v>
      </c>
      <c r="P30" s="157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-4</v>
      </c>
      <c r="Q30" s="157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0</v>
      </c>
      <c r="R30" s="157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7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-5</v>
      </c>
      <c r="T30" s="157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8">
        <f>INDEX('Budget by Source'!$A$6:$I$332,MATCH('Payment by Source'!$A30,'Budget by Source'!$A$6:$A$332,0),MATCH(U$3,'Budget by Source'!$A$5:$I$5,0))</f>
        <v>1975592</v>
      </c>
      <c r="V30" s="155">
        <f t="shared" si="1"/>
        <v>197559</v>
      </c>
      <c r="W30" s="155">
        <f t="shared" si="2"/>
        <v>1975590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13309</v>
      </c>
      <c r="D31" s="22">
        <f>IF(Notes!$B$2="June",ROUND('Budget by Source'!D31/10,0)+Q31,ROUND('Budget by Source'!D31/10,0))</f>
        <v>32402</v>
      </c>
      <c r="E31" s="22">
        <f>IF(Notes!$B$2="June",ROUND('Budget by Source'!E31/10,0)+R31,ROUND('Budget by Source'!E31/10,0))</f>
        <v>3786</v>
      </c>
      <c r="F31" s="22">
        <f>IF(Notes!$B$2="June",ROUND('Budget by Source'!F31/10,0)+S31,ROUND('Budget by Source'!F31/10,0))</f>
        <v>3447</v>
      </c>
      <c r="G31" s="22">
        <f>IF(Notes!$B$2="June",ROUND('Budget by Source'!G31/10,0)+T31,ROUND('Budget by Source'!G31/10,0))</f>
        <v>17087</v>
      </c>
      <c r="H31" s="22">
        <f t="shared" si="0"/>
        <v>232036</v>
      </c>
      <c r="I31" s="22">
        <f>INDEX(Data[],MATCH($A31,Data[Dist],0),MATCH(I$5,Data[#Headers],0))</f>
        <v>302067</v>
      </c>
      <c r="K31" s="69">
        <f>INDEX('Payment Total'!$A$7:$H$333,MATCH('Payment by Source'!$A31,'Payment Total'!$A$7:$A$333,0),5)-I31</f>
        <v>0</v>
      </c>
      <c r="P31" s="157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-4</v>
      </c>
      <c r="Q31" s="157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7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3</v>
      </c>
      <c r="S31" s="157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-4</v>
      </c>
      <c r="T31" s="157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0</v>
      </c>
      <c r="U31" s="158">
        <f>INDEX('Budget by Source'!$A$6:$I$332,MATCH('Payment by Source'!$A31,'Budget by Source'!$A$6:$A$332,0),MATCH(U$3,'Budget by Source'!$A$5:$I$5,0))</f>
        <v>2328117</v>
      </c>
      <c r="V31" s="155">
        <f t="shared" si="1"/>
        <v>232812</v>
      </c>
      <c r="W31" s="155">
        <f t="shared" si="2"/>
        <v>2328120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7913</v>
      </c>
      <c r="D32" s="22">
        <f>IF(Notes!$B$2="June",ROUND('Budget by Source'!D32/10,0)+Q32,ROUND('Budget by Source'!D32/10,0))</f>
        <v>28894</v>
      </c>
      <c r="E32" s="22">
        <f>IF(Notes!$B$2="June",ROUND('Budget by Source'!E32/10,0)+R32,ROUND('Budget by Source'!E32/10,0))</f>
        <v>2937</v>
      </c>
      <c r="F32" s="22">
        <f>IF(Notes!$B$2="June",ROUND('Budget by Source'!F32/10,0)+S32,ROUND('Budget by Source'!F32/10,0))</f>
        <v>2886</v>
      </c>
      <c r="G32" s="22">
        <f>IF(Notes!$B$2="June",ROUND('Budget by Source'!G32/10,0)+T32,ROUND('Budget by Source'!G32/10,0))</f>
        <v>16509</v>
      </c>
      <c r="H32" s="22">
        <f t="shared" si="0"/>
        <v>232841</v>
      </c>
      <c r="I32" s="22">
        <f>INDEX(Data[],MATCH($A32,Data[Dist],0),MATCH(I$5,Data[#Headers],0))</f>
        <v>291980</v>
      </c>
      <c r="K32" s="69">
        <f>INDEX('Payment Total'!$A$7:$H$333,MATCH('Payment by Source'!$A32,'Payment Total'!$A$7:$A$333,0),5)-I32</f>
        <v>0</v>
      </c>
      <c r="P32" s="157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2</v>
      </c>
      <c r="Q32" s="157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3</v>
      </c>
      <c r="R32" s="157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-2</v>
      </c>
      <c r="S32" s="157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4</v>
      </c>
      <c r="T32" s="157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3</v>
      </c>
      <c r="U32" s="158">
        <f>INDEX('Budget by Source'!$A$6:$I$332,MATCH('Payment by Source'!$A32,'Budget by Source'!$A$6:$A$332,0),MATCH(U$3,'Budget by Source'!$A$5:$I$5,0))</f>
        <v>2335816</v>
      </c>
      <c r="V32" s="155">
        <f t="shared" si="1"/>
        <v>233582</v>
      </c>
      <c r="W32" s="155">
        <f t="shared" si="2"/>
        <v>2335820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25898</v>
      </c>
      <c r="D33" s="22">
        <f>IF(Notes!$B$2="June",ROUND('Budget by Source'!D33/10,0)+Q33,ROUND('Budget by Source'!D33/10,0))</f>
        <v>37905</v>
      </c>
      <c r="E33" s="22">
        <f>IF(Notes!$B$2="June",ROUND('Budget by Source'!E33/10,0)+R33,ROUND('Budget by Source'!E33/10,0))</f>
        <v>3899</v>
      </c>
      <c r="F33" s="22">
        <f>IF(Notes!$B$2="June",ROUND('Budget by Source'!F33/10,0)+S33,ROUND('Budget by Source'!F33/10,0))</f>
        <v>4184</v>
      </c>
      <c r="G33" s="22">
        <f>IF(Notes!$B$2="June",ROUND('Budget by Source'!G33/10,0)+T33,ROUND('Budget by Source'!G33/10,0))</f>
        <v>20620</v>
      </c>
      <c r="H33" s="22">
        <f t="shared" si="0"/>
        <v>239284</v>
      </c>
      <c r="I33" s="22">
        <f>INDEX(Data[],MATCH($A33,Data[Dist],0),MATCH(I$5,Data[#Headers],0))</f>
        <v>331790</v>
      </c>
      <c r="K33" s="69">
        <f>INDEX('Payment Total'!$A$7:$H$333,MATCH('Payment by Source'!$A33,'Payment Total'!$A$7:$A$333,0),5)-I33</f>
        <v>0</v>
      </c>
      <c r="P33" s="157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-2</v>
      </c>
      <c r="Q33" s="157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2</v>
      </c>
      <c r="R33" s="157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-4</v>
      </c>
      <c r="S33" s="157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-1</v>
      </c>
      <c r="T33" s="157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-4</v>
      </c>
      <c r="U33" s="158">
        <f>INDEX('Budget by Source'!$A$6:$I$332,MATCH('Payment by Source'!$A33,'Budget by Source'!$A$6:$A$332,0),MATCH(U$3,'Budget by Source'!$A$5:$I$5,0))</f>
        <v>2476390</v>
      </c>
      <c r="V33" s="155">
        <f t="shared" si="1"/>
        <v>247639</v>
      </c>
      <c r="W33" s="155">
        <f t="shared" si="2"/>
        <v>2476390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9352</v>
      </c>
      <c r="D34" s="22">
        <f>IF(Notes!$B$2="June",ROUND('Budget by Source'!D34/10,0)+Q34,ROUND('Budget by Source'!D34/10,0))</f>
        <v>46989</v>
      </c>
      <c r="E34" s="22">
        <f>IF(Notes!$B$2="June",ROUND('Budget by Source'!E34/10,0)+R34,ROUND('Budget by Source'!E34/10,0))</f>
        <v>5852</v>
      </c>
      <c r="F34" s="22">
        <f>IF(Notes!$B$2="June",ROUND('Budget by Source'!F34/10,0)+S34,ROUND('Budget by Source'!F34/10,0))</f>
        <v>5027</v>
      </c>
      <c r="G34" s="22">
        <f>IF(Notes!$B$2="June",ROUND('Budget by Source'!G34/10,0)+T34,ROUND('Budget by Source'!G34/10,0))</f>
        <v>26739</v>
      </c>
      <c r="H34" s="22">
        <f t="shared" si="0"/>
        <v>378946</v>
      </c>
      <c r="I34" s="22">
        <f>INDEX(Data[],MATCH($A34,Data[Dist],0),MATCH(I$5,Data[#Headers],0))</f>
        <v>472905</v>
      </c>
      <c r="K34" s="69">
        <f>INDEX('Payment Total'!$A$7:$H$333,MATCH('Payment by Source'!$A34,'Payment Total'!$A$7:$A$333,0),5)-I34</f>
        <v>0</v>
      </c>
      <c r="P34" s="157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0</v>
      </c>
      <c r="Q34" s="157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-3</v>
      </c>
      <c r="R34" s="157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7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3</v>
      </c>
      <c r="T34" s="157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-2</v>
      </c>
      <c r="U34" s="158">
        <f>INDEX('Budget by Source'!$A$6:$I$332,MATCH('Payment by Source'!$A34,'Budget by Source'!$A$6:$A$332,0),MATCH(U$3,'Budget by Source'!$A$5:$I$5,0))</f>
        <v>3801595</v>
      </c>
      <c r="V34" s="155">
        <f t="shared" si="1"/>
        <v>380160</v>
      </c>
      <c r="W34" s="155">
        <f t="shared" si="2"/>
        <v>3801600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2518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89550</v>
      </c>
      <c r="I35" s="22">
        <f>INDEX(Data[],MATCH($A35,Data[Dist],0),MATCH(I$5,Data[#Headers],0))</f>
        <v>113249</v>
      </c>
      <c r="K35" s="69">
        <f>INDEX('Payment Total'!$A$7:$H$333,MATCH('Payment by Source'!$A35,'Payment Total'!$A$7:$A$333,0),5)-I35</f>
        <v>0</v>
      </c>
      <c r="P35" s="157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-1</v>
      </c>
      <c r="Q35" s="157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7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7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7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8">
        <f>INDEX('Budget by Source'!$A$6:$I$332,MATCH('Payment by Source'!$A35,'Budget by Source'!$A$6:$A$332,0),MATCH(U$3,'Budget by Source'!$A$5:$I$5,0))</f>
        <v>921361</v>
      </c>
      <c r="V35" s="155">
        <f t="shared" si="1"/>
        <v>92136</v>
      </c>
      <c r="W35" s="155">
        <f t="shared" si="2"/>
        <v>921360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36329</v>
      </c>
      <c r="D36" s="22">
        <f>IF(Notes!$B$2="June",ROUND('Budget by Source'!D36/10,0)+Q36,ROUND('Budget by Source'!D36/10,0))</f>
        <v>91893</v>
      </c>
      <c r="E36" s="22">
        <f>IF(Notes!$B$2="June",ROUND('Budget by Source'!E36/10,0)+R36,ROUND('Budget by Source'!E36/10,0))</f>
        <v>9579</v>
      </c>
      <c r="F36" s="22">
        <f>IF(Notes!$B$2="June",ROUND('Budget by Source'!F36/10,0)+S36,ROUND('Budget by Source'!F36/10,0))</f>
        <v>10127</v>
      </c>
      <c r="G36" s="22">
        <f>IF(Notes!$B$2="June",ROUND('Budget by Source'!G36/10,0)+T36,ROUND('Budget by Source'!G36/10,0))</f>
        <v>52392</v>
      </c>
      <c r="H36" s="22">
        <f t="shared" si="0"/>
        <v>667370</v>
      </c>
      <c r="I36" s="22">
        <f>INDEX(Data[],MATCH($A36,Data[Dist],0),MATCH(I$5,Data[#Headers],0))</f>
        <v>867690</v>
      </c>
      <c r="K36" s="69">
        <f>INDEX('Payment Total'!$A$7:$H$333,MATCH('Payment by Source'!$A36,'Payment Total'!$A$7:$A$333,0),5)-I36</f>
        <v>0</v>
      </c>
      <c r="P36" s="157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-1</v>
      </c>
      <c r="Q36" s="157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-4</v>
      </c>
      <c r="R36" s="157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-3</v>
      </c>
      <c r="S36" s="157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7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-1</v>
      </c>
      <c r="U36" s="158">
        <f>INDEX('Budget by Source'!$A$6:$I$332,MATCH('Payment by Source'!$A36,'Budget by Source'!$A$6:$A$332,0),MATCH(U$3,'Budget by Source'!$A$5:$I$5,0))</f>
        <v>6697475</v>
      </c>
      <c r="V36" s="155">
        <f t="shared" si="1"/>
        <v>669748</v>
      </c>
      <c r="W36" s="155">
        <f t="shared" si="2"/>
        <v>6697480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82010</v>
      </c>
      <c r="D37" s="22">
        <f>IF(Notes!$B$2="June",ROUND('Budget by Source'!D37/10,0)+Q37,ROUND('Budget by Source'!D37/10,0))</f>
        <v>246053</v>
      </c>
      <c r="E37" s="22">
        <f>IF(Notes!$B$2="June",ROUND('Budget by Source'!E37/10,0)+R37,ROUND('Budget by Source'!E37/10,0))</f>
        <v>28416</v>
      </c>
      <c r="F37" s="22">
        <f>IF(Notes!$B$2="June",ROUND('Budget by Source'!F37/10,0)+S37,ROUND('Budget by Source'!F37/10,0))</f>
        <v>28146</v>
      </c>
      <c r="G37" s="22">
        <f>IF(Notes!$B$2="June",ROUND('Budget by Source'!G37/10,0)+T37,ROUND('Budget by Source'!G37/10,0))</f>
        <v>142185</v>
      </c>
      <c r="H37" s="22">
        <f t="shared" si="0"/>
        <v>1992995</v>
      </c>
      <c r="I37" s="22">
        <f>INDEX(Data[],MATCH($A37,Data[Dist],0),MATCH(I$5,Data[#Headers],0))</f>
        <v>2519805</v>
      </c>
      <c r="K37" s="69">
        <f>INDEX('Payment Total'!$A$7:$H$333,MATCH('Payment by Source'!$A37,'Payment Total'!$A$7:$A$333,0),5)-I37</f>
        <v>0</v>
      </c>
      <c r="P37" s="157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-3</v>
      </c>
      <c r="Q37" s="157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2</v>
      </c>
      <c r="R37" s="157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3</v>
      </c>
      <c r="S37" s="157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-1</v>
      </c>
      <c r="T37" s="157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2</v>
      </c>
      <c r="U37" s="158">
        <f>INDEX('Budget by Source'!$A$6:$I$332,MATCH('Payment by Source'!$A37,'Budget by Source'!$A$6:$A$332,0),MATCH(U$3,'Budget by Source'!$A$5:$I$5,0))</f>
        <v>19994415</v>
      </c>
      <c r="V37" s="155">
        <f t="shared" si="1"/>
        <v>1999442</v>
      </c>
      <c r="W37" s="155">
        <f t="shared" si="2"/>
        <v>19994420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15467</v>
      </c>
      <c r="D38" s="22">
        <f>IF(Notes!$B$2="June",ROUND('Budget by Source'!D38/10,0)+Q38,ROUND('Budget by Source'!D38/10,0))</f>
        <v>55242</v>
      </c>
      <c r="E38" s="22">
        <f>IF(Notes!$B$2="June",ROUND('Budget by Source'!E38/10,0)+R38,ROUND('Budget by Source'!E38/10,0))</f>
        <v>7105</v>
      </c>
      <c r="F38" s="22">
        <f>IF(Notes!$B$2="June",ROUND('Budget by Source'!F38/10,0)+S38,ROUND('Budget by Source'!F38/10,0))</f>
        <v>5870</v>
      </c>
      <c r="G38" s="22">
        <f>IF(Notes!$B$2="June",ROUND('Budget by Source'!G38/10,0)+T38,ROUND('Budget by Source'!G38/10,0))</f>
        <v>30401</v>
      </c>
      <c r="H38" s="22">
        <f t="shared" si="0"/>
        <v>324045</v>
      </c>
      <c r="I38" s="22">
        <f>INDEX(Data[],MATCH($A38,Data[Dist],0),MATCH(I$5,Data[#Headers],0))</f>
        <v>438130</v>
      </c>
      <c r="K38" s="69">
        <f>INDEX('Payment Total'!$A$7:$H$333,MATCH('Payment by Source'!$A38,'Payment Total'!$A$7:$A$333,0),5)-I38</f>
        <v>0</v>
      </c>
      <c r="P38" s="157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-2</v>
      </c>
      <c r="Q38" s="157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7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-2</v>
      </c>
      <c r="S38" s="157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-1</v>
      </c>
      <c r="T38" s="157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-5</v>
      </c>
      <c r="U38" s="158">
        <f>INDEX('Budget by Source'!$A$6:$I$332,MATCH('Payment by Source'!$A38,'Budget by Source'!$A$6:$A$332,0),MATCH(U$3,'Budget by Source'!$A$5:$I$5,0))</f>
        <v>3254258</v>
      </c>
      <c r="V38" s="155">
        <f t="shared" si="1"/>
        <v>325426</v>
      </c>
      <c r="W38" s="155">
        <f t="shared" si="2"/>
        <v>3254260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36689</v>
      </c>
      <c r="D39" s="22">
        <f>IF(Notes!$B$2="June",ROUND('Budget by Source'!D39/10,0)+Q39,ROUND('Budget by Source'!D39/10,0))</f>
        <v>136750</v>
      </c>
      <c r="E39" s="22">
        <f>IF(Notes!$B$2="June",ROUND('Budget by Source'!E39/10,0)+R39,ROUND('Budget by Source'!E39/10,0))</f>
        <v>16604</v>
      </c>
      <c r="F39" s="22">
        <f>IF(Notes!$B$2="June",ROUND('Budget by Source'!F39/10,0)+S39,ROUND('Budget by Source'!F39/10,0))</f>
        <v>14247</v>
      </c>
      <c r="G39" s="22">
        <f>IF(Notes!$B$2="June",ROUND('Budget by Source'!G39/10,0)+T39,ROUND('Budget by Source'!G39/10,0))</f>
        <v>80681</v>
      </c>
      <c r="H39" s="22">
        <f t="shared" si="0"/>
        <v>1340882</v>
      </c>
      <c r="I39" s="22">
        <f>INDEX(Data[],MATCH($A39,Data[Dist],0),MATCH(I$5,Data[#Headers],0))</f>
        <v>1625853</v>
      </c>
      <c r="K39" s="69">
        <f>INDEX('Payment Total'!$A$7:$H$333,MATCH('Payment by Source'!$A39,'Payment Total'!$A$7:$A$333,0),5)-I39</f>
        <v>0</v>
      </c>
      <c r="P39" s="157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-5</v>
      </c>
      <c r="Q39" s="157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7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4</v>
      </c>
      <c r="S39" s="157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-1</v>
      </c>
      <c r="T39" s="157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-5</v>
      </c>
      <c r="U39" s="158">
        <f>INDEX('Budget by Source'!$A$6:$I$332,MATCH('Payment by Source'!$A39,'Budget by Source'!$A$6:$A$332,0),MATCH(U$3,'Budget by Source'!$A$5:$I$5,0))</f>
        <v>13445426</v>
      </c>
      <c r="V39" s="155">
        <f t="shared" si="1"/>
        <v>1344543</v>
      </c>
      <c r="W39" s="155">
        <f t="shared" si="2"/>
        <v>13445430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32372</v>
      </c>
      <c r="D40" s="22">
        <f>IF(Notes!$B$2="June",ROUND('Budget by Source'!D40/10,0)+Q40,ROUND('Budget by Source'!D40/10,0))</f>
        <v>128774</v>
      </c>
      <c r="E40" s="22">
        <f>IF(Notes!$B$2="June",ROUND('Budget by Source'!E40/10,0)+R40,ROUND('Budget by Source'!E40/10,0))</f>
        <v>14777</v>
      </c>
      <c r="F40" s="22">
        <f>IF(Notes!$B$2="June",ROUND('Budget by Source'!F40/10,0)+S40,ROUND('Budget by Source'!F40/10,0))</f>
        <v>15990</v>
      </c>
      <c r="G40" s="22">
        <f>IF(Notes!$B$2="June",ROUND('Budget by Source'!G40/10,0)+T40,ROUND('Budget by Source'!G40/10,0))</f>
        <v>71410</v>
      </c>
      <c r="H40" s="22">
        <f t="shared" si="0"/>
        <v>1224537</v>
      </c>
      <c r="I40" s="22">
        <f>INDEX(Data[],MATCH($A40,Data[Dist],0),MATCH(I$5,Data[#Headers],0))</f>
        <v>1487860</v>
      </c>
      <c r="K40" s="69">
        <f>INDEX('Payment Total'!$A$7:$H$333,MATCH('Payment by Source'!$A40,'Payment Total'!$A$7:$A$333,0),5)-I40</f>
        <v>0</v>
      </c>
      <c r="P40" s="157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2</v>
      </c>
      <c r="Q40" s="157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-4</v>
      </c>
      <c r="R40" s="157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-3</v>
      </c>
      <c r="S40" s="157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-4</v>
      </c>
      <c r="T40" s="157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-4</v>
      </c>
      <c r="U40" s="158">
        <f>INDEX('Budget by Source'!$A$6:$I$332,MATCH('Payment by Source'!$A40,'Budget by Source'!$A$6:$A$332,0),MATCH(U$3,'Budget by Source'!$A$5:$I$5,0))</f>
        <v>12277386</v>
      </c>
      <c r="V40" s="155">
        <f t="shared" si="1"/>
        <v>1227739</v>
      </c>
      <c r="W40" s="155">
        <f t="shared" si="2"/>
        <v>12277390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22661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298647</v>
      </c>
      <c r="I41" s="22">
        <f>INDEX(Data[],MATCH($A41,Data[Dist],0),MATCH(I$5,Data[#Headers],0))</f>
        <v>387434</v>
      </c>
      <c r="K41" s="69">
        <f>INDEX('Payment Total'!$A$7:$H$333,MATCH('Payment by Source'!$A41,'Payment Total'!$A$7:$A$333,0),5)-I41</f>
        <v>0</v>
      </c>
      <c r="P41" s="157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-4</v>
      </c>
      <c r="Q41" s="157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7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7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7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8">
        <f>INDEX('Budget by Source'!$A$6:$I$332,MATCH('Payment by Source'!$A41,'Budget by Source'!$A$6:$A$332,0),MATCH(U$3,'Budget by Source'!$A$5:$I$5,0))</f>
        <v>2995886</v>
      </c>
      <c r="V41" s="155">
        <f t="shared" si="1"/>
        <v>299589</v>
      </c>
      <c r="W41" s="155">
        <f t="shared" si="2"/>
        <v>2995890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14747</v>
      </c>
      <c r="D42" s="22">
        <f>IF(Notes!$B$2="June",ROUND('Budget by Source'!D42/10,0)+Q42,ROUND('Budget by Source'!D42/10,0))</f>
        <v>35418</v>
      </c>
      <c r="E42" s="22">
        <f>IF(Notes!$B$2="June",ROUND('Budget by Source'!E42/10,0)+R42,ROUND('Budget by Source'!E42/10,0))</f>
        <v>4095</v>
      </c>
      <c r="F42" s="22">
        <f>IF(Notes!$B$2="June",ROUND('Budget by Source'!F42/10,0)+S42,ROUND('Budget by Source'!F42/10,0))</f>
        <v>3659</v>
      </c>
      <c r="G42" s="22">
        <f>IF(Notes!$B$2="June",ROUND('Budget by Source'!G42/10,0)+T42,ROUND('Budget by Source'!G42/10,0))</f>
        <v>19771</v>
      </c>
      <c r="H42" s="22">
        <f t="shared" si="0"/>
        <v>225569</v>
      </c>
      <c r="I42" s="22">
        <f>INDEX(Data[],MATCH($A42,Data[Dist],0),MATCH(I$5,Data[#Headers],0))</f>
        <v>303259</v>
      </c>
      <c r="K42" s="69">
        <f>INDEX('Payment Total'!$A$7:$H$333,MATCH('Payment by Source'!$A42,'Payment Total'!$A$7:$A$333,0),5)-I42</f>
        <v>0</v>
      </c>
      <c r="P42" s="157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4</v>
      </c>
      <c r="Q42" s="157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-4</v>
      </c>
      <c r="R42" s="157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-5</v>
      </c>
      <c r="S42" s="157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-1</v>
      </c>
      <c r="T42" s="157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3</v>
      </c>
      <c r="U42" s="158">
        <f>INDEX('Budget by Source'!$A$6:$I$332,MATCH('Payment by Source'!$A42,'Budget by Source'!$A$6:$A$332,0),MATCH(U$3,'Budget by Source'!$A$5:$I$5,0))</f>
        <v>2264660</v>
      </c>
      <c r="V42" s="155">
        <f t="shared" si="1"/>
        <v>226466</v>
      </c>
      <c r="W42" s="155">
        <f t="shared" si="2"/>
        <v>2264660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13309</v>
      </c>
      <c r="D43" s="22">
        <f>IF(Notes!$B$2="June",ROUND('Budget by Source'!D43/10,0)+Q43,ROUND('Budget by Source'!D43/10,0))</f>
        <v>34855</v>
      </c>
      <c r="E43" s="22">
        <f>IF(Notes!$B$2="June",ROUND('Budget by Source'!E43/10,0)+R43,ROUND('Budget by Source'!E43/10,0))</f>
        <v>3781</v>
      </c>
      <c r="F43" s="22">
        <f>IF(Notes!$B$2="June",ROUND('Budget by Source'!F43/10,0)+S43,ROUND('Budget by Source'!F43/10,0))</f>
        <v>3539</v>
      </c>
      <c r="G43" s="22">
        <f>IF(Notes!$B$2="June",ROUND('Budget by Source'!G43/10,0)+T43,ROUND('Budget by Source'!G43/10,0))</f>
        <v>18735</v>
      </c>
      <c r="H43" s="22">
        <f t="shared" si="0"/>
        <v>257222</v>
      </c>
      <c r="I43" s="22">
        <f>INDEX(Data[],MATCH($A43,Data[Dist],0),MATCH(I$5,Data[#Headers],0))</f>
        <v>331441</v>
      </c>
      <c r="K43" s="69">
        <f>INDEX('Payment Total'!$A$7:$H$333,MATCH('Payment by Source'!$A43,'Payment Total'!$A$7:$A$333,0),5)-I43</f>
        <v>0</v>
      </c>
      <c r="P43" s="157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-4</v>
      </c>
      <c r="Q43" s="157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-1</v>
      </c>
      <c r="R43" s="157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-5</v>
      </c>
      <c r="S43" s="157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-5</v>
      </c>
      <c r="T43" s="157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-4</v>
      </c>
      <c r="U43" s="158">
        <f>INDEX('Budget by Source'!$A$6:$I$332,MATCH('Payment by Source'!$A43,'Budget by Source'!$A$6:$A$332,0),MATCH(U$3,'Budget by Source'!$A$5:$I$5,0))</f>
        <v>2580735</v>
      </c>
      <c r="V43" s="155">
        <f t="shared" si="1"/>
        <v>258074</v>
      </c>
      <c r="W43" s="155">
        <f t="shared" si="2"/>
        <v>2580740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10791</v>
      </c>
      <c r="D44" s="22">
        <f>IF(Notes!$B$2="June",ROUND('Budget by Source'!D44/10,0)+Q44,ROUND('Budget by Source'!D44/10,0))</f>
        <v>28627</v>
      </c>
      <c r="E44" s="22">
        <f>IF(Notes!$B$2="June",ROUND('Budget by Source'!E44/10,0)+R44,ROUND('Budget by Source'!E44/10,0))</f>
        <v>2978</v>
      </c>
      <c r="F44" s="22">
        <f>IF(Notes!$B$2="June",ROUND('Budget by Source'!F44/10,0)+S44,ROUND('Budget by Source'!F44/10,0))</f>
        <v>3124</v>
      </c>
      <c r="G44" s="22">
        <f>IF(Notes!$B$2="June",ROUND('Budget by Source'!G44/10,0)+T44,ROUND('Budget by Source'!G44/10,0))</f>
        <v>15176</v>
      </c>
      <c r="H44" s="22">
        <f t="shared" si="0"/>
        <v>114252</v>
      </c>
      <c r="I44" s="22">
        <f>INDEX(Data[],MATCH($A44,Data[Dist],0),MATCH(I$5,Data[#Headers],0))</f>
        <v>174948</v>
      </c>
      <c r="K44" s="69">
        <f>INDEX('Payment Total'!$A$7:$H$333,MATCH('Payment by Source'!$A44,'Payment Total'!$A$7:$A$333,0),5)-I44</f>
        <v>0</v>
      </c>
      <c r="P44" s="157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7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-2</v>
      </c>
      <c r="R44" s="157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-5</v>
      </c>
      <c r="S44" s="157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0</v>
      </c>
      <c r="T44" s="157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4</v>
      </c>
      <c r="U44" s="158">
        <f>INDEX('Budget by Source'!$A$6:$I$332,MATCH('Payment by Source'!$A44,'Budget by Source'!$A$6:$A$332,0),MATCH(U$3,'Budget by Source'!$A$5:$I$5,0))</f>
        <v>1149097</v>
      </c>
      <c r="V44" s="155">
        <f t="shared" si="1"/>
        <v>114910</v>
      </c>
      <c r="W44" s="155">
        <f t="shared" si="2"/>
        <v>1149100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41005</v>
      </c>
      <c r="D45" s="22">
        <f>IF(Notes!$B$2="June",ROUND('Budget by Source'!D45/10,0)+Q45,ROUND('Budget by Source'!D45/10,0))</f>
        <v>243404</v>
      </c>
      <c r="E45" s="22">
        <f>IF(Notes!$B$2="June",ROUND('Budget by Source'!E45/10,0)+R45,ROUND('Budget by Source'!E45/10,0))</f>
        <v>33212</v>
      </c>
      <c r="F45" s="22">
        <f>IF(Notes!$B$2="June",ROUND('Budget by Source'!F45/10,0)+S45,ROUND('Budget by Source'!F45/10,0))</f>
        <v>26789</v>
      </c>
      <c r="G45" s="22">
        <f>IF(Notes!$B$2="June",ROUND('Budget by Source'!G45/10,0)+T45,ROUND('Budget by Source'!G45/10,0))</f>
        <v>139274</v>
      </c>
      <c r="H45" s="22">
        <f t="shared" si="0"/>
        <v>2476699</v>
      </c>
      <c r="I45" s="22">
        <f>INDEX(Data[],MATCH($A45,Data[Dist],0),MATCH(I$5,Data[#Headers],0))</f>
        <v>2960383</v>
      </c>
      <c r="K45" s="69">
        <f>INDEX('Payment Total'!$A$7:$H$333,MATCH('Payment by Source'!$A45,'Payment Total'!$A$7:$A$333,0),5)-I45</f>
        <v>0</v>
      </c>
      <c r="P45" s="157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-2</v>
      </c>
      <c r="Q45" s="157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-3</v>
      </c>
      <c r="R45" s="157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-2</v>
      </c>
      <c r="S45" s="157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3</v>
      </c>
      <c r="T45" s="157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0</v>
      </c>
      <c r="U45" s="158">
        <f>INDEX('Budget by Source'!$A$6:$I$332,MATCH('Payment by Source'!$A45,'Budget by Source'!$A$6:$A$332,0),MATCH(U$3,'Budget by Source'!$A$5:$I$5,0))</f>
        <v>24828956</v>
      </c>
      <c r="V45" s="155">
        <f t="shared" si="1"/>
        <v>2482896</v>
      </c>
      <c r="W45" s="155">
        <f t="shared" si="2"/>
        <v>24828960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10071</v>
      </c>
      <c r="D46" s="22">
        <f>IF(Notes!$B$2="June",ROUND('Budget by Source'!D46/10,0)+Q46,ROUND('Budget by Source'!D46/10,0))</f>
        <v>33125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115776</v>
      </c>
      <c r="I46" s="22">
        <f>INDEX(Data[],MATCH($A46,Data[Dist],0),MATCH(I$5,Data[#Headers],0))</f>
        <v>183031</v>
      </c>
      <c r="K46" s="69">
        <f>INDEX('Payment Total'!$A$7:$H$333,MATCH('Payment by Source'!$A46,'Payment Total'!$A$7:$A$333,0),5)-I46</f>
        <v>0</v>
      </c>
      <c r="P46" s="157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4</v>
      </c>
      <c r="Q46" s="157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7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7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7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8">
        <f>INDEX('Budget by Source'!$A$6:$I$332,MATCH('Payment by Source'!$A46,'Budget by Source'!$A$6:$A$332,0),MATCH(U$3,'Budget by Source'!$A$5:$I$5,0))</f>
        <v>1165582</v>
      </c>
      <c r="V46" s="155">
        <f t="shared" si="1"/>
        <v>116558</v>
      </c>
      <c r="W46" s="155">
        <f t="shared" si="2"/>
        <v>1165580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6474</v>
      </c>
      <c r="D47" s="22">
        <f>IF(Notes!$B$2="June",ROUND('Budget by Source'!D47/10,0)+Q47,ROUND('Budget by Source'!D47/10,0))</f>
        <v>17318</v>
      </c>
      <c r="E47" s="22">
        <f>IF(Notes!$B$2="June",ROUND('Budget by Source'!E47/10,0)+R47,ROUND('Budget by Source'!E47/10,0))</f>
        <v>1965</v>
      </c>
      <c r="F47" s="22">
        <f>IF(Notes!$B$2="June",ROUND('Budget by Source'!F47/10,0)+S47,ROUND('Budget by Source'!F47/10,0))</f>
        <v>1911</v>
      </c>
      <c r="G47" s="22">
        <f>IF(Notes!$B$2="June",ROUND('Budget by Source'!G47/10,0)+T47,ROUND('Budget by Source'!G47/10,0))</f>
        <v>8685</v>
      </c>
      <c r="H47" s="22">
        <f t="shared" si="0"/>
        <v>114261</v>
      </c>
      <c r="I47" s="22">
        <f>INDEX(Data[],MATCH($A47,Data[Dist],0),MATCH(I$5,Data[#Headers],0))</f>
        <v>150614</v>
      </c>
      <c r="K47" s="69">
        <f>INDEX('Payment Total'!$A$7:$H$333,MATCH('Payment by Source'!$A47,'Payment Total'!$A$7:$A$333,0),5)-I47</f>
        <v>0</v>
      </c>
      <c r="P47" s="157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4</v>
      </c>
      <c r="Q47" s="157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0</v>
      </c>
      <c r="R47" s="157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-2</v>
      </c>
      <c r="S47" s="157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-2</v>
      </c>
      <c r="T47" s="157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-1</v>
      </c>
      <c r="U47" s="158">
        <f>INDEX('Budget by Source'!$A$6:$I$332,MATCH('Payment by Source'!$A47,'Budget by Source'!$A$6:$A$332,0),MATCH(U$3,'Budget by Source'!$A$5:$I$5,0))</f>
        <v>1146547</v>
      </c>
      <c r="V47" s="155">
        <f t="shared" si="1"/>
        <v>114655</v>
      </c>
      <c r="W47" s="155">
        <f t="shared" si="2"/>
        <v>1146550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10071</v>
      </c>
      <c r="D48" s="22">
        <f>IF(Notes!$B$2="June",ROUND('Budget by Source'!D48/10,0)+Q48,ROUND('Budget by Source'!D48/10,0))</f>
        <v>27267</v>
      </c>
      <c r="E48" s="22">
        <f>IF(Notes!$B$2="June",ROUND('Budget by Source'!E48/10,0)+R48,ROUND('Budget by Source'!E48/10,0))</f>
        <v>3142</v>
      </c>
      <c r="F48" s="22">
        <f>IF(Notes!$B$2="June",ROUND('Budget by Source'!F48/10,0)+S48,ROUND('Budget by Source'!F48/10,0))</f>
        <v>2985</v>
      </c>
      <c r="G48" s="22">
        <f>IF(Notes!$B$2="June",ROUND('Budget by Source'!G48/10,0)+T48,ROUND('Budget by Source'!G48/10,0))</f>
        <v>13942</v>
      </c>
      <c r="H48" s="22">
        <f t="shared" si="0"/>
        <v>181340</v>
      </c>
      <c r="I48" s="22">
        <f>INDEX(Data[],MATCH($A48,Data[Dist],0),MATCH(I$5,Data[#Headers],0))</f>
        <v>238747</v>
      </c>
      <c r="K48" s="69">
        <f>INDEX('Payment Total'!$A$7:$H$333,MATCH('Payment by Source'!$A48,'Payment Total'!$A$7:$A$333,0),5)-I48</f>
        <v>0</v>
      </c>
      <c r="P48" s="157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4</v>
      </c>
      <c r="Q48" s="157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-2</v>
      </c>
      <c r="R48" s="157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-1</v>
      </c>
      <c r="S48" s="157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3</v>
      </c>
      <c r="T48" s="157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4</v>
      </c>
      <c r="U48" s="158">
        <f>INDEX('Budget by Source'!$A$6:$I$332,MATCH('Payment by Source'!$A48,'Budget by Source'!$A$6:$A$332,0),MATCH(U$3,'Budget by Source'!$A$5:$I$5,0))</f>
        <v>1819596</v>
      </c>
      <c r="V48" s="155">
        <f t="shared" si="1"/>
        <v>181960</v>
      </c>
      <c r="W48" s="155">
        <f t="shared" si="2"/>
        <v>1819600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16546</v>
      </c>
      <c r="D49" s="22">
        <f>IF(Notes!$B$2="June",ROUND('Budget by Source'!D49/10,0)+Q49,ROUND('Budget by Source'!D49/10,0))</f>
        <v>51419</v>
      </c>
      <c r="E49" s="22">
        <f>IF(Notes!$B$2="June",ROUND('Budget by Source'!E49/10,0)+R49,ROUND('Budget by Source'!E49/10,0))</f>
        <v>6405</v>
      </c>
      <c r="F49" s="22">
        <f>IF(Notes!$B$2="June",ROUND('Budget by Source'!F49/10,0)+S49,ROUND('Budget by Source'!F49/10,0))</f>
        <v>5413</v>
      </c>
      <c r="G49" s="22">
        <f>IF(Notes!$B$2="June",ROUND('Budget by Source'!G49/10,0)+T49,ROUND('Budget by Source'!G49/10,0))</f>
        <v>28362</v>
      </c>
      <c r="H49" s="22">
        <f t="shared" si="0"/>
        <v>380530</v>
      </c>
      <c r="I49" s="22">
        <f>INDEX(Data[],MATCH($A49,Data[Dist],0),MATCH(I$5,Data[#Headers],0))</f>
        <v>488675</v>
      </c>
      <c r="K49" s="69">
        <f>INDEX('Payment Total'!$A$7:$H$333,MATCH('Payment by Source'!$A49,'Payment Total'!$A$7:$A$333,0),5)-I49</f>
        <v>0</v>
      </c>
      <c r="P49" s="157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-2</v>
      </c>
      <c r="Q49" s="157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3</v>
      </c>
      <c r="R49" s="157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-3</v>
      </c>
      <c r="S49" s="157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-4</v>
      </c>
      <c r="T49" s="157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0</v>
      </c>
      <c r="U49" s="158">
        <f>INDEX('Budget by Source'!$A$6:$I$332,MATCH('Payment by Source'!$A49,'Budget by Source'!$A$6:$A$332,0),MATCH(U$3,'Budget by Source'!$A$5:$I$5,0))</f>
        <v>3818160</v>
      </c>
      <c r="V49" s="155">
        <f t="shared" si="1"/>
        <v>381816</v>
      </c>
      <c r="W49" s="155">
        <f t="shared" si="2"/>
        <v>3818160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21941</v>
      </c>
      <c r="D50" s="22">
        <f>IF(Notes!$B$2="June",ROUND('Budget by Source'!D50/10,0)+Q50,ROUND('Budget by Source'!D50/10,0))</f>
        <v>38367</v>
      </c>
      <c r="E50" s="22">
        <f>IF(Notes!$B$2="June",ROUND('Budget by Source'!E50/10,0)+R50,ROUND('Budget by Source'!E50/10,0))</f>
        <v>4767</v>
      </c>
      <c r="F50" s="22">
        <f>IF(Notes!$B$2="June",ROUND('Budget by Source'!F50/10,0)+S50,ROUND('Budget by Source'!F50/10,0))</f>
        <v>3623</v>
      </c>
      <c r="G50" s="22">
        <f>IF(Notes!$B$2="June",ROUND('Budget by Source'!G50/10,0)+T50,ROUND('Budget by Source'!G50/10,0))</f>
        <v>20630</v>
      </c>
      <c r="H50" s="22">
        <f t="shared" si="0"/>
        <v>361590</v>
      </c>
      <c r="I50" s="22">
        <f>INDEX(Data[],MATCH($A50,Data[Dist],0),MATCH(I$5,Data[#Headers],0))</f>
        <v>450918</v>
      </c>
      <c r="K50" s="69">
        <f>INDEX('Payment Total'!$A$7:$H$333,MATCH('Payment by Source'!$A50,'Payment Total'!$A$7:$A$333,0),5)-I50</f>
        <v>0</v>
      </c>
      <c r="P50" s="157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2</v>
      </c>
      <c r="Q50" s="157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-5</v>
      </c>
      <c r="R50" s="157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0</v>
      </c>
      <c r="S50" s="157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-2</v>
      </c>
      <c r="T50" s="157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0</v>
      </c>
      <c r="U50" s="158">
        <f>INDEX('Budget by Source'!$A$6:$I$332,MATCH('Payment by Source'!$A50,'Budget by Source'!$A$6:$A$332,0),MATCH(U$3,'Budget by Source'!$A$5:$I$5,0))</f>
        <v>3632933</v>
      </c>
      <c r="V50" s="155">
        <f t="shared" si="1"/>
        <v>363293</v>
      </c>
      <c r="W50" s="155">
        <f t="shared" si="2"/>
        <v>3632930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37408</v>
      </c>
      <c r="D51" s="22">
        <f>IF(Notes!$B$2="June",ROUND('Budget by Source'!D51/10,0)+Q51,ROUND('Budget by Source'!D51/10,0))</f>
        <v>117671</v>
      </c>
      <c r="E51" s="22">
        <f>IF(Notes!$B$2="June",ROUND('Budget by Source'!E51/10,0)+R51,ROUND('Budget by Source'!E51/10,0))</f>
        <v>14356</v>
      </c>
      <c r="F51" s="22">
        <f>IF(Notes!$B$2="June",ROUND('Budget by Source'!F51/10,0)+S51,ROUND('Budget by Source'!F51/10,0))</f>
        <v>12105</v>
      </c>
      <c r="G51" s="22">
        <f>IF(Notes!$B$2="June",ROUND('Budget by Source'!G51/10,0)+T51,ROUND('Budget by Source'!G51/10,0))</f>
        <v>68152</v>
      </c>
      <c r="H51" s="22">
        <f t="shared" si="0"/>
        <v>1215098</v>
      </c>
      <c r="I51" s="22">
        <f>INDEX(Data[],MATCH($A51,Data[Dist],0),MATCH(I$5,Data[#Headers],0))</f>
        <v>1464790</v>
      </c>
      <c r="K51" s="69">
        <f>INDEX('Payment Total'!$A$7:$H$333,MATCH('Payment by Source'!$A51,'Payment Total'!$A$7:$A$333,0),5)-I51</f>
        <v>0</v>
      </c>
      <c r="P51" s="157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-1</v>
      </c>
      <c r="Q51" s="157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1</v>
      </c>
      <c r="R51" s="157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0</v>
      </c>
      <c r="S51" s="157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-1</v>
      </c>
      <c r="T51" s="157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4</v>
      </c>
      <c r="U51" s="158">
        <f>INDEX('Budget by Source'!$A$6:$I$332,MATCH('Payment by Source'!$A51,'Budget by Source'!$A$6:$A$332,0),MATCH(U$3,'Budget by Source'!$A$5:$I$5,0))</f>
        <v>12181891</v>
      </c>
      <c r="V51" s="155">
        <f t="shared" si="1"/>
        <v>1218189</v>
      </c>
      <c r="W51" s="155">
        <f t="shared" si="2"/>
        <v>12181890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60428</v>
      </c>
      <c r="D52" s="22">
        <f>IF(Notes!$B$2="June",ROUND('Budget by Source'!D52/10,0)+Q52,ROUND('Budget by Source'!D52/10,0))</f>
        <v>102800</v>
      </c>
      <c r="E52" s="22">
        <f>IF(Notes!$B$2="June",ROUND('Budget by Source'!E52/10,0)+R52,ROUND('Budget by Source'!E52/10,0))</f>
        <v>11963</v>
      </c>
      <c r="F52" s="22">
        <f>IF(Notes!$B$2="June",ROUND('Budget by Source'!F52/10,0)+S52,ROUND('Budget by Source'!F52/10,0))</f>
        <v>11815</v>
      </c>
      <c r="G52" s="22">
        <f>IF(Notes!$B$2="June",ROUND('Budget by Source'!G52/10,0)+T52,ROUND('Budget by Source'!G52/10,0))</f>
        <v>59590</v>
      </c>
      <c r="H52" s="22">
        <f t="shared" si="0"/>
        <v>668910</v>
      </c>
      <c r="I52" s="22">
        <f>INDEX(Data[],MATCH($A52,Data[Dist],0),MATCH(I$5,Data[#Headers],0))</f>
        <v>915506</v>
      </c>
      <c r="K52" s="69">
        <f>INDEX('Payment Total'!$A$7:$H$333,MATCH('Payment by Source'!$A52,'Payment Total'!$A$7:$A$333,0),5)-I52</f>
        <v>0</v>
      </c>
      <c r="P52" s="157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2</v>
      </c>
      <c r="Q52" s="157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-1</v>
      </c>
      <c r="R52" s="157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4</v>
      </c>
      <c r="S52" s="157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-2</v>
      </c>
      <c r="T52" s="157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-3</v>
      </c>
      <c r="U52" s="158">
        <f>INDEX('Budget by Source'!$A$6:$I$332,MATCH('Payment by Source'!$A52,'Budget by Source'!$A$6:$A$332,0),MATCH(U$3,'Budget by Source'!$A$5:$I$5,0))</f>
        <v>6716139</v>
      </c>
      <c r="V52" s="155">
        <f t="shared" si="1"/>
        <v>671614</v>
      </c>
      <c r="W52" s="155">
        <f t="shared" si="2"/>
        <v>6716140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61507</v>
      </c>
      <c r="D53" s="22">
        <f>IF(Notes!$B$2="June",ROUND('Budget by Source'!D53/10,0)+Q53,ROUND('Budget by Source'!D53/10,0))</f>
        <v>332213</v>
      </c>
      <c r="E53" s="22">
        <f>IF(Notes!$B$2="June",ROUND('Budget by Source'!E53/10,0)+R53,ROUND('Budget by Source'!E53/10,0))</f>
        <v>39472</v>
      </c>
      <c r="F53" s="22">
        <f>IF(Notes!$B$2="June",ROUND('Budget by Source'!F53/10,0)+S53,ROUND('Budget by Source'!F53/10,0))</f>
        <v>39324</v>
      </c>
      <c r="G53" s="22">
        <f>IF(Notes!$B$2="June",ROUND('Budget by Source'!G53/10,0)+T53,ROUND('Budget by Source'!G53/10,0))</f>
        <v>190467</v>
      </c>
      <c r="H53" s="22">
        <f t="shared" si="0"/>
        <v>2791577</v>
      </c>
      <c r="I53" s="22">
        <f>INDEX(Data[],MATCH($A53,Data[Dist],0),MATCH(I$5,Data[#Headers],0))</f>
        <v>3454560</v>
      </c>
      <c r="K53" s="69">
        <f>INDEX('Payment Total'!$A$7:$H$333,MATCH('Payment by Source'!$A53,'Payment Total'!$A$7:$A$333,0),5)-I53</f>
        <v>0</v>
      </c>
      <c r="P53" s="157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3</v>
      </c>
      <c r="Q53" s="157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-1</v>
      </c>
      <c r="R53" s="157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-4</v>
      </c>
      <c r="S53" s="157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7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-4</v>
      </c>
      <c r="U53" s="158">
        <f>INDEX('Budget by Source'!$A$6:$I$332,MATCH('Payment by Source'!$A53,'Budget by Source'!$A$6:$A$332,0),MATCH(U$3,'Budget by Source'!$A$5:$I$5,0))</f>
        <v>28002178</v>
      </c>
      <c r="V53" s="155">
        <f t="shared" si="1"/>
        <v>2800218</v>
      </c>
      <c r="W53" s="155">
        <f t="shared" si="2"/>
        <v>28002180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242799</v>
      </c>
      <c r="D54" s="22">
        <f>IF(Notes!$B$2="June",ROUND('Budget by Source'!D54/10,0)+Q54,ROUND('Budget by Source'!D54/10,0))</f>
        <v>1001872</v>
      </c>
      <c r="E54" s="22">
        <f>IF(Notes!$B$2="June",ROUND('Budget by Source'!E54/10,0)+R54,ROUND('Budget by Source'!E54/10,0))</f>
        <v>128746</v>
      </c>
      <c r="F54" s="22">
        <f>IF(Notes!$B$2="June",ROUND('Budget by Source'!F54/10,0)+S54,ROUND('Budget by Source'!F54/10,0))</f>
        <v>117977</v>
      </c>
      <c r="G54" s="22">
        <f>IF(Notes!$B$2="June",ROUND('Budget by Source'!G54/10,0)+T54,ROUND('Budget by Source'!G54/10,0))</f>
        <v>574451</v>
      </c>
      <c r="H54" s="22">
        <f t="shared" si="0"/>
        <v>8699916</v>
      </c>
      <c r="I54" s="22">
        <f>INDEX(Data[],MATCH($A54,Data[Dist],0),MATCH(I$5,Data[#Headers],0))</f>
        <v>10765761</v>
      </c>
      <c r="K54" s="69">
        <f>INDEX('Payment Total'!$A$7:$H$333,MATCH('Payment by Source'!$A54,'Payment Total'!$A$7:$A$333,0),5)-I54</f>
        <v>0</v>
      </c>
      <c r="P54" s="157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7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2</v>
      </c>
      <c r="R54" s="157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7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4</v>
      </c>
      <c r="T54" s="157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-2</v>
      </c>
      <c r="U54" s="158">
        <f>INDEX('Budget by Source'!$A$6:$I$332,MATCH('Payment by Source'!$A54,'Budget by Source'!$A$6:$A$332,0),MATCH(U$3,'Budget by Source'!$A$5:$I$5,0))</f>
        <v>87256280</v>
      </c>
      <c r="V54" s="155">
        <f t="shared" si="1"/>
        <v>8725628</v>
      </c>
      <c r="W54" s="155">
        <f t="shared" si="2"/>
        <v>87256280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30934</v>
      </c>
      <c r="D55" s="22">
        <f>IF(Notes!$B$2="June",ROUND('Budget by Source'!D55/10,0)+Q55,ROUND('Budget by Source'!D55/10,0))</f>
        <v>80820</v>
      </c>
      <c r="E55" s="22">
        <f>IF(Notes!$B$2="June",ROUND('Budget by Source'!E55/10,0)+R55,ROUND('Budget by Source'!E55/10,0))</f>
        <v>9277</v>
      </c>
      <c r="F55" s="22">
        <f>IF(Notes!$B$2="June",ROUND('Budget by Source'!F55/10,0)+S55,ROUND('Budget by Source'!F55/10,0))</f>
        <v>8974</v>
      </c>
      <c r="G55" s="22">
        <f>IF(Notes!$B$2="June",ROUND('Budget by Source'!G55/10,0)+T55,ROUND('Budget by Source'!G55/10,0))</f>
        <v>45904</v>
      </c>
      <c r="H55" s="22">
        <f t="shared" si="0"/>
        <v>759056</v>
      </c>
      <c r="I55" s="22">
        <f>INDEX(Data[],MATCH($A55,Data[Dist],0),MATCH(I$5,Data[#Headers],0))</f>
        <v>934965</v>
      </c>
      <c r="K55" s="69">
        <f>INDEX('Payment Total'!$A$7:$H$333,MATCH('Payment by Source'!$A55,'Payment Total'!$A$7:$A$333,0),5)-I55</f>
        <v>0</v>
      </c>
      <c r="P55" s="157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-5</v>
      </c>
      <c r="Q55" s="157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2</v>
      </c>
      <c r="R55" s="157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-3</v>
      </c>
      <c r="S55" s="157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-3</v>
      </c>
      <c r="T55" s="157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2</v>
      </c>
      <c r="U55" s="158">
        <f>INDEX('Budget by Source'!$A$6:$I$332,MATCH('Payment by Source'!$A55,'Budget by Source'!$A$6:$A$332,0),MATCH(U$3,'Budget by Source'!$A$5:$I$5,0))</f>
        <v>7610852</v>
      </c>
      <c r="V55" s="155">
        <f t="shared" si="1"/>
        <v>761085</v>
      </c>
      <c r="W55" s="155">
        <f t="shared" si="2"/>
        <v>7610850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21941</v>
      </c>
      <c r="D56" s="22">
        <f>IF(Notes!$B$2="June",ROUND('Budget by Source'!D56/10,0)+Q56,ROUND('Budget by Source'!D56/10,0))</f>
        <v>83919</v>
      </c>
      <c r="E56" s="22">
        <f>IF(Notes!$B$2="June",ROUND('Budget by Source'!E56/10,0)+R56,ROUND('Budget by Source'!E56/10,0))</f>
        <v>10182</v>
      </c>
      <c r="F56" s="22">
        <f>IF(Notes!$B$2="June",ROUND('Budget by Source'!F56/10,0)+S56,ROUND('Budget by Source'!F56/10,0))</f>
        <v>9614</v>
      </c>
      <c r="G56" s="22">
        <f>IF(Notes!$B$2="June",ROUND('Budget by Source'!G56/10,0)+T56,ROUND('Budget by Source'!G56/10,0))</f>
        <v>47208</v>
      </c>
      <c r="H56" s="22">
        <f t="shared" si="0"/>
        <v>854812</v>
      </c>
      <c r="I56" s="22">
        <f>INDEX(Data[],MATCH($A56,Data[Dist],0),MATCH(I$5,Data[#Headers],0))</f>
        <v>1027676</v>
      </c>
      <c r="K56" s="69">
        <f>INDEX('Payment Total'!$A$7:$H$333,MATCH('Payment by Source'!$A56,'Payment Total'!$A$7:$A$333,0),5)-I56</f>
        <v>0</v>
      </c>
      <c r="P56" s="157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2</v>
      </c>
      <c r="Q56" s="157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7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2</v>
      </c>
      <c r="S56" s="157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2</v>
      </c>
      <c r="T56" s="157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2</v>
      </c>
      <c r="U56" s="158">
        <f>INDEX('Budget by Source'!$A$6:$I$332,MATCH('Payment by Source'!$A56,'Budget by Source'!$A$6:$A$332,0),MATCH(U$3,'Budget by Source'!$A$5:$I$5,0))</f>
        <v>8569532</v>
      </c>
      <c r="V56" s="155">
        <f t="shared" si="1"/>
        <v>856953</v>
      </c>
      <c r="W56" s="155">
        <f t="shared" si="2"/>
        <v>8569530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23020</v>
      </c>
      <c r="D57" s="22">
        <f>IF(Notes!$B$2="June",ROUND('Budget by Source'!D57/10,0)+Q57,ROUND('Budget by Source'!D57/10,0))</f>
        <v>49902</v>
      </c>
      <c r="E57" s="22">
        <f>IF(Notes!$B$2="June",ROUND('Budget by Source'!E57/10,0)+R57,ROUND('Budget by Source'!E57/10,0))</f>
        <v>5497</v>
      </c>
      <c r="F57" s="22">
        <f>IF(Notes!$B$2="June",ROUND('Budget by Source'!F57/10,0)+S57,ROUND('Budget by Source'!F57/10,0))</f>
        <v>6358</v>
      </c>
      <c r="G57" s="22">
        <f>IF(Notes!$B$2="June",ROUND('Budget by Source'!G57/10,0)+T57,ROUND('Budget by Source'!G57/10,0))</f>
        <v>26913</v>
      </c>
      <c r="H57" s="22">
        <f t="shared" si="0"/>
        <v>342742</v>
      </c>
      <c r="I57" s="22">
        <f>INDEX(Data[],MATCH($A57,Data[Dist],0),MATCH(I$5,Data[#Headers],0))</f>
        <v>454432</v>
      </c>
      <c r="K57" s="69">
        <f>INDEX('Payment Total'!$A$7:$H$333,MATCH('Payment by Source'!$A57,'Payment Total'!$A$7:$A$333,0),5)-I57</f>
        <v>0</v>
      </c>
      <c r="P57" s="157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3</v>
      </c>
      <c r="Q57" s="157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2</v>
      </c>
      <c r="R57" s="157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-5</v>
      </c>
      <c r="S57" s="157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-3</v>
      </c>
      <c r="T57" s="157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8">
        <f>INDEX('Budget by Source'!$A$6:$I$332,MATCH('Payment by Source'!$A57,'Budget by Source'!$A$6:$A$332,0),MATCH(U$3,'Budget by Source'!$A$5:$I$5,0))</f>
        <v>3439628</v>
      </c>
      <c r="V57" s="155">
        <f t="shared" si="1"/>
        <v>343963</v>
      </c>
      <c r="W57" s="155">
        <f t="shared" si="2"/>
        <v>3439630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9712</v>
      </c>
      <c r="D58" s="22">
        <f>IF(Notes!$B$2="June",ROUND('Budget by Source'!D58/10,0)+Q58,ROUND('Budget by Source'!D58/10,0))</f>
        <v>27022</v>
      </c>
      <c r="E58" s="22">
        <f>IF(Notes!$B$2="June",ROUND('Budget by Source'!E58/10,0)+R58,ROUND('Budget by Source'!E58/10,0))</f>
        <v>2797</v>
      </c>
      <c r="F58" s="22">
        <f>IF(Notes!$B$2="June",ROUND('Budget by Source'!F58/10,0)+S58,ROUND('Budget by Source'!F58/10,0))</f>
        <v>2814</v>
      </c>
      <c r="G58" s="22">
        <f>IF(Notes!$B$2="June",ROUND('Budget by Source'!G58/10,0)+T58,ROUND('Budget by Source'!G58/10,0))</f>
        <v>14836</v>
      </c>
      <c r="H58" s="22">
        <f t="shared" si="0"/>
        <v>205058</v>
      </c>
      <c r="I58" s="22">
        <f>INDEX(Data[],MATCH($A58,Data[Dist],0),MATCH(I$5,Data[#Headers],0))</f>
        <v>262239</v>
      </c>
      <c r="K58" s="69">
        <f>INDEX('Payment Total'!$A$7:$H$333,MATCH('Payment by Source'!$A58,'Payment Total'!$A$7:$A$333,0),5)-I58</f>
        <v>0</v>
      </c>
      <c r="P58" s="157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-3</v>
      </c>
      <c r="Q58" s="157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-1</v>
      </c>
      <c r="R58" s="157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4</v>
      </c>
      <c r="S58" s="157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-1</v>
      </c>
      <c r="T58" s="157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-5</v>
      </c>
      <c r="U58" s="158">
        <f>INDEX('Budget by Source'!$A$6:$I$332,MATCH('Payment by Source'!$A58,'Budget by Source'!$A$6:$A$332,0),MATCH(U$3,'Budget by Source'!$A$5:$I$5,0))</f>
        <v>2057312</v>
      </c>
      <c r="V58" s="155">
        <f t="shared" si="1"/>
        <v>205731</v>
      </c>
      <c r="W58" s="155">
        <f t="shared" si="2"/>
        <v>2057310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30574</v>
      </c>
      <c r="D59" s="22">
        <f>IF(Notes!$B$2="June",ROUND('Budget by Source'!D59/10,0)+Q59,ROUND('Budget by Source'!D59/10,0))</f>
        <v>92841</v>
      </c>
      <c r="E59" s="22">
        <f>IF(Notes!$B$2="June",ROUND('Budget by Source'!E59/10,0)+R59,ROUND('Budget by Source'!E59/10,0))</f>
        <v>9626</v>
      </c>
      <c r="F59" s="22">
        <f>IF(Notes!$B$2="June",ROUND('Budget by Source'!F59/10,0)+S59,ROUND('Budget by Source'!F59/10,0))</f>
        <v>10086</v>
      </c>
      <c r="G59" s="22">
        <f>IF(Notes!$B$2="June",ROUND('Budget by Source'!G59/10,0)+T59,ROUND('Budget by Source'!G59/10,0))</f>
        <v>51045</v>
      </c>
      <c r="H59" s="22">
        <f t="shared" si="0"/>
        <v>731580</v>
      </c>
      <c r="I59" s="22">
        <f>INDEX(Data[],MATCH($A59,Data[Dist],0),MATCH(I$5,Data[#Headers],0))</f>
        <v>925752</v>
      </c>
      <c r="K59" s="69">
        <f>INDEX('Payment Total'!$A$7:$H$333,MATCH('Payment by Source'!$A59,'Payment Total'!$A$7:$A$333,0),5)-I59</f>
        <v>0</v>
      </c>
      <c r="P59" s="157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-2</v>
      </c>
      <c r="Q59" s="157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7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3</v>
      </c>
      <c r="S59" s="157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-5</v>
      </c>
      <c r="T59" s="157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-5</v>
      </c>
      <c r="U59" s="158">
        <f>INDEX('Budget by Source'!$A$6:$I$332,MATCH('Payment by Source'!$A59,'Budget by Source'!$A$6:$A$332,0),MATCH(U$3,'Budget by Source'!$A$5:$I$5,0))</f>
        <v>7338959</v>
      </c>
      <c r="V59" s="155">
        <f t="shared" si="1"/>
        <v>733896</v>
      </c>
      <c r="W59" s="155">
        <f t="shared" si="2"/>
        <v>7338960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8633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262849</v>
      </c>
      <c r="I60" s="22">
        <f>INDEX(Data[],MATCH($A60,Data[Dist],0),MATCH(I$5,Data[#Headers],0))</f>
        <v>327013</v>
      </c>
      <c r="K60" s="69">
        <f>INDEX('Payment Total'!$A$7:$H$333,MATCH('Payment by Source'!$A60,'Payment Total'!$A$7:$A$333,0),5)-I60</f>
        <v>0</v>
      </c>
      <c r="P60" s="157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-4</v>
      </c>
      <c r="Q60" s="157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7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7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7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8">
        <f>INDEX('Budget by Source'!$A$6:$I$332,MATCH('Payment by Source'!$A60,'Budget by Source'!$A$6:$A$332,0),MATCH(U$3,'Budget by Source'!$A$5:$I$5,0))</f>
        <v>2636117</v>
      </c>
      <c r="V60" s="155">
        <f t="shared" si="1"/>
        <v>263612</v>
      </c>
      <c r="W60" s="155">
        <f t="shared" si="2"/>
        <v>2636120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11151</v>
      </c>
      <c r="D61" s="22">
        <f>IF(Notes!$B$2="June",ROUND('Budget by Source'!D61/10,0)+Q61,ROUND('Budget by Source'!D61/10,0))</f>
        <v>41778</v>
      </c>
      <c r="E61" s="22">
        <f>IF(Notes!$B$2="June",ROUND('Budget by Source'!E61/10,0)+R61,ROUND('Budget by Source'!E61/10,0))</f>
        <v>5583</v>
      </c>
      <c r="F61" s="22">
        <f>IF(Notes!$B$2="June",ROUND('Budget by Source'!F61/10,0)+S61,ROUND('Budget by Source'!F61/10,0))</f>
        <v>4344</v>
      </c>
      <c r="G61" s="22">
        <f>IF(Notes!$B$2="June",ROUND('Budget by Source'!G61/10,0)+T61,ROUND('Budget by Source'!G61/10,0))</f>
        <v>22627</v>
      </c>
      <c r="H61" s="22">
        <f t="shared" si="0"/>
        <v>412858</v>
      </c>
      <c r="I61" s="22">
        <f>INDEX(Data[],MATCH($A61,Data[Dist],0),MATCH(I$5,Data[#Headers],0))</f>
        <v>498341</v>
      </c>
      <c r="K61" s="69">
        <f>INDEX('Payment Total'!$A$7:$H$333,MATCH('Payment by Source'!$A61,'Payment Total'!$A$7:$A$333,0),5)-I61</f>
        <v>0</v>
      </c>
      <c r="P61" s="157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-5</v>
      </c>
      <c r="Q61" s="157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4</v>
      </c>
      <c r="R61" s="157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-1</v>
      </c>
      <c r="S61" s="157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2</v>
      </c>
      <c r="T61" s="157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-3</v>
      </c>
      <c r="U61" s="158">
        <f>INDEX('Budget by Source'!$A$6:$I$332,MATCH('Payment by Source'!$A61,'Budget by Source'!$A$6:$A$332,0),MATCH(U$3,'Budget by Source'!$A$5:$I$5,0))</f>
        <v>4138852</v>
      </c>
      <c r="V61" s="155">
        <f t="shared" si="1"/>
        <v>413885</v>
      </c>
      <c r="W61" s="155">
        <f t="shared" si="2"/>
        <v>4138850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16193</v>
      </c>
      <c r="D62" s="22">
        <f>IF(Notes!$B$2="June",ROUND('Budget by Source'!D62/10,0)+Q62,ROUND('Budget by Source'!D62/10,0))</f>
        <v>45232</v>
      </c>
      <c r="E62" s="22">
        <f>IF(Notes!$B$2="June",ROUND('Budget by Source'!E62/10,0)+R62,ROUND('Budget by Source'!E62/10,0))</f>
        <v>4865</v>
      </c>
      <c r="F62" s="22">
        <f>IF(Notes!$B$2="June",ROUND('Budget by Source'!F62/10,0)+S62,ROUND('Budget by Source'!F62/10,0))</f>
        <v>5205</v>
      </c>
      <c r="G62" s="22">
        <f>IF(Notes!$B$2="June",ROUND('Budget by Source'!G62/10,0)+T62,ROUND('Budget by Source'!G62/10,0))</f>
        <v>26131</v>
      </c>
      <c r="H62" s="22">
        <f t="shared" si="0"/>
        <v>367910</v>
      </c>
      <c r="I62" s="22">
        <f>INDEX(Data[],MATCH($A62,Data[Dist],0),MATCH(I$5,Data[#Headers],0))</f>
        <v>465536</v>
      </c>
      <c r="K62" s="69">
        <f>INDEX('Payment Total'!$A$7:$H$333,MATCH('Payment by Source'!$A62,'Payment Total'!$A$7:$A$333,0),5)-I62</f>
        <v>0</v>
      </c>
      <c r="P62" s="157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4</v>
      </c>
      <c r="Q62" s="157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7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2</v>
      </c>
      <c r="S62" s="157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0</v>
      </c>
      <c r="T62" s="157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4</v>
      </c>
      <c r="U62" s="158">
        <f>INDEX('Budget by Source'!$A$6:$I$332,MATCH('Payment by Source'!$A62,'Budget by Source'!$A$6:$A$332,0),MATCH(U$3,'Budget by Source'!$A$5:$I$5,0))</f>
        <v>3690948</v>
      </c>
      <c r="V62" s="155">
        <f t="shared" si="1"/>
        <v>369095</v>
      </c>
      <c r="W62" s="155">
        <f t="shared" si="2"/>
        <v>3690950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19064</v>
      </c>
      <c r="D63" s="22">
        <f>IF(Notes!$B$2="June",ROUND('Budget by Source'!D63/10,0)+Q63,ROUND('Budget by Source'!D63/10,0))</f>
        <v>76625</v>
      </c>
      <c r="E63" s="22">
        <f>IF(Notes!$B$2="June",ROUND('Budget by Source'!E63/10,0)+R63,ROUND('Budget by Source'!E63/10,0))</f>
        <v>10498</v>
      </c>
      <c r="F63" s="22">
        <f>IF(Notes!$B$2="June",ROUND('Budget by Source'!F63/10,0)+S63,ROUND('Budget by Source'!F63/10,0))</f>
        <v>8224</v>
      </c>
      <c r="G63" s="22">
        <f>IF(Notes!$B$2="June",ROUND('Budget by Source'!G63/10,0)+T63,ROUND('Budget by Source'!G63/10,0))</f>
        <v>43808</v>
      </c>
      <c r="H63" s="22">
        <f t="shared" si="0"/>
        <v>717881</v>
      </c>
      <c r="I63" s="22">
        <f>INDEX(Data[],MATCH($A63,Data[Dist],0),MATCH(I$5,Data[#Headers],0))</f>
        <v>876100</v>
      </c>
      <c r="K63" s="69">
        <f>INDEX('Payment Total'!$A$7:$H$333,MATCH('Payment by Source'!$A63,'Payment Total'!$A$7:$A$333,0),5)-I63</f>
        <v>0</v>
      </c>
      <c r="P63" s="157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-3</v>
      </c>
      <c r="Q63" s="157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3</v>
      </c>
      <c r="R63" s="157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1</v>
      </c>
      <c r="S63" s="157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0</v>
      </c>
      <c r="T63" s="157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8">
        <f>INDEX('Budget by Source'!$A$6:$I$332,MATCH('Payment by Source'!$A63,'Budget by Source'!$A$6:$A$332,0),MATCH(U$3,'Budget by Source'!$A$5:$I$5,0))</f>
        <v>7198681</v>
      </c>
      <c r="V63" s="155">
        <f t="shared" si="1"/>
        <v>719868</v>
      </c>
      <c r="W63" s="155">
        <f t="shared" si="2"/>
        <v>7198680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29495</v>
      </c>
      <c r="D64" s="22">
        <f>IF(Notes!$B$2="June",ROUND('Budget by Source'!D64/10,0)+Q64,ROUND('Budget by Source'!D64/10,0))</f>
        <v>96679</v>
      </c>
      <c r="E64" s="22">
        <f>IF(Notes!$B$2="June",ROUND('Budget by Source'!E64/10,0)+R64,ROUND('Budget by Source'!E64/10,0))</f>
        <v>11312</v>
      </c>
      <c r="F64" s="22">
        <f>IF(Notes!$B$2="June",ROUND('Budget by Source'!F64/10,0)+S64,ROUND('Budget by Source'!F64/10,0))</f>
        <v>11392</v>
      </c>
      <c r="G64" s="22">
        <f>IF(Notes!$B$2="June",ROUND('Budget by Source'!G64/10,0)+T64,ROUND('Budget by Source'!G64/10,0))</f>
        <v>54563</v>
      </c>
      <c r="H64" s="22">
        <f t="shared" si="0"/>
        <v>842422</v>
      </c>
      <c r="I64" s="22">
        <f>INDEX(Data[],MATCH($A64,Data[Dist],0),MATCH(I$5,Data[#Headers],0))</f>
        <v>1045863</v>
      </c>
      <c r="K64" s="69">
        <f>INDEX('Payment Total'!$A$7:$H$333,MATCH('Payment by Source'!$A64,'Payment Total'!$A$7:$A$333,0),5)-I64</f>
        <v>0</v>
      </c>
      <c r="P64" s="157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-3</v>
      </c>
      <c r="Q64" s="157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3</v>
      </c>
      <c r="R64" s="157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2</v>
      </c>
      <c r="S64" s="157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-1</v>
      </c>
      <c r="T64" s="157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1</v>
      </c>
      <c r="U64" s="158">
        <f>INDEX('Budget by Source'!$A$6:$I$332,MATCH('Payment by Source'!$A64,'Budget by Source'!$A$6:$A$332,0),MATCH(U$3,'Budget by Source'!$A$5:$I$5,0))</f>
        <v>8448970</v>
      </c>
      <c r="V64" s="155">
        <f t="shared" si="1"/>
        <v>844897</v>
      </c>
      <c r="W64" s="155">
        <f t="shared" si="2"/>
        <v>8448970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5395</v>
      </c>
      <c r="D65" s="22">
        <f>IF(Notes!$B$2="June",ROUND('Budget by Source'!D65/10,0)+Q65,ROUND('Budget by Source'!D65/10,0))</f>
        <v>18212</v>
      </c>
      <c r="E65" s="22">
        <f>IF(Notes!$B$2="June",ROUND('Budget by Source'!E65/10,0)+R65,ROUND('Budget by Source'!E65/10,0))</f>
        <v>2099</v>
      </c>
      <c r="F65" s="22">
        <f>IF(Notes!$B$2="June",ROUND('Budget by Source'!F65/10,0)+S65,ROUND('Budget by Source'!F65/10,0))</f>
        <v>1917</v>
      </c>
      <c r="G65" s="22">
        <f>IF(Notes!$B$2="June",ROUND('Budget by Source'!G65/10,0)+T65,ROUND('Budget by Source'!G65/10,0))</f>
        <v>9250</v>
      </c>
      <c r="H65" s="22">
        <f t="shared" si="0"/>
        <v>109530</v>
      </c>
      <c r="I65" s="22">
        <f>INDEX(Data[],MATCH($A65,Data[Dist],0),MATCH(I$5,Data[#Headers],0))</f>
        <v>146403</v>
      </c>
      <c r="K65" s="69">
        <f>INDEX('Payment Total'!$A$7:$H$333,MATCH('Payment by Source'!$A65,'Payment Total'!$A$7:$A$333,0),5)-I65</f>
        <v>0</v>
      </c>
      <c r="P65" s="157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4</v>
      </c>
      <c r="Q65" s="157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4</v>
      </c>
      <c r="R65" s="157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3</v>
      </c>
      <c r="S65" s="157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-5</v>
      </c>
      <c r="T65" s="157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4</v>
      </c>
      <c r="U65" s="158">
        <f>INDEX('Budget by Source'!$A$6:$I$332,MATCH('Payment by Source'!$A65,'Budget by Source'!$A$6:$A$332,0),MATCH(U$3,'Budget by Source'!$A$5:$I$5,0))</f>
        <v>1099484</v>
      </c>
      <c r="V65" s="155">
        <f t="shared" si="1"/>
        <v>109948</v>
      </c>
      <c r="W65" s="155">
        <f t="shared" si="2"/>
        <v>1099480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12949</v>
      </c>
      <c r="D66" s="22">
        <f>IF(Notes!$B$2="June",ROUND('Budget by Source'!D66/10,0)+Q66,ROUND('Budget by Source'!D66/10,0))</f>
        <v>65131</v>
      </c>
      <c r="E66" s="22">
        <f>IF(Notes!$B$2="June",ROUND('Budget by Source'!E66/10,0)+R66,ROUND('Budget by Source'!E66/10,0))</f>
        <v>7844</v>
      </c>
      <c r="F66" s="22">
        <f>IF(Notes!$B$2="June",ROUND('Budget by Source'!F66/10,0)+S66,ROUND('Budget by Source'!F66/10,0))</f>
        <v>7329</v>
      </c>
      <c r="G66" s="22">
        <f>IF(Notes!$B$2="June",ROUND('Budget by Source'!G66/10,0)+T66,ROUND('Budget by Source'!G66/10,0))</f>
        <v>35909</v>
      </c>
      <c r="H66" s="22">
        <f t="shared" si="0"/>
        <v>555156</v>
      </c>
      <c r="I66" s="22">
        <f>INDEX(Data[],MATCH($A66,Data[Dist],0),MATCH(I$5,Data[#Headers],0))</f>
        <v>684318</v>
      </c>
      <c r="K66" s="69">
        <f>INDEX('Payment Total'!$A$7:$H$333,MATCH('Payment by Source'!$A66,'Payment Total'!$A$7:$A$333,0),5)-I66</f>
        <v>0</v>
      </c>
      <c r="P66" s="157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-1</v>
      </c>
      <c r="Q66" s="157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1</v>
      </c>
      <c r="R66" s="157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-2</v>
      </c>
      <c r="S66" s="157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-5</v>
      </c>
      <c r="T66" s="157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-2</v>
      </c>
      <c r="U66" s="158">
        <f>INDEX('Budget by Source'!$A$6:$I$332,MATCH('Payment by Source'!$A66,'Budget by Source'!$A$6:$A$332,0),MATCH(U$3,'Budget by Source'!$A$5:$I$5,0))</f>
        <v>5567860</v>
      </c>
      <c r="V66" s="155">
        <f t="shared" si="1"/>
        <v>556786</v>
      </c>
      <c r="W66" s="155">
        <f t="shared" si="2"/>
        <v>5567860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12589</v>
      </c>
      <c r="D67" s="22">
        <f>IF(Notes!$B$2="June",ROUND('Budget by Source'!D67/10,0)+Q67,ROUND('Budget by Source'!D67/10,0))</f>
        <v>58097</v>
      </c>
      <c r="E67" s="22">
        <f>IF(Notes!$B$2="June",ROUND('Budget by Source'!E67/10,0)+R67,ROUND('Budget by Source'!E67/10,0))</f>
        <v>6440</v>
      </c>
      <c r="F67" s="22">
        <f>IF(Notes!$B$2="June",ROUND('Budget by Source'!F67/10,0)+S67,ROUND('Budget by Source'!F67/10,0))</f>
        <v>5528</v>
      </c>
      <c r="G67" s="22">
        <f>IF(Notes!$B$2="June",ROUND('Budget by Source'!G67/10,0)+T67,ROUND('Budget by Source'!G67/10,0))</f>
        <v>33803</v>
      </c>
      <c r="H67" s="22">
        <f t="shared" si="0"/>
        <v>496513</v>
      </c>
      <c r="I67" s="22">
        <f>INDEX(Data[],MATCH($A67,Data[Dist],0),MATCH(I$5,Data[#Headers],0))</f>
        <v>612970</v>
      </c>
      <c r="K67" s="69">
        <f>INDEX('Payment Total'!$A$7:$H$333,MATCH('Payment by Source'!$A67,'Payment Total'!$A$7:$A$333,0),5)-I67</f>
        <v>0</v>
      </c>
      <c r="P67" s="157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3</v>
      </c>
      <c r="Q67" s="157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-1</v>
      </c>
      <c r="R67" s="157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-5</v>
      </c>
      <c r="S67" s="157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2</v>
      </c>
      <c r="T67" s="157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-3</v>
      </c>
      <c r="U67" s="158">
        <f>INDEX('Budget by Source'!$A$6:$I$332,MATCH('Payment by Source'!$A67,'Budget by Source'!$A$6:$A$332,0),MATCH(U$3,'Budget by Source'!$A$5:$I$5,0))</f>
        <v>4980084</v>
      </c>
      <c r="V67" s="155">
        <f t="shared" si="1"/>
        <v>498008</v>
      </c>
      <c r="W67" s="155">
        <f t="shared" si="2"/>
        <v>4980080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20503</v>
      </c>
      <c r="D68" s="22">
        <f>IF(Notes!$B$2="June",ROUND('Budget by Source'!D68/10,0)+Q68,ROUND('Budget by Source'!D68/10,0))</f>
        <v>59940</v>
      </c>
      <c r="E68" s="22">
        <f>IF(Notes!$B$2="June",ROUND('Budget by Source'!E68/10,0)+R68,ROUND('Budget by Source'!E68/10,0))</f>
        <v>7367</v>
      </c>
      <c r="F68" s="22">
        <f>IF(Notes!$B$2="June",ROUND('Budget by Source'!F68/10,0)+S68,ROUND('Budget by Source'!F68/10,0))</f>
        <v>6754</v>
      </c>
      <c r="G68" s="22">
        <f>IF(Notes!$B$2="June",ROUND('Budget by Source'!G68/10,0)+T68,ROUND('Budget by Source'!G68/10,0))</f>
        <v>33182</v>
      </c>
      <c r="H68" s="22">
        <f t="shared" si="0"/>
        <v>423159</v>
      </c>
      <c r="I68" s="22">
        <f>INDEX(Data[],MATCH($A68,Data[Dist],0),MATCH(I$5,Data[#Headers],0))</f>
        <v>550905</v>
      </c>
      <c r="K68" s="69">
        <f>INDEX('Payment Total'!$A$7:$H$333,MATCH('Payment by Source'!$A68,'Payment Total'!$A$7:$A$333,0),5)-I68</f>
        <v>0</v>
      </c>
      <c r="P68" s="157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7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0</v>
      </c>
      <c r="R68" s="157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-3</v>
      </c>
      <c r="S68" s="157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4</v>
      </c>
      <c r="T68" s="157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2</v>
      </c>
      <c r="U68" s="158">
        <f>INDEX('Budget by Source'!$A$6:$I$332,MATCH('Payment by Source'!$A68,'Budget by Source'!$A$6:$A$332,0),MATCH(U$3,'Budget by Source'!$A$5:$I$5,0))</f>
        <v>4246581</v>
      </c>
      <c r="V68" s="155">
        <f t="shared" si="1"/>
        <v>424658</v>
      </c>
      <c r="W68" s="155">
        <f t="shared" si="2"/>
        <v>4246580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14028</v>
      </c>
      <c r="D69" s="22">
        <f>IF(Notes!$B$2="June",ROUND('Budget by Source'!D69/10,0)+Q69,ROUND('Budget by Source'!D69/10,0))</f>
        <v>87618</v>
      </c>
      <c r="E69" s="22">
        <f>IF(Notes!$B$2="June",ROUND('Budget by Source'!E69/10,0)+R69,ROUND('Budget by Source'!E69/10,0))</f>
        <v>11453</v>
      </c>
      <c r="F69" s="22">
        <f>IF(Notes!$B$2="June",ROUND('Budget by Source'!F69/10,0)+S69,ROUND('Budget by Source'!F69/10,0))</f>
        <v>9108</v>
      </c>
      <c r="G69" s="22">
        <f>IF(Notes!$B$2="June",ROUND('Budget by Source'!G69/10,0)+T69,ROUND('Budget by Source'!G69/10,0))</f>
        <v>49345</v>
      </c>
      <c r="H69" s="22">
        <f t="shared" si="0"/>
        <v>849316</v>
      </c>
      <c r="I69" s="22">
        <f>INDEX(Data[],MATCH($A69,Data[Dist],0),MATCH(I$5,Data[#Headers],0))</f>
        <v>1020868</v>
      </c>
      <c r="K69" s="69">
        <f>INDEX('Payment Total'!$A$7:$H$333,MATCH('Payment by Source'!$A69,'Payment Total'!$A$7:$A$333,0),5)-I69</f>
        <v>0</v>
      </c>
      <c r="P69" s="157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0</v>
      </c>
      <c r="Q69" s="157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-2</v>
      </c>
      <c r="R69" s="157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0</v>
      </c>
      <c r="S69" s="157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-2</v>
      </c>
      <c r="T69" s="157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-5</v>
      </c>
      <c r="U69" s="158">
        <f>INDEX('Budget by Source'!$A$6:$I$332,MATCH('Payment by Source'!$A69,'Budget by Source'!$A$6:$A$332,0),MATCH(U$3,'Budget by Source'!$A$5:$I$5,0))</f>
        <v>8515545</v>
      </c>
      <c r="V69" s="155">
        <f t="shared" si="1"/>
        <v>851555</v>
      </c>
      <c r="W69" s="155">
        <f t="shared" si="2"/>
        <v>8515550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3957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162231</v>
      </c>
      <c r="I70" s="22">
        <f>INDEX(Data[],MATCH($A70,Data[Dist],0),MATCH(I$5,Data[#Headers],0))</f>
        <v>202520</v>
      </c>
      <c r="K70" s="69">
        <f>INDEX('Payment Total'!$A$7:$H$333,MATCH('Payment by Source'!$A70,'Payment Total'!$A$7:$A$333,0),5)-I70</f>
        <v>0</v>
      </c>
      <c r="P70" s="157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-3</v>
      </c>
      <c r="Q70" s="157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7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7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7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8">
        <f>INDEX('Budget by Source'!$A$6:$I$332,MATCH('Payment by Source'!$A70,'Budget by Source'!$A$6:$A$332,0),MATCH(U$3,'Budget by Source'!$A$5:$I$5,0))</f>
        <v>1627062</v>
      </c>
      <c r="V70" s="155">
        <f t="shared" si="1"/>
        <v>162706</v>
      </c>
      <c r="W70" s="155">
        <f t="shared" si="2"/>
        <v>1627060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1799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87954</v>
      </c>
      <c r="I71" s="22">
        <f>INDEX(Data[],MATCH($A71,Data[Dist],0),MATCH(I$5,Data[#Headers],0))</f>
        <v>126480</v>
      </c>
      <c r="K71" s="69">
        <f>INDEX('Payment Total'!$A$7:$H$333,MATCH('Payment by Source'!$A71,'Payment Total'!$A$7:$A$333,0),5)-I71</f>
        <v>0</v>
      </c>
      <c r="P71" s="157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-5</v>
      </c>
      <c r="Q71" s="157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7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7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7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8">
        <f>INDEX('Budget by Source'!$A$6:$I$332,MATCH('Payment by Source'!$A71,'Budget by Source'!$A$6:$A$332,0),MATCH(U$3,'Budget by Source'!$A$5:$I$5,0))</f>
        <v>884533</v>
      </c>
      <c r="V71" s="155">
        <f t="shared" ref="V71:V134" si="4">ROUND(U71/10,0)</f>
        <v>88453</v>
      </c>
      <c r="W71" s="155">
        <f t="shared" ref="W71:W134" si="5">V71*10</f>
        <v>884530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57551</v>
      </c>
      <c r="D72" s="22">
        <f>IF(Notes!$B$2="June",ROUND('Budget by Source'!D72/10,0)+Q72,ROUND('Budget by Source'!D72/10,0))</f>
        <v>163395</v>
      </c>
      <c r="E72" s="22">
        <f>IF(Notes!$B$2="June",ROUND('Budget by Source'!E72/10,0)+R72,ROUND('Budget by Source'!E72/10,0))</f>
        <v>16342</v>
      </c>
      <c r="F72" s="22">
        <f>IF(Notes!$B$2="June",ROUND('Budget by Source'!F72/10,0)+S72,ROUND('Budget by Source'!F72/10,0))</f>
        <v>17812</v>
      </c>
      <c r="G72" s="22">
        <f>IF(Notes!$B$2="June",ROUND('Budget by Source'!G72/10,0)+T72,ROUND('Budget by Source'!G72/10,0))</f>
        <v>91610</v>
      </c>
      <c r="H72" s="22">
        <f t="shared" si="3"/>
        <v>1202034</v>
      </c>
      <c r="I72" s="22">
        <f>INDEX(Data[],MATCH($A72,Data[Dist],0),MATCH(I$5,Data[#Headers],0))</f>
        <v>1548744</v>
      </c>
      <c r="K72" s="69">
        <f>INDEX('Payment Total'!$A$7:$H$333,MATCH('Payment by Source'!$A72,'Payment Total'!$A$7:$A$333,0),5)-I72</f>
        <v>0</v>
      </c>
      <c r="P72" s="157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-4</v>
      </c>
      <c r="Q72" s="157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1</v>
      </c>
      <c r="R72" s="157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1</v>
      </c>
      <c r="S72" s="157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-2</v>
      </c>
      <c r="T72" s="157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-1</v>
      </c>
      <c r="U72" s="158">
        <f>INDEX('Budget by Source'!$A$6:$I$332,MATCH('Payment by Source'!$A72,'Budget by Source'!$A$6:$A$332,0),MATCH(U$3,'Budget by Source'!$A$5:$I$5,0))</f>
        <v>12061900</v>
      </c>
      <c r="V72" s="155">
        <f t="shared" si="4"/>
        <v>1206190</v>
      </c>
      <c r="W72" s="155">
        <f t="shared" si="5"/>
        <v>12061900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23020</v>
      </c>
      <c r="D73" s="22">
        <f>IF(Notes!$B$2="June",ROUND('Budget by Source'!D73/10,0)+Q73,ROUND('Budget by Source'!D73/10,0))</f>
        <v>72838</v>
      </c>
      <c r="E73" s="22">
        <f>IF(Notes!$B$2="June",ROUND('Budget by Source'!E73/10,0)+R73,ROUND('Budget by Source'!E73/10,0))</f>
        <v>8390</v>
      </c>
      <c r="F73" s="22">
        <f>IF(Notes!$B$2="June",ROUND('Budget by Source'!F73/10,0)+S73,ROUND('Budget by Source'!F73/10,0))</f>
        <v>8017</v>
      </c>
      <c r="G73" s="22">
        <f>IF(Notes!$B$2="June",ROUND('Budget by Source'!G73/10,0)+T73,ROUND('Budget by Source'!G73/10,0))</f>
        <v>42464</v>
      </c>
      <c r="H73" s="22">
        <f t="shared" si="3"/>
        <v>401735</v>
      </c>
      <c r="I73" s="22">
        <f>INDEX(Data[],MATCH($A73,Data[Dist],0),MATCH(I$5,Data[#Headers],0))</f>
        <v>556464</v>
      </c>
      <c r="K73" s="69">
        <f>INDEX('Payment Total'!$A$7:$H$333,MATCH('Payment by Source'!$A73,'Payment Total'!$A$7:$A$333,0),5)-I73</f>
        <v>0</v>
      </c>
      <c r="P73" s="157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3</v>
      </c>
      <c r="Q73" s="157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-1</v>
      </c>
      <c r="R73" s="157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7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-3</v>
      </c>
      <c r="T73" s="157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8">
        <f>INDEX('Budget by Source'!$A$6:$I$332,MATCH('Payment by Source'!$A73,'Budget by Source'!$A$6:$A$332,0),MATCH(U$3,'Budget by Source'!$A$5:$I$5,0))</f>
        <v>4036614</v>
      </c>
      <c r="V73" s="155">
        <f t="shared" si="4"/>
        <v>403661</v>
      </c>
      <c r="W73" s="155">
        <f t="shared" si="5"/>
        <v>4036610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61148</v>
      </c>
      <c r="D74" s="22">
        <f>IF(Notes!$B$2="June",ROUND('Budget by Source'!D74/10,0)+Q74,ROUND('Budget by Source'!D74/10,0))</f>
        <v>227012</v>
      </c>
      <c r="E74" s="22">
        <f>IF(Notes!$B$2="June",ROUND('Budget by Source'!E74/10,0)+R74,ROUND('Budget by Source'!E74/10,0))</f>
        <v>30325</v>
      </c>
      <c r="F74" s="22">
        <f>IF(Notes!$B$2="June",ROUND('Budget by Source'!F74/10,0)+S74,ROUND('Budget by Source'!F74/10,0))</f>
        <v>26131</v>
      </c>
      <c r="G74" s="22">
        <f>IF(Notes!$B$2="June",ROUND('Budget by Source'!G74/10,0)+T74,ROUND('Budget by Source'!G74/10,0))</f>
        <v>127505</v>
      </c>
      <c r="H74" s="22">
        <f t="shared" si="3"/>
        <v>2417425</v>
      </c>
      <c r="I74" s="22">
        <f>INDEX(Data[],MATCH($A74,Data[Dist],0),MATCH(I$5,Data[#Headers],0))</f>
        <v>2889546</v>
      </c>
      <c r="K74" s="69">
        <f>INDEX('Payment Total'!$A$7:$H$333,MATCH('Payment by Source'!$A74,'Payment Total'!$A$7:$A$333,0),5)-I74</f>
        <v>0</v>
      </c>
      <c r="P74" s="157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-4</v>
      </c>
      <c r="Q74" s="157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-3</v>
      </c>
      <c r="R74" s="157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-3</v>
      </c>
      <c r="S74" s="157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4</v>
      </c>
      <c r="T74" s="157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-2</v>
      </c>
      <c r="U74" s="158">
        <f>INDEX('Budget by Source'!$A$6:$I$332,MATCH('Payment by Source'!$A74,'Budget by Source'!$A$6:$A$332,0),MATCH(U$3,'Budget by Source'!$A$5:$I$5,0))</f>
        <v>24232096</v>
      </c>
      <c r="V74" s="155">
        <f t="shared" si="4"/>
        <v>2423210</v>
      </c>
      <c r="W74" s="155">
        <f t="shared" si="5"/>
        <v>24232100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14740</v>
      </c>
      <c r="D75" s="22">
        <f>IF(Notes!$B$2="June",ROUND('Budget by Source'!D75/10,0)+Q75,ROUND('Budget by Source'!D75/10,0))</f>
        <v>46224</v>
      </c>
      <c r="E75" s="22">
        <f>IF(Notes!$B$2="June",ROUND('Budget by Source'!E75/10,0)+R75,ROUND('Budget by Source'!E75/10,0))</f>
        <v>5328</v>
      </c>
      <c r="F75" s="22">
        <f>IF(Notes!$B$2="June",ROUND('Budget by Source'!F75/10,0)+S75,ROUND('Budget by Source'!F75/10,0))</f>
        <v>4555</v>
      </c>
      <c r="G75" s="22">
        <f>IF(Notes!$B$2="June",ROUND('Budget by Source'!G75/10,0)+T75,ROUND('Budget by Source'!G75/10,0))</f>
        <v>26037</v>
      </c>
      <c r="H75" s="22">
        <f t="shared" si="3"/>
        <v>391258</v>
      </c>
      <c r="I75" s="22">
        <f>INDEX(Data[],MATCH($A75,Data[Dist],0),MATCH(I$5,Data[#Headers],0))</f>
        <v>488142</v>
      </c>
      <c r="K75" s="69">
        <f>INDEX('Payment Total'!$A$7:$H$333,MATCH('Payment by Source'!$A75,'Payment Total'!$A$7:$A$333,0),5)-I75</f>
        <v>0</v>
      </c>
      <c r="P75" s="157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1</v>
      </c>
      <c r="Q75" s="157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-4</v>
      </c>
      <c r="R75" s="157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-5</v>
      </c>
      <c r="S75" s="157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3</v>
      </c>
      <c r="T75" s="157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8">
        <f>INDEX('Budget by Source'!$A$6:$I$332,MATCH('Payment by Source'!$A75,'Budget by Source'!$A$6:$A$332,0),MATCH(U$3,'Budget by Source'!$A$5:$I$5,0))</f>
        <v>3924138</v>
      </c>
      <c r="V75" s="155">
        <f t="shared" si="4"/>
        <v>392414</v>
      </c>
      <c r="W75" s="155">
        <f t="shared" si="5"/>
        <v>3924140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85966</v>
      </c>
      <c r="D76" s="22">
        <f>IF(Notes!$B$2="June",ROUND('Budget by Source'!D76/10,0)+Q76,ROUND('Budget by Source'!D76/10,0))</f>
        <v>300879</v>
      </c>
      <c r="E76" s="22">
        <f>IF(Notes!$B$2="June",ROUND('Budget by Source'!E76/10,0)+R76,ROUND('Budget by Source'!E76/10,0))</f>
        <v>38781</v>
      </c>
      <c r="F76" s="22">
        <f>IF(Notes!$B$2="June",ROUND('Budget by Source'!F76/10,0)+S76,ROUND('Budget by Source'!F76/10,0))</f>
        <v>36969</v>
      </c>
      <c r="G76" s="22">
        <f>IF(Notes!$B$2="June",ROUND('Budget by Source'!G76/10,0)+T76,ROUND('Budget by Source'!G76/10,0))</f>
        <v>177652</v>
      </c>
      <c r="H76" s="22">
        <f t="shared" si="3"/>
        <v>2317869</v>
      </c>
      <c r="I76" s="22">
        <f>INDEX(Data[],MATCH($A76,Data[Dist],0),MATCH(I$5,Data[#Headers],0))</f>
        <v>2958116</v>
      </c>
      <c r="K76" s="69">
        <f>INDEX('Payment Total'!$A$7:$H$333,MATCH('Payment by Source'!$A76,'Payment Total'!$A$7:$A$333,0),5)-I76</f>
        <v>0</v>
      </c>
      <c r="P76" s="157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3</v>
      </c>
      <c r="Q76" s="157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4</v>
      </c>
      <c r="R76" s="157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7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-3</v>
      </c>
      <c r="T76" s="157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2</v>
      </c>
      <c r="U76" s="158">
        <f>INDEX('Budget by Source'!$A$6:$I$332,MATCH('Payment by Source'!$A76,'Budget by Source'!$A$6:$A$332,0),MATCH(U$3,'Budget by Source'!$A$5:$I$5,0))</f>
        <v>23259286</v>
      </c>
      <c r="V76" s="155">
        <f t="shared" si="4"/>
        <v>2325929</v>
      </c>
      <c r="W76" s="155">
        <f t="shared" si="5"/>
        <v>23259290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5755</v>
      </c>
      <c r="D77" s="22">
        <f>IF(Notes!$B$2="June",ROUND('Budget by Source'!D77/10,0)+Q77,ROUND('Budget by Source'!D77/10,0))</f>
        <v>28057</v>
      </c>
      <c r="E77" s="22">
        <f>IF(Notes!$B$2="June",ROUND('Budget by Source'!E77/10,0)+R77,ROUND('Budget by Source'!E77/10,0))</f>
        <v>3151</v>
      </c>
      <c r="F77" s="22">
        <f>IF(Notes!$B$2="June",ROUND('Budget by Source'!F77/10,0)+S77,ROUND('Budget by Source'!F77/10,0))</f>
        <v>2885</v>
      </c>
      <c r="G77" s="22">
        <f>IF(Notes!$B$2="June",ROUND('Budget by Source'!G77/10,0)+T77,ROUND('Budget by Source'!G77/10,0))</f>
        <v>15331</v>
      </c>
      <c r="H77" s="22">
        <f t="shared" si="3"/>
        <v>224610</v>
      </c>
      <c r="I77" s="22">
        <f>INDEX(Data[],MATCH($A77,Data[Dist],0),MATCH(I$5,Data[#Headers],0))</f>
        <v>279789</v>
      </c>
      <c r="K77" s="69">
        <f>INDEX('Payment Total'!$A$7:$H$333,MATCH('Payment by Source'!$A77,'Payment Total'!$A$7:$A$333,0),5)-I77</f>
        <v>0</v>
      </c>
      <c r="P77" s="157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1</v>
      </c>
      <c r="Q77" s="157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-5</v>
      </c>
      <c r="R77" s="157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3</v>
      </c>
      <c r="S77" s="157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1</v>
      </c>
      <c r="T77" s="157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2</v>
      </c>
      <c r="U77" s="158">
        <f>INDEX('Budget by Source'!$A$6:$I$332,MATCH('Payment by Source'!$A77,'Budget by Source'!$A$6:$A$332,0),MATCH(U$3,'Budget by Source'!$A$5:$I$5,0))</f>
        <v>2253050</v>
      </c>
      <c r="V77" s="155">
        <f t="shared" si="4"/>
        <v>225305</v>
      </c>
      <c r="W77" s="155">
        <f t="shared" si="5"/>
        <v>2253050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10071</v>
      </c>
      <c r="D78" s="22">
        <f>IF(Notes!$B$2="June",ROUND('Budget by Source'!D78/10,0)+Q78,ROUND('Budget by Source'!D78/10,0))</f>
        <v>33519</v>
      </c>
      <c r="E78" s="22">
        <f>IF(Notes!$B$2="June",ROUND('Budget by Source'!E78/10,0)+R78,ROUND('Budget by Source'!E78/10,0))</f>
        <v>3580</v>
      </c>
      <c r="F78" s="22">
        <f>IF(Notes!$B$2="June",ROUND('Budget by Source'!F78/10,0)+S78,ROUND('Budget by Source'!F78/10,0))</f>
        <v>3369</v>
      </c>
      <c r="G78" s="22">
        <f>IF(Notes!$B$2="June",ROUND('Budget by Source'!G78/10,0)+T78,ROUND('Budget by Source'!G78/10,0))</f>
        <v>17454</v>
      </c>
      <c r="H78" s="22">
        <f t="shared" si="3"/>
        <v>173524</v>
      </c>
      <c r="I78" s="22">
        <f>INDEX(Data[],MATCH($A78,Data[Dist],0),MATCH(I$5,Data[#Headers],0))</f>
        <v>241517</v>
      </c>
      <c r="K78" s="69">
        <f>INDEX('Payment Total'!$A$7:$H$333,MATCH('Payment by Source'!$A78,'Payment Total'!$A$7:$A$333,0),5)-I78</f>
        <v>0</v>
      </c>
      <c r="P78" s="157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4</v>
      </c>
      <c r="Q78" s="157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1</v>
      </c>
      <c r="R78" s="157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-1</v>
      </c>
      <c r="S78" s="157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0</v>
      </c>
      <c r="T78" s="157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-4</v>
      </c>
      <c r="U78" s="158">
        <f>INDEX('Budget by Source'!$A$6:$I$332,MATCH('Payment by Source'!$A78,'Budget by Source'!$A$6:$A$332,0),MATCH(U$3,'Budget by Source'!$A$5:$I$5,0))</f>
        <v>1742954</v>
      </c>
      <c r="V78" s="155">
        <f t="shared" si="4"/>
        <v>174295</v>
      </c>
      <c r="W78" s="155">
        <f t="shared" si="5"/>
        <v>1742950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11870</v>
      </c>
      <c r="D79" s="22">
        <f>IF(Notes!$B$2="June",ROUND('Budget by Source'!D79/10,0)+Q79,ROUND('Budget by Source'!D79/10,0))</f>
        <v>48869</v>
      </c>
      <c r="E79" s="22">
        <f>IF(Notes!$B$2="June",ROUND('Budget by Source'!E79/10,0)+R79,ROUND('Budget by Source'!E79/10,0))</f>
        <v>6034</v>
      </c>
      <c r="F79" s="22">
        <f>IF(Notes!$B$2="June",ROUND('Budget by Source'!F79/10,0)+S79,ROUND('Budget by Source'!F79/10,0))</f>
        <v>5807</v>
      </c>
      <c r="G79" s="22">
        <f>IF(Notes!$B$2="June",ROUND('Budget by Source'!G79/10,0)+T79,ROUND('Budget by Source'!G79/10,0))</f>
        <v>26006</v>
      </c>
      <c r="H79" s="22">
        <f t="shared" si="3"/>
        <v>411574</v>
      </c>
      <c r="I79" s="22">
        <f>INDEX(Data[],MATCH($A79,Data[Dist],0),MATCH(I$5,Data[#Headers],0))</f>
        <v>510160</v>
      </c>
      <c r="K79" s="69">
        <f>INDEX('Payment Total'!$A$7:$H$333,MATCH('Payment by Source'!$A79,'Payment Total'!$A$7:$A$333,0),5)-I79</f>
        <v>0</v>
      </c>
      <c r="P79" s="157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-1</v>
      </c>
      <c r="Q79" s="157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2</v>
      </c>
      <c r="R79" s="157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-3</v>
      </c>
      <c r="S79" s="157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2</v>
      </c>
      <c r="T79" s="157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-3</v>
      </c>
      <c r="U79" s="158">
        <f>INDEX('Budget by Source'!$A$6:$I$332,MATCH('Payment by Source'!$A79,'Budget by Source'!$A$6:$A$332,0),MATCH(U$3,'Budget by Source'!$A$5:$I$5,0))</f>
        <v>4127535</v>
      </c>
      <c r="V79" s="155">
        <f t="shared" si="4"/>
        <v>412754</v>
      </c>
      <c r="W79" s="155">
        <f t="shared" si="5"/>
        <v>4127540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7554</v>
      </c>
      <c r="D80" s="22">
        <f>IF(Notes!$B$2="June",ROUND('Budget by Source'!D80/10,0)+Q80,ROUND('Budget by Source'!D80/10,0))</f>
        <v>29604</v>
      </c>
      <c r="E80" s="22">
        <f>IF(Notes!$B$2="June",ROUND('Budget by Source'!E80/10,0)+R80,ROUND('Budget by Source'!E80/10,0))</f>
        <v>3413</v>
      </c>
      <c r="F80" s="22">
        <f>IF(Notes!$B$2="June",ROUND('Budget by Source'!F80/10,0)+S80,ROUND('Budget by Source'!F80/10,0))</f>
        <v>3176</v>
      </c>
      <c r="G80" s="22">
        <f>IF(Notes!$B$2="June",ROUND('Budget by Source'!G80/10,0)+T80,ROUND('Budget by Source'!G80/10,0))</f>
        <v>14832</v>
      </c>
      <c r="H80" s="22">
        <f t="shared" si="3"/>
        <v>202944</v>
      </c>
      <c r="I80" s="22">
        <f>INDEX(Data[],MATCH($A80,Data[Dist],0),MATCH(I$5,Data[#Headers],0))</f>
        <v>261523</v>
      </c>
      <c r="K80" s="69">
        <f>INDEX('Payment Total'!$A$7:$H$333,MATCH('Payment by Source'!$A80,'Payment Total'!$A$7:$A$333,0),5)-I80</f>
        <v>0</v>
      </c>
      <c r="P80" s="157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-4</v>
      </c>
      <c r="Q80" s="157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1</v>
      </c>
      <c r="R80" s="157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2</v>
      </c>
      <c r="S80" s="157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1</v>
      </c>
      <c r="T80" s="157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0</v>
      </c>
      <c r="U80" s="158">
        <f>INDEX('Budget by Source'!$A$6:$I$332,MATCH('Payment by Source'!$A80,'Budget by Source'!$A$6:$A$332,0),MATCH(U$3,'Budget by Source'!$A$5:$I$5,0))</f>
        <v>2036173</v>
      </c>
      <c r="V80" s="155">
        <f t="shared" si="4"/>
        <v>203617</v>
      </c>
      <c r="W80" s="155">
        <f t="shared" si="5"/>
        <v>2036170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9352</v>
      </c>
      <c r="D81" s="22">
        <f>IF(Notes!$B$2="June",ROUND('Budget by Source'!D81/10,0)+Q81,ROUND('Budget by Source'!D81/10,0))</f>
        <v>28715</v>
      </c>
      <c r="E81" s="22">
        <f>IF(Notes!$B$2="June",ROUND('Budget by Source'!E81/10,0)+R81,ROUND('Budget by Source'!E81/10,0))</f>
        <v>3436</v>
      </c>
      <c r="F81" s="22">
        <f>IF(Notes!$B$2="June",ROUND('Budget by Source'!F81/10,0)+S81,ROUND('Budget by Source'!F81/10,0))</f>
        <v>2918</v>
      </c>
      <c r="G81" s="22">
        <f>IF(Notes!$B$2="June",ROUND('Budget by Source'!G81/10,0)+T81,ROUND('Budget by Source'!G81/10,0))</f>
        <v>14256</v>
      </c>
      <c r="H81" s="22">
        <f t="shared" si="3"/>
        <v>166442</v>
      </c>
      <c r="I81" s="22">
        <f>INDEX(Data[],MATCH($A81,Data[Dist],0),MATCH(I$5,Data[#Headers],0))</f>
        <v>225119</v>
      </c>
      <c r="K81" s="69">
        <f>INDEX('Payment Total'!$A$7:$H$333,MATCH('Payment by Source'!$A81,'Payment Total'!$A$7:$A$333,0),5)-I81</f>
        <v>0</v>
      </c>
      <c r="P81" s="157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0</v>
      </c>
      <c r="Q81" s="157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4</v>
      </c>
      <c r="R81" s="157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-5</v>
      </c>
      <c r="S81" s="157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0</v>
      </c>
      <c r="T81" s="157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0</v>
      </c>
      <c r="U81" s="158">
        <f>INDEX('Budget by Source'!$A$6:$I$332,MATCH('Payment by Source'!$A81,'Budget by Source'!$A$6:$A$332,0),MATCH(U$3,'Budget by Source'!$A$5:$I$5,0))</f>
        <v>1670887</v>
      </c>
      <c r="V81" s="155">
        <f t="shared" si="4"/>
        <v>167089</v>
      </c>
      <c r="W81" s="155">
        <f t="shared" si="5"/>
        <v>1670890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117619</v>
      </c>
      <c r="D82" s="22">
        <f>IF(Notes!$B$2="June",ROUND('Budget by Source'!D82/10,0)+Q82,ROUND('Budget by Source'!D82/10,0))</f>
        <v>531600</v>
      </c>
      <c r="E82" s="22">
        <f>IF(Notes!$B$2="June",ROUND('Budget by Source'!E82/10,0)+R82,ROUND('Budget by Source'!E82/10,0))</f>
        <v>78386</v>
      </c>
      <c r="F82" s="22">
        <f>IF(Notes!$B$2="June",ROUND('Budget by Source'!F82/10,0)+S82,ROUND('Budget by Source'!F82/10,0))</f>
        <v>61638</v>
      </c>
      <c r="G82" s="22">
        <f>IF(Notes!$B$2="June",ROUND('Budget by Source'!G82/10,0)+T82,ROUND('Budget by Source'!G82/10,0))</f>
        <v>310963</v>
      </c>
      <c r="H82" s="22">
        <f t="shared" si="3"/>
        <v>5915766</v>
      </c>
      <c r="I82" s="22">
        <f>INDEX(Data[],MATCH($A82,Data[Dist],0),MATCH(I$5,Data[#Headers],0))</f>
        <v>7015972</v>
      </c>
      <c r="K82" s="69">
        <f>INDEX('Payment Total'!$A$7:$H$333,MATCH('Payment by Source'!$A82,'Payment Total'!$A$7:$A$333,0),5)-I82</f>
        <v>0</v>
      </c>
      <c r="P82" s="157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2</v>
      </c>
      <c r="Q82" s="157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-5</v>
      </c>
      <c r="R82" s="157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2</v>
      </c>
      <c r="S82" s="157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0</v>
      </c>
      <c r="T82" s="157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3</v>
      </c>
      <c r="U82" s="158">
        <f>INDEX('Budget by Source'!$A$6:$I$332,MATCH('Payment by Source'!$A82,'Budget by Source'!$A$6:$A$332,0),MATCH(U$3,'Budget by Source'!$A$5:$I$5,0))</f>
        <v>59298350</v>
      </c>
      <c r="V82" s="155">
        <f t="shared" si="4"/>
        <v>5929835</v>
      </c>
      <c r="W82" s="155">
        <f t="shared" si="5"/>
        <v>59298350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30214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808200</v>
      </c>
      <c r="I83" s="22">
        <f>INDEX(Data[],MATCH($A83,Data[Dist],0),MATCH(I$5,Data[#Headers],0))</f>
        <v>1003798</v>
      </c>
      <c r="K83" s="69">
        <f>INDEX('Payment Total'!$A$7:$H$333,MATCH('Payment by Source'!$A83,'Payment Total'!$A$7:$A$333,0),5)-I83</f>
        <v>0</v>
      </c>
      <c r="P83" s="157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1</v>
      </c>
      <c r="Q83" s="157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7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7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7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8">
        <f>INDEX('Budget by Source'!$A$6:$I$332,MATCH('Payment by Source'!$A83,'Budget by Source'!$A$6:$A$332,0),MATCH(U$3,'Budget by Source'!$A$5:$I$5,0))</f>
        <v>8105163</v>
      </c>
      <c r="V83" s="155">
        <f t="shared" si="4"/>
        <v>810516</v>
      </c>
      <c r="W83" s="155">
        <f t="shared" si="5"/>
        <v>8105160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57191</v>
      </c>
      <c r="D84" s="22">
        <f>IF(Notes!$B$2="June",ROUND('Budget by Source'!D84/10,0)+Q84,ROUND('Budget by Source'!D84/10,0))</f>
        <v>191430</v>
      </c>
      <c r="E84" s="22">
        <f>IF(Notes!$B$2="June",ROUND('Budget by Source'!E84/10,0)+R84,ROUND('Budget by Source'!E84/10,0))</f>
        <v>22778</v>
      </c>
      <c r="F84" s="22">
        <f>IF(Notes!$B$2="June",ROUND('Budget by Source'!F84/10,0)+S84,ROUND('Budget by Source'!F84/10,0))</f>
        <v>20283</v>
      </c>
      <c r="G84" s="22">
        <f>IF(Notes!$B$2="June",ROUND('Budget by Source'!G84/10,0)+T84,ROUND('Budget by Source'!G84/10,0))</f>
        <v>112526</v>
      </c>
      <c r="H84" s="22">
        <f t="shared" si="3"/>
        <v>1626217</v>
      </c>
      <c r="I84" s="22">
        <f>INDEX(Data[],MATCH($A84,Data[Dist],0),MATCH(I$5,Data[#Headers],0))</f>
        <v>2030425</v>
      </c>
      <c r="K84" s="69">
        <f>INDEX('Payment Total'!$A$7:$H$333,MATCH('Payment by Source'!$A84,'Payment Total'!$A$7:$A$333,0),5)-I84</f>
        <v>0</v>
      </c>
      <c r="P84" s="157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0</v>
      </c>
      <c r="Q84" s="157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3</v>
      </c>
      <c r="R84" s="157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7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-1</v>
      </c>
      <c r="T84" s="157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2</v>
      </c>
      <c r="U84" s="158">
        <f>INDEX('Budget by Source'!$A$6:$I$332,MATCH('Payment by Source'!$A84,'Budget by Source'!$A$6:$A$332,0),MATCH(U$3,'Budget by Source'!$A$5:$I$5,0))</f>
        <v>16313206</v>
      </c>
      <c r="V84" s="155">
        <f t="shared" si="4"/>
        <v>1631321</v>
      </c>
      <c r="W84" s="155">
        <f t="shared" si="5"/>
        <v>16313210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12230</v>
      </c>
      <c r="D85" s="22">
        <f>IF(Notes!$B$2="June",ROUND('Budget by Source'!D85/10,0)+Q85,ROUND('Budget by Source'!D85/10,0))</f>
        <v>31498</v>
      </c>
      <c r="E85" s="22">
        <f>IF(Notes!$B$2="June",ROUND('Budget by Source'!E85/10,0)+R85,ROUND('Budget by Source'!E85/10,0))</f>
        <v>3815</v>
      </c>
      <c r="F85" s="22">
        <f>IF(Notes!$B$2="June",ROUND('Budget by Source'!F85/10,0)+S85,ROUND('Budget by Source'!F85/10,0))</f>
        <v>3425</v>
      </c>
      <c r="G85" s="22">
        <f>IF(Notes!$B$2="June",ROUND('Budget by Source'!G85/10,0)+T85,ROUND('Budget by Source'!G85/10,0))</f>
        <v>17304</v>
      </c>
      <c r="H85" s="22">
        <f t="shared" si="3"/>
        <v>253917</v>
      </c>
      <c r="I85" s="22">
        <f>INDEX(Data[],MATCH($A85,Data[Dist],0),MATCH(I$5,Data[#Headers],0))</f>
        <v>322189</v>
      </c>
      <c r="K85" s="69">
        <f>INDEX('Payment Total'!$A$7:$H$333,MATCH('Payment by Source'!$A85,'Payment Total'!$A$7:$A$333,0),5)-I85</f>
        <v>0</v>
      </c>
      <c r="P85" s="157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-5</v>
      </c>
      <c r="Q85" s="157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1</v>
      </c>
      <c r="R85" s="157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-4</v>
      </c>
      <c r="S85" s="157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-2</v>
      </c>
      <c r="T85" s="157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-4</v>
      </c>
      <c r="U85" s="158">
        <f>INDEX('Budget by Source'!$A$6:$I$332,MATCH('Payment by Source'!$A85,'Budget by Source'!$A$6:$A$332,0),MATCH(U$3,'Budget by Source'!$A$5:$I$5,0))</f>
        <v>2546848</v>
      </c>
      <c r="V85" s="155">
        <f t="shared" si="4"/>
        <v>254685</v>
      </c>
      <c r="W85" s="155">
        <f t="shared" si="5"/>
        <v>2546850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231656</v>
      </c>
      <c r="D86" s="22">
        <f>IF(Notes!$B$2="June",ROUND('Budget by Source'!D86/10,0)+Q86,ROUND('Budget by Source'!D86/10,0))</f>
        <v>885603</v>
      </c>
      <c r="E86" s="22">
        <f>IF(Notes!$B$2="June",ROUND('Budget by Source'!E86/10,0)+R86,ROUND('Budget by Source'!E86/10,0))</f>
        <v>127716</v>
      </c>
      <c r="F86" s="22">
        <f>IF(Notes!$B$2="June",ROUND('Budget by Source'!F86/10,0)+S86,ROUND('Budget by Source'!F86/10,0))</f>
        <v>108754</v>
      </c>
      <c r="G86" s="22">
        <f>IF(Notes!$B$2="June",ROUND('Budget by Source'!G86/10,0)+T86,ROUND('Budget by Source'!G86/10,0))</f>
        <v>508966</v>
      </c>
      <c r="H86" s="22">
        <f t="shared" si="3"/>
        <v>8290730</v>
      </c>
      <c r="I86" s="22">
        <f>INDEX(Data[],MATCH($A86,Data[Dist],0),MATCH(I$5,Data[#Headers],0))</f>
        <v>10153425</v>
      </c>
      <c r="K86" s="69">
        <f>INDEX('Payment Total'!$A$7:$H$333,MATCH('Payment by Source'!$A86,'Payment Total'!$A$7:$A$333,0),5)-I86</f>
        <v>0</v>
      </c>
      <c r="P86" s="157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-1</v>
      </c>
      <c r="Q86" s="157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-4</v>
      </c>
      <c r="R86" s="157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-5</v>
      </c>
      <c r="S86" s="157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-2</v>
      </c>
      <c r="T86" s="157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8">
        <f>INDEX('Budget by Source'!$A$6:$I$332,MATCH('Payment by Source'!$A86,'Budget by Source'!$A$6:$A$332,0),MATCH(U$3,'Budget by Source'!$A$5:$I$5,0))</f>
        <v>83136458</v>
      </c>
      <c r="V86" s="155">
        <f t="shared" si="4"/>
        <v>8313646</v>
      </c>
      <c r="W86" s="155">
        <f t="shared" si="5"/>
        <v>83136460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15826</v>
      </c>
      <c r="D87" s="22">
        <f>IF(Notes!$B$2="June",ROUND('Budget by Source'!D87/10,0)+Q87,ROUND('Budget by Source'!D87/10,0))</f>
        <v>72957</v>
      </c>
      <c r="E87" s="22">
        <f>IF(Notes!$B$2="June",ROUND('Budget by Source'!E87/10,0)+R87,ROUND('Budget by Source'!E87/10,0))</f>
        <v>8167</v>
      </c>
      <c r="F87" s="22">
        <f>IF(Notes!$B$2="June",ROUND('Budget by Source'!F87/10,0)+S87,ROUND('Budget by Source'!F87/10,0))</f>
        <v>8051</v>
      </c>
      <c r="G87" s="22">
        <f>IF(Notes!$B$2="June",ROUND('Budget by Source'!G87/10,0)+T87,ROUND('Budget by Source'!G87/10,0))</f>
        <v>40792</v>
      </c>
      <c r="H87" s="22">
        <f t="shared" si="3"/>
        <v>596329</v>
      </c>
      <c r="I87" s="22">
        <f>INDEX(Data[],MATCH($A87,Data[Dist],0),MATCH(I$5,Data[#Headers],0))</f>
        <v>742122</v>
      </c>
      <c r="K87" s="69">
        <f>INDEX('Payment Total'!$A$7:$H$333,MATCH('Payment by Source'!$A87,'Payment Total'!$A$7:$A$333,0),5)-I87</f>
        <v>0</v>
      </c>
      <c r="P87" s="157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4</v>
      </c>
      <c r="Q87" s="157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-1</v>
      </c>
      <c r="R87" s="157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3</v>
      </c>
      <c r="S87" s="157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-5</v>
      </c>
      <c r="T87" s="157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3</v>
      </c>
      <c r="U87" s="158">
        <f>INDEX('Budget by Source'!$A$6:$I$332,MATCH('Payment by Source'!$A87,'Budget by Source'!$A$6:$A$332,0),MATCH(U$3,'Budget by Source'!$A$5:$I$5,0))</f>
        <v>5981797</v>
      </c>
      <c r="V87" s="155">
        <f t="shared" si="4"/>
        <v>598180</v>
      </c>
      <c r="W87" s="155">
        <f t="shared" si="5"/>
        <v>5981800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28394</v>
      </c>
      <c r="D88" s="22">
        <f>IF(Notes!$B$2="June",ROUND('Budget by Source'!D88/10,0)+Q88,ROUND('Budget by Source'!D88/10,0))</f>
        <v>97406</v>
      </c>
      <c r="E88" s="22">
        <f>IF(Notes!$B$2="June",ROUND('Budget by Source'!E88/10,0)+R88,ROUND('Budget by Source'!E88/10,0))</f>
        <v>11042</v>
      </c>
      <c r="F88" s="22">
        <f>IF(Notes!$B$2="June",ROUND('Budget by Source'!F88/10,0)+S88,ROUND('Budget by Source'!F88/10,0))</f>
        <v>11363</v>
      </c>
      <c r="G88" s="22">
        <f>IF(Notes!$B$2="June",ROUND('Budget by Source'!G88/10,0)+T88,ROUND('Budget by Source'!G88/10,0))</f>
        <v>54788</v>
      </c>
      <c r="H88" s="22">
        <f t="shared" si="3"/>
        <v>671589</v>
      </c>
      <c r="I88" s="22">
        <f>INDEX(Data[],MATCH($A88,Data[Dist],0),MATCH(I$5,Data[#Headers],0))</f>
        <v>874582</v>
      </c>
      <c r="K88" s="69">
        <f>INDEX('Payment Total'!$A$7:$H$333,MATCH('Payment by Source'!$A88,'Payment Total'!$A$7:$A$333,0),5)-I88</f>
        <v>0</v>
      </c>
      <c r="P88" s="157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-2</v>
      </c>
      <c r="Q88" s="157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0</v>
      </c>
      <c r="R88" s="157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-5</v>
      </c>
      <c r="S88" s="157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-1</v>
      </c>
      <c r="T88" s="157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-2</v>
      </c>
      <c r="U88" s="158">
        <f>INDEX('Budget by Source'!$A$6:$I$332,MATCH('Payment by Source'!$A88,'Budget by Source'!$A$6:$A$332,0),MATCH(U$3,'Budget by Source'!$A$5:$I$5,0))</f>
        <v>6740405</v>
      </c>
      <c r="V88" s="155">
        <f t="shared" si="4"/>
        <v>674041</v>
      </c>
      <c r="W88" s="155">
        <f t="shared" si="5"/>
        <v>6740410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3597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109095</v>
      </c>
      <c r="I89" s="22">
        <f>INDEX(Data[],MATCH($A89,Data[Dist],0),MATCH(I$5,Data[#Headers],0))</f>
        <v>134358</v>
      </c>
      <c r="K89" s="69">
        <f>INDEX('Payment Total'!$A$7:$H$333,MATCH('Payment by Source'!$A89,'Payment Total'!$A$7:$A$333,0),5)-I89</f>
        <v>0</v>
      </c>
      <c r="P89" s="157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-1</v>
      </c>
      <c r="Q89" s="157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7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7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7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8">
        <f>INDEX('Budget by Source'!$A$6:$I$332,MATCH('Payment by Source'!$A89,'Budget by Source'!$A$6:$A$332,0),MATCH(U$3,'Budget by Source'!$A$5:$I$5,0))</f>
        <v>1094303</v>
      </c>
      <c r="V89" s="155">
        <f t="shared" si="4"/>
        <v>109430</v>
      </c>
      <c r="W89" s="155">
        <f t="shared" si="5"/>
        <v>1094300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37768</v>
      </c>
      <c r="D90" s="22">
        <f>IF(Notes!$B$2="June",ROUND('Budget by Source'!D90/10,0)+Q90,ROUND('Budget by Source'!D90/10,0))</f>
        <v>123637</v>
      </c>
      <c r="E90" s="22">
        <f>IF(Notes!$B$2="June",ROUND('Budget by Source'!E90/10,0)+R90,ROUND('Budget by Source'!E90/10,0))</f>
        <v>18322</v>
      </c>
      <c r="F90" s="22">
        <f>IF(Notes!$B$2="June",ROUND('Budget by Source'!F90/10,0)+S90,ROUND('Budget by Source'!F90/10,0))</f>
        <v>15062</v>
      </c>
      <c r="G90" s="22">
        <f>IF(Notes!$B$2="June",ROUND('Budget by Source'!G90/10,0)+T90,ROUND('Budget by Source'!G90/10,0))</f>
        <v>73939</v>
      </c>
      <c r="H90" s="22">
        <f t="shared" si="3"/>
        <v>1354039</v>
      </c>
      <c r="I90" s="22">
        <f>INDEX(Data[],MATCH($A90,Data[Dist],0),MATCH(I$5,Data[#Headers],0))</f>
        <v>1622767</v>
      </c>
      <c r="K90" s="69">
        <f>INDEX('Payment Total'!$A$7:$H$333,MATCH('Payment by Source'!$A90,'Payment Total'!$A$7:$A$333,0),5)-I90</f>
        <v>0</v>
      </c>
      <c r="P90" s="157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-3</v>
      </c>
      <c r="Q90" s="157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3</v>
      </c>
      <c r="R90" s="157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-5</v>
      </c>
      <c r="S90" s="157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-5</v>
      </c>
      <c r="T90" s="157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0</v>
      </c>
      <c r="U90" s="158">
        <f>INDEX('Budget by Source'!$A$6:$I$332,MATCH('Payment by Source'!$A90,'Budget by Source'!$A$6:$A$332,0),MATCH(U$3,'Budget by Source'!$A$5:$I$5,0))</f>
        <v>13780512</v>
      </c>
      <c r="V90" s="155">
        <f t="shared" si="4"/>
        <v>1378051</v>
      </c>
      <c r="W90" s="155">
        <f t="shared" si="5"/>
        <v>13780510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19416</v>
      </c>
      <c r="D91" s="22">
        <f>IF(Notes!$B$2="June",ROUND('Budget by Source'!D91/10,0)+Q91,ROUND('Budget by Source'!D91/10,0))</f>
        <v>52802</v>
      </c>
      <c r="E91" s="22">
        <f>IF(Notes!$B$2="June",ROUND('Budget by Source'!E91/10,0)+R91,ROUND('Budget by Source'!E91/10,0))</f>
        <v>5050</v>
      </c>
      <c r="F91" s="22">
        <f>IF(Notes!$B$2="June",ROUND('Budget by Source'!F91/10,0)+S91,ROUND('Budget by Source'!F91/10,0))</f>
        <v>5078</v>
      </c>
      <c r="G91" s="22">
        <f>IF(Notes!$B$2="June",ROUND('Budget by Source'!G91/10,0)+T91,ROUND('Budget by Source'!G91/10,0))</f>
        <v>29535</v>
      </c>
      <c r="H91" s="22">
        <f t="shared" si="3"/>
        <v>465251</v>
      </c>
      <c r="I91" s="22">
        <f>INDEX(Data[],MATCH($A91,Data[Dist],0),MATCH(I$5,Data[#Headers],0))</f>
        <v>577132</v>
      </c>
      <c r="K91" s="69">
        <f>INDEX('Payment Total'!$A$7:$H$333,MATCH('Payment by Source'!$A91,'Payment Total'!$A$7:$A$333,0),5)-I91</f>
        <v>0</v>
      </c>
      <c r="P91" s="157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1</v>
      </c>
      <c r="Q91" s="157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-3</v>
      </c>
      <c r="R91" s="157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-5</v>
      </c>
      <c r="S91" s="157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7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-2</v>
      </c>
      <c r="U91" s="158">
        <f>INDEX('Budget by Source'!$A$6:$I$332,MATCH('Payment by Source'!$A91,'Budget by Source'!$A$6:$A$332,0),MATCH(U$3,'Budget by Source'!$A$5:$I$5,0))</f>
        <v>4665908</v>
      </c>
      <c r="V91" s="155">
        <f t="shared" si="4"/>
        <v>466591</v>
      </c>
      <c r="W91" s="155">
        <f t="shared" si="5"/>
        <v>4665910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438824</v>
      </c>
      <c r="D92" s="22">
        <f>IF(Notes!$B$2="June",ROUND('Budget by Source'!D92/10,0)+Q92,ROUND('Budget by Source'!D92/10,0))</f>
        <v>2066352</v>
      </c>
      <c r="E92" s="22">
        <f>IF(Notes!$B$2="June",ROUND('Budget by Source'!E92/10,0)+R92,ROUND('Budget by Source'!E92/10,0))</f>
        <v>307938</v>
      </c>
      <c r="F92" s="22">
        <f>IF(Notes!$B$2="June",ROUND('Budget by Source'!F92/10,0)+S92,ROUND('Budget by Source'!F92/10,0))</f>
        <v>256387</v>
      </c>
      <c r="G92" s="22">
        <f>IF(Notes!$B$2="June",ROUND('Budget by Source'!G92/10,0)+T92,ROUND('Budget by Source'!G92/10,0))</f>
        <v>1111530</v>
      </c>
      <c r="H92" s="22">
        <f t="shared" si="3"/>
        <v>20525966</v>
      </c>
      <c r="I92" s="22">
        <f>INDEX(Data[],MATCH($A92,Data[Dist],0),MATCH(I$5,Data[#Headers],0))</f>
        <v>24706997</v>
      </c>
      <c r="K92" s="69">
        <f>INDEX('Payment Total'!$A$7:$H$333,MATCH('Payment by Source'!$A92,'Payment Total'!$A$7:$A$333,0),5)-I92</f>
        <v>0</v>
      </c>
      <c r="P92" s="157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-4</v>
      </c>
      <c r="Q92" s="157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-2</v>
      </c>
      <c r="R92" s="157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-3</v>
      </c>
      <c r="S92" s="157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-5</v>
      </c>
      <c r="T92" s="157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-2</v>
      </c>
      <c r="U92" s="158">
        <f>INDEX('Budget by Source'!$A$6:$I$332,MATCH('Payment by Source'!$A92,'Budget by Source'!$A$6:$A$332,0),MATCH(U$3,'Budget by Source'!$A$5:$I$5,0))</f>
        <v>205760431</v>
      </c>
      <c r="V92" s="155">
        <f t="shared" si="4"/>
        <v>20576043</v>
      </c>
      <c r="W92" s="155">
        <f t="shared" si="5"/>
        <v>205760430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3957</v>
      </c>
      <c r="D93" s="22">
        <f>IF(Notes!$B$2="June",ROUND('Budget by Source'!D93/10,0)+Q93,ROUND('Budget by Source'!D93/10,0))</f>
        <v>9009</v>
      </c>
      <c r="E93" s="22">
        <f>IF(Notes!$B$2="June",ROUND('Budget by Source'!E93/10,0)+R93,ROUND('Budget by Source'!E93/10,0))</f>
        <v>1111</v>
      </c>
      <c r="F93" s="22">
        <f>IF(Notes!$B$2="June",ROUND('Budget by Source'!F93/10,0)+S93,ROUND('Budget by Source'!F93/10,0))</f>
        <v>1009</v>
      </c>
      <c r="G93" s="22">
        <f>IF(Notes!$B$2="June",ROUND('Budget by Source'!G93/10,0)+T93,ROUND('Budget by Source'!G93/10,0))</f>
        <v>3561</v>
      </c>
      <c r="H93" s="22">
        <f t="shared" si="3"/>
        <v>57743</v>
      </c>
      <c r="I93" s="22">
        <f>INDEX(Data[],MATCH($A93,Data[Dist],0),MATCH(I$5,Data[#Headers],0))</f>
        <v>76390</v>
      </c>
      <c r="K93" s="69">
        <f>INDEX('Payment Total'!$A$7:$H$333,MATCH('Payment by Source'!$A93,'Payment Total'!$A$7:$A$333,0),5)-I93</f>
        <v>0</v>
      </c>
      <c r="P93" s="157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-3</v>
      </c>
      <c r="Q93" s="157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0</v>
      </c>
      <c r="R93" s="157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2</v>
      </c>
      <c r="S93" s="157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1</v>
      </c>
      <c r="T93" s="157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-5</v>
      </c>
      <c r="U93" s="158">
        <f>INDEX('Budget by Source'!$A$6:$I$332,MATCH('Payment by Source'!$A93,'Budget by Source'!$A$6:$A$332,0),MATCH(U$3,'Budget by Source'!$A$5:$I$5,0))</f>
        <v>579050</v>
      </c>
      <c r="V93" s="155">
        <f t="shared" si="4"/>
        <v>57905</v>
      </c>
      <c r="W93" s="155">
        <f t="shared" si="5"/>
        <v>579050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17625</v>
      </c>
      <c r="D94" s="22">
        <f>IF(Notes!$B$2="June",ROUND('Budget by Source'!D94/10,0)+Q94,ROUND('Budget by Source'!D94/10,0))</f>
        <v>55820</v>
      </c>
      <c r="E94" s="22">
        <f>IF(Notes!$B$2="June",ROUND('Budget by Source'!E94/10,0)+R94,ROUND('Budget by Source'!E94/10,0))</f>
        <v>5665</v>
      </c>
      <c r="F94" s="22">
        <f>IF(Notes!$B$2="June",ROUND('Budget by Source'!F94/10,0)+S94,ROUND('Budget by Source'!F94/10,0))</f>
        <v>5917</v>
      </c>
      <c r="G94" s="22">
        <f>IF(Notes!$B$2="June",ROUND('Budget by Source'!G94/10,0)+T94,ROUND('Budget by Source'!G94/10,0))</f>
        <v>30324</v>
      </c>
      <c r="H94" s="22">
        <f t="shared" si="3"/>
        <v>462484</v>
      </c>
      <c r="I94" s="22">
        <f>INDEX(Data[],MATCH($A94,Data[Dist],0),MATCH(I$5,Data[#Headers],0))</f>
        <v>577835</v>
      </c>
      <c r="K94" s="69">
        <f>INDEX('Payment Total'!$A$7:$H$333,MATCH('Payment by Source'!$A94,'Payment Total'!$A$7:$A$333,0),5)-I94</f>
        <v>0</v>
      </c>
      <c r="P94" s="157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-1</v>
      </c>
      <c r="Q94" s="157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1</v>
      </c>
      <c r="R94" s="157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-2</v>
      </c>
      <c r="S94" s="157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-3</v>
      </c>
      <c r="T94" s="157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-3</v>
      </c>
      <c r="U94" s="158">
        <f>INDEX('Budget by Source'!$A$6:$I$332,MATCH('Payment by Source'!$A94,'Budget by Source'!$A$6:$A$332,0),MATCH(U$3,'Budget by Source'!$A$5:$I$5,0))</f>
        <v>4638607</v>
      </c>
      <c r="V94" s="155">
        <f t="shared" si="4"/>
        <v>463861</v>
      </c>
      <c r="W94" s="155">
        <f t="shared" si="5"/>
        <v>4638610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225541</v>
      </c>
      <c r="D95" s="22">
        <f>IF(Notes!$B$2="June",ROUND('Budget by Source'!D95/10,0)+Q95,ROUND('Budget by Source'!D95/10,0))</f>
        <v>659858</v>
      </c>
      <c r="E95" s="22">
        <f>IF(Notes!$B$2="June",ROUND('Budget by Source'!E95/10,0)+R95,ROUND('Budget by Source'!E95/10,0))</f>
        <v>79159</v>
      </c>
      <c r="F95" s="22">
        <f>IF(Notes!$B$2="June",ROUND('Budget by Source'!F95/10,0)+S95,ROUND('Budget by Source'!F95/10,0))</f>
        <v>78056</v>
      </c>
      <c r="G95" s="22">
        <f>IF(Notes!$B$2="June",ROUND('Budget by Source'!G95/10,0)+T95,ROUND('Budget by Source'!G95/10,0))</f>
        <v>359884</v>
      </c>
      <c r="H95" s="22">
        <f t="shared" si="3"/>
        <v>5571811</v>
      </c>
      <c r="I95" s="22">
        <f>INDEX(Data[],MATCH($A95,Data[Dist],0),MATCH(I$5,Data[#Headers],0))</f>
        <v>6974309</v>
      </c>
      <c r="K95" s="69">
        <f>INDEX('Payment Total'!$A$7:$H$333,MATCH('Payment by Source'!$A95,'Payment Total'!$A$7:$A$333,0),5)-I95</f>
        <v>0</v>
      </c>
      <c r="P95" s="157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2</v>
      </c>
      <c r="Q95" s="157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1</v>
      </c>
      <c r="R95" s="157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7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-5</v>
      </c>
      <c r="T95" s="157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2</v>
      </c>
      <c r="U95" s="158">
        <f>INDEX('Budget by Source'!$A$6:$I$332,MATCH('Payment by Source'!$A95,'Budget by Source'!$A$6:$A$332,0),MATCH(U$3,'Budget by Source'!$A$5:$I$5,0))</f>
        <v>55881374</v>
      </c>
      <c r="V95" s="155">
        <f t="shared" si="4"/>
        <v>5588137</v>
      </c>
      <c r="W95" s="155">
        <f t="shared" si="5"/>
        <v>55881370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10071</v>
      </c>
      <c r="D96" s="22">
        <f>IF(Notes!$B$2="June",ROUND('Budget by Source'!D96/10,0)+Q96,ROUND('Budget by Source'!D96/10,0))</f>
        <v>24587</v>
      </c>
      <c r="E96" s="22">
        <f>IF(Notes!$B$2="June",ROUND('Budget by Source'!E96/10,0)+R96,ROUND('Budget by Source'!E96/10,0))</f>
        <v>2774</v>
      </c>
      <c r="F96" s="22">
        <f>IF(Notes!$B$2="June",ROUND('Budget by Source'!F96/10,0)+S96,ROUND('Budget by Source'!F96/10,0))</f>
        <v>2578</v>
      </c>
      <c r="G96" s="22">
        <f>IF(Notes!$B$2="June",ROUND('Budget by Source'!G96/10,0)+T96,ROUND('Budget by Source'!G96/10,0))</f>
        <v>13212</v>
      </c>
      <c r="H96" s="22">
        <f t="shared" si="3"/>
        <v>185254</v>
      </c>
      <c r="I96" s="22">
        <f>INDEX(Data[],MATCH($A96,Data[Dist],0),MATCH(I$5,Data[#Headers],0))</f>
        <v>238476</v>
      </c>
      <c r="K96" s="69">
        <f>INDEX('Payment Total'!$A$7:$H$333,MATCH('Payment by Source'!$A96,'Payment Total'!$A$7:$A$333,0),5)-I96</f>
        <v>0</v>
      </c>
      <c r="P96" s="157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4</v>
      </c>
      <c r="Q96" s="157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-4</v>
      </c>
      <c r="R96" s="157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0</v>
      </c>
      <c r="S96" s="157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-4</v>
      </c>
      <c r="T96" s="157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3</v>
      </c>
      <c r="U96" s="158">
        <f>INDEX('Budget by Source'!$A$6:$I$332,MATCH('Payment by Source'!$A96,'Budget by Source'!$A$6:$A$332,0),MATCH(U$3,'Budget by Source'!$A$5:$I$5,0))</f>
        <v>1858531</v>
      </c>
      <c r="V96" s="155">
        <f t="shared" si="4"/>
        <v>185853</v>
      </c>
      <c r="W96" s="155">
        <f t="shared" si="5"/>
        <v>1858530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7194</v>
      </c>
      <c r="D97" s="22">
        <f>IF(Notes!$B$2="June",ROUND('Budget by Source'!D97/10,0)+Q97,ROUND('Budget by Source'!D97/10,0))</f>
        <v>27219</v>
      </c>
      <c r="E97" s="22">
        <f>IF(Notes!$B$2="June",ROUND('Budget by Source'!E97/10,0)+R97,ROUND('Budget by Source'!E97/10,0))</f>
        <v>3101</v>
      </c>
      <c r="F97" s="22">
        <f>IF(Notes!$B$2="June",ROUND('Budget by Source'!F97/10,0)+S97,ROUND('Budget by Source'!F97/10,0))</f>
        <v>3252</v>
      </c>
      <c r="G97" s="22">
        <f>IF(Notes!$B$2="June",ROUND('Budget by Source'!G97/10,0)+T97,ROUND('Budget by Source'!G97/10,0))</f>
        <v>13680</v>
      </c>
      <c r="H97" s="22">
        <f t="shared" si="3"/>
        <v>163416</v>
      </c>
      <c r="I97" s="22">
        <f>INDEX(Data[],MATCH($A97,Data[Dist],0),MATCH(I$5,Data[#Headers],0))</f>
        <v>217862</v>
      </c>
      <c r="K97" s="69">
        <f>INDEX('Payment Total'!$A$7:$H$333,MATCH('Payment by Source'!$A97,'Payment Total'!$A$7:$A$333,0),5)-I97</f>
        <v>0</v>
      </c>
      <c r="P97" s="157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7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-4</v>
      </c>
      <c r="R97" s="157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2</v>
      </c>
      <c r="S97" s="157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7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8">
        <f>INDEX('Budget by Source'!$A$6:$I$332,MATCH('Payment by Source'!$A97,'Budget by Source'!$A$6:$A$332,0),MATCH(U$3,'Budget by Source'!$A$5:$I$5,0))</f>
        <v>1650958</v>
      </c>
      <c r="V97" s="155">
        <f t="shared" si="4"/>
        <v>165096</v>
      </c>
      <c r="W97" s="155">
        <f t="shared" si="5"/>
        <v>1650960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13668</v>
      </c>
      <c r="D98" s="22">
        <f>IF(Notes!$B$2="June",ROUND('Budget by Source'!D98/10,0)+Q98,ROUND('Budget by Source'!D98/10,0))</f>
        <v>39489</v>
      </c>
      <c r="E98" s="22">
        <f>IF(Notes!$B$2="June",ROUND('Budget by Source'!E98/10,0)+R98,ROUND('Budget by Source'!E98/10,0))</f>
        <v>3646</v>
      </c>
      <c r="F98" s="22">
        <f>IF(Notes!$B$2="June",ROUND('Budget by Source'!F98/10,0)+S98,ROUND('Budget by Source'!F98/10,0))</f>
        <v>4468</v>
      </c>
      <c r="G98" s="22">
        <f>IF(Notes!$B$2="June",ROUND('Budget by Source'!G98/10,0)+T98,ROUND('Budget by Source'!G98/10,0))</f>
        <v>18998</v>
      </c>
      <c r="H98" s="22">
        <f t="shared" si="3"/>
        <v>237364</v>
      </c>
      <c r="I98" s="22">
        <f>INDEX(Data[],MATCH($A98,Data[Dist],0),MATCH(I$5,Data[#Headers],0))</f>
        <v>317633</v>
      </c>
      <c r="K98" s="69">
        <f>INDEX('Payment Total'!$A$7:$H$333,MATCH('Payment by Source'!$A98,'Payment Total'!$A$7:$A$333,0),5)-I98</f>
        <v>0</v>
      </c>
      <c r="P98" s="157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3</v>
      </c>
      <c r="Q98" s="157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-4</v>
      </c>
      <c r="R98" s="157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-1</v>
      </c>
      <c r="S98" s="157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-1</v>
      </c>
      <c r="T98" s="157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-2</v>
      </c>
      <c r="U98" s="158">
        <f>INDEX('Budget by Source'!$A$6:$I$332,MATCH('Payment by Source'!$A98,'Budget by Source'!$A$6:$A$332,0),MATCH(U$3,'Budget by Source'!$A$5:$I$5,0))</f>
        <v>2382049</v>
      </c>
      <c r="V98" s="155">
        <f t="shared" si="4"/>
        <v>238205</v>
      </c>
      <c r="W98" s="155">
        <f t="shared" si="5"/>
        <v>2382050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19783</v>
      </c>
      <c r="D99" s="22">
        <f>IF(Notes!$B$2="June",ROUND('Budget by Source'!D99/10,0)+Q99,ROUND('Budget by Source'!D99/10,0))</f>
        <v>64639</v>
      </c>
      <c r="E99" s="22">
        <f>IF(Notes!$B$2="June",ROUND('Budget by Source'!E99/10,0)+R99,ROUND('Budget by Source'!E99/10,0))</f>
        <v>6883</v>
      </c>
      <c r="F99" s="22">
        <f>IF(Notes!$B$2="June",ROUND('Budget by Source'!F99/10,0)+S99,ROUND('Budget by Source'!F99/10,0))</f>
        <v>5717</v>
      </c>
      <c r="G99" s="22">
        <f>IF(Notes!$B$2="June",ROUND('Budget by Source'!G99/10,0)+T99,ROUND('Budget by Source'!G99/10,0))</f>
        <v>35303</v>
      </c>
      <c r="H99" s="22">
        <f t="shared" si="3"/>
        <v>487675</v>
      </c>
      <c r="I99" s="22">
        <f>INDEX(Data[],MATCH($A99,Data[Dist],0),MATCH(I$5,Data[#Headers],0))</f>
        <v>620000</v>
      </c>
      <c r="K99" s="69">
        <f>INDEX('Payment Total'!$A$7:$H$333,MATCH('Payment by Source'!$A99,'Payment Total'!$A$7:$A$333,0),5)-I99</f>
        <v>0</v>
      </c>
      <c r="P99" s="157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1</v>
      </c>
      <c r="Q99" s="157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0</v>
      </c>
      <c r="R99" s="157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-4</v>
      </c>
      <c r="S99" s="157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-5</v>
      </c>
      <c r="T99" s="157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-4</v>
      </c>
      <c r="U99" s="158">
        <f>INDEX('Budget by Source'!$A$6:$I$332,MATCH('Payment by Source'!$A99,'Budget by Source'!$A$6:$A$332,0),MATCH(U$3,'Budget by Source'!$A$5:$I$5,0))</f>
        <v>4892483</v>
      </c>
      <c r="V99" s="155">
        <f t="shared" si="4"/>
        <v>489248</v>
      </c>
      <c r="W99" s="155">
        <f t="shared" si="5"/>
        <v>4892480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23020</v>
      </c>
      <c r="D100" s="22">
        <f>IF(Notes!$B$2="June",ROUND('Budget by Source'!D100/10,0)+Q100,ROUND('Budget by Source'!D100/10,0))</f>
        <v>60106</v>
      </c>
      <c r="E100" s="22">
        <f>IF(Notes!$B$2="June",ROUND('Budget by Source'!E100/10,0)+R100,ROUND('Budget by Source'!E100/10,0))</f>
        <v>7413</v>
      </c>
      <c r="F100" s="22">
        <f>IF(Notes!$B$2="June",ROUND('Budget by Source'!F100/10,0)+S100,ROUND('Budget by Source'!F100/10,0))</f>
        <v>6594</v>
      </c>
      <c r="G100" s="22">
        <f>IF(Notes!$B$2="June",ROUND('Budget by Source'!G100/10,0)+T100,ROUND('Budget by Source'!G100/10,0))</f>
        <v>33043</v>
      </c>
      <c r="H100" s="22">
        <f t="shared" si="3"/>
        <v>558923</v>
      </c>
      <c r="I100" s="22">
        <f>INDEX(Data[],MATCH($A100,Data[Dist],0),MATCH(I$5,Data[#Headers],0))</f>
        <v>689099</v>
      </c>
      <c r="K100" s="69">
        <f>INDEX('Payment Total'!$A$7:$H$333,MATCH('Payment by Source'!$A100,'Payment Total'!$A$7:$A$333,0),5)-I100</f>
        <v>0</v>
      </c>
      <c r="P100" s="157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3</v>
      </c>
      <c r="Q100" s="157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3</v>
      </c>
      <c r="R100" s="157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-2</v>
      </c>
      <c r="S100" s="157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7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0</v>
      </c>
      <c r="U100" s="158">
        <f>INDEX('Budget by Source'!$A$6:$I$332,MATCH('Payment by Source'!$A100,'Budget by Source'!$A$6:$A$332,0),MATCH(U$3,'Budget by Source'!$A$5:$I$5,0))</f>
        <v>5604210</v>
      </c>
      <c r="V100" s="155">
        <f t="shared" si="4"/>
        <v>560421</v>
      </c>
      <c r="W100" s="155">
        <f t="shared" si="5"/>
        <v>5604210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15107</v>
      </c>
      <c r="D101" s="22">
        <f>IF(Notes!$B$2="June",ROUND('Budget by Source'!D101/10,0)+Q101,ROUND('Budget by Source'!D101/10,0))</f>
        <v>37774</v>
      </c>
      <c r="E101" s="22">
        <f>IF(Notes!$B$2="June",ROUND('Budget by Source'!E101/10,0)+R101,ROUND('Budget by Source'!E101/10,0))</f>
        <v>4361</v>
      </c>
      <c r="F101" s="22">
        <f>IF(Notes!$B$2="June",ROUND('Budget by Source'!F101/10,0)+S101,ROUND('Budget by Source'!F101/10,0))</f>
        <v>3849</v>
      </c>
      <c r="G101" s="22">
        <f>IF(Notes!$B$2="June",ROUND('Budget by Source'!G101/10,0)+T101,ROUND('Budget by Source'!G101/10,0))</f>
        <v>20145</v>
      </c>
      <c r="H101" s="22">
        <f t="shared" si="3"/>
        <v>294000</v>
      </c>
      <c r="I101" s="22">
        <f>INDEX(Data[],MATCH($A101,Data[Dist],0),MATCH(I$5,Data[#Headers],0))</f>
        <v>375236</v>
      </c>
      <c r="K101" s="69">
        <f>INDEX('Payment Total'!$A$7:$H$333,MATCH('Payment by Source'!$A101,'Payment Total'!$A$7:$A$333,0),5)-I101</f>
        <v>0</v>
      </c>
      <c r="P101" s="157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0</v>
      </c>
      <c r="Q101" s="157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-5</v>
      </c>
      <c r="R101" s="157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-4</v>
      </c>
      <c r="S101" s="157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3</v>
      </c>
      <c r="T101" s="157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-2</v>
      </c>
      <c r="U101" s="158">
        <f>INDEX('Budget by Source'!$A$6:$I$332,MATCH('Payment by Source'!$A101,'Budget by Source'!$A$6:$A$332,0),MATCH(U$3,'Budget by Source'!$A$5:$I$5,0))</f>
        <v>2949147</v>
      </c>
      <c r="V101" s="155">
        <f t="shared" si="4"/>
        <v>294915</v>
      </c>
      <c r="W101" s="155">
        <f t="shared" si="5"/>
        <v>2949150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8992</v>
      </c>
      <c r="D102" s="22">
        <f>IF(Notes!$B$2="June",ROUND('Budget by Source'!D102/10,0)+Q102,ROUND('Budget by Source'!D102/10,0))</f>
        <v>37575</v>
      </c>
      <c r="E102" s="22">
        <f>IF(Notes!$B$2="June",ROUND('Budget by Source'!E102/10,0)+R102,ROUND('Budget by Source'!E102/10,0))</f>
        <v>3998</v>
      </c>
      <c r="F102" s="22">
        <f>IF(Notes!$B$2="June",ROUND('Budget by Source'!F102/10,0)+S102,ROUND('Budget by Source'!F102/10,0))</f>
        <v>3795</v>
      </c>
      <c r="G102" s="22">
        <f>IF(Notes!$B$2="June",ROUND('Budget by Source'!G102/10,0)+T102,ROUND('Budget by Source'!G102/10,0))</f>
        <v>19318</v>
      </c>
      <c r="H102" s="22">
        <f t="shared" si="3"/>
        <v>300539</v>
      </c>
      <c r="I102" s="22">
        <f>INDEX(Data[],MATCH($A102,Data[Dist],0),MATCH(I$5,Data[#Headers],0))</f>
        <v>374217</v>
      </c>
      <c r="K102" s="69">
        <f>INDEX('Payment Total'!$A$7:$H$333,MATCH('Payment by Source'!$A102,'Payment Total'!$A$7:$A$333,0),5)-I102</f>
        <v>0</v>
      </c>
      <c r="P102" s="157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3</v>
      </c>
      <c r="Q102" s="157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-2</v>
      </c>
      <c r="R102" s="157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7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7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8">
        <f>INDEX('Budget by Source'!$A$6:$I$332,MATCH('Payment by Source'!$A102,'Budget by Source'!$A$6:$A$332,0),MATCH(U$3,'Budget by Source'!$A$5:$I$5,0))</f>
        <v>3014170</v>
      </c>
      <c r="V102" s="155">
        <f t="shared" si="4"/>
        <v>301417</v>
      </c>
      <c r="W102" s="155">
        <f t="shared" si="5"/>
        <v>3014170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12949</v>
      </c>
      <c r="D103" s="22">
        <f>IF(Notes!$B$2="June",ROUND('Budget by Source'!D103/10,0)+Q103,ROUND('Budget by Source'!D103/10,0))</f>
        <v>35653</v>
      </c>
      <c r="E103" s="22">
        <f>IF(Notes!$B$2="June",ROUND('Budget by Source'!E103/10,0)+R103,ROUND('Budget by Source'!E103/10,0))</f>
        <v>3667</v>
      </c>
      <c r="F103" s="22">
        <f>IF(Notes!$B$2="June",ROUND('Budget by Source'!F103/10,0)+S103,ROUND('Budget by Source'!F103/10,0))</f>
        <v>3917</v>
      </c>
      <c r="G103" s="22">
        <f>IF(Notes!$B$2="June",ROUND('Budget by Source'!G103/10,0)+T103,ROUND('Budget by Source'!G103/10,0))</f>
        <v>19697</v>
      </c>
      <c r="H103" s="22">
        <f t="shared" si="3"/>
        <v>292799</v>
      </c>
      <c r="I103" s="22">
        <f>INDEX(Data[],MATCH($A103,Data[Dist],0),MATCH(I$5,Data[#Headers],0))</f>
        <v>368682</v>
      </c>
      <c r="K103" s="69">
        <f>INDEX('Payment Total'!$A$7:$H$333,MATCH('Payment by Source'!$A103,'Payment Total'!$A$7:$A$333,0),5)-I103</f>
        <v>0</v>
      </c>
      <c r="P103" s="157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-1</v>
      </c>
      <c r="Q103" s="157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-4</v>
      </c>
      <c r="R103" s="157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-2</v>
      </c>
      <c r="S103" s="157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-1</v>
      </c>
      <c r="T103" s="157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-4</v>
      </c>
      <c r="U103" s="158">
        <f>INDEX('Budget by Source'!$A$6:$I$332,MATCH('Payment by Source'!$A103,'Budget by Source'!$A$6:$A$332,0),MATCH(U$3,'Budget by Source'!$A$5:$I$5,0))</f>
        <v>2936910</v>
      </c>
      <c r="V103" s="155">
        <f t="shared" si="4"/>
        <v>293691</v>
      </c>
      <c r="W103" s="155">
        <f t="shared" si="5"/>
        <v>2936910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9712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284711</v>
      </c>
      <c r="I104" s="22">
        <f>INDEX(Data[],MATCH($A104,Data[Dist],0),MATCH(I$5,Data[#Headers],0))</f>
        <v>351537</v>
      </c>
      <c r="K104" s="69">
        <f>INDEX('Payment Total'!$A$7:$H$333,MATCH('Payment by Source'!$A104,'Payment Total'!$A$7:$A$333,0),5)-I104</f>
        <v>0</v>
      </c>
      <c r="P104" s="157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-3</v>
      </c>
      <c r="Q104" s="157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7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7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7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8">
        <f>INDEX('Budget by Source'!$A$6:$I$332,MATCH('Payment by Source'!$A104,'Budget by Source'!$A$6:$A$332,0),MATCH(U$3,'Budget by Source'!$A$5:$I$5,0))</f>
        <v>2855115</v>
      </c>
      <c r="V104" s="155">
        <f t="shared" si="4"/>
        <v>285512</v>
      </c>
      <c r="W104" s="155">
        <f t="shared" si="5"/>
        <v>2855120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8273</v>
      </c>
      <c r="D105" s="22">
        <f>IF(Notes!$B$2="June",ROUND('Budget by Source'!D105/10,0)+Q105,ROUND('Budget by Source'!D105/10,0))</f>
        <v>22350</v>
      </c>
      <c r="E105" s="22">
        <f>IF(Notes!$B$2="June",ROUND('Budget by Source'!E105/10,0)+R105,ROUND('Budget by Source'!E105/10,0))</f>
        <v>2593</v>
      </c>
      <c r="F105" s="22">
        <f>IF(Notes!$B$2="June",ROUND('Budget by Source'!F105/10,0)+S105,ROUND('Budget by Source'!F105/10,0))</f>
        <v>2148</v>
      </c>
      <c r="G105" s="22">
        <f>IF(Notes!$B$2="June",ROUND('Budget by Source'!G105/10,0)+T105,ROUND('Budget by Source'!G105/10,0))</f>
        <v>11240</v>
      </c>
      <c r="H105" s="22">
        <f t="shared" si="3"/>
        <v>113321</v>
      </c>
      <c r="I105" s="22">
        <f>INDEX(Data[],MATCH($A105,Data[Dist],0),MATCH(I$5,Data[#Headers],0))</f>
        <v>159925</v>
      </c>
      <c r="K105" s="69">
        <f>INDEX('Payment Total'!$A$7:$H$333,MATCH('Payment by Source'!$A105,'Payment Total'!$A$7:$A$333,0),5)-I105</f>
        <v>0</v>
      </c>
      <c r="P105" s="157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0</v>
      </c>
      <c r="Q105" s="157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-3</v>
      </c>
      <c r="R105" s="157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7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1</v>
      </c>
      <c r="T105" s="157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8">
        <f>INDEX('Budget by Source'!$A$6:$I$332,MATCH('Payment by Source'!$A105,'Budget by Source'!$A$6:$A$332,0),MATCH(U$3,'Budget by Source'!$A$5:$I$5,0))</f>
        <v>1138315</v>
      </c>
      <c r="V105" s="155">
        <f t="shared" si="4"/>
        <v>113832</v>
      </c>
      <c r="W105" s="155">
        <f t="shared" si="5"/>
        <v>1138320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9352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168215</v>
      </c>
      <c r="I106" s="22">
        <f>INDEX(Data[],MATCH($A106,Data[Dist],0),MATCH(I$5,Data[#Headers],0))</f>
        <v>225449</v>
      </c>
      <c r="K106" s="69">
        <f>INDEX('Payment Total'!$A$7:$H$333,MATCH('Payment by Source'!$A106,'Payment Total'!$A$7:$A$333,0),5)-I106</f>
        <v>0</v>
      </c>
      <c r="P106" s="157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0</v>
      </c>
      <c r="Q106" s="157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7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7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7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8">
        <f>INDEX('Budget by Source'!$A$6:$I$332,MATCH('Payment by Source'!$A106,'Budget by Source'!$A$6:$A$332,0),MATCH(U$3,'Budget by Source'!$A$5:$I$5,0))</f>
        <v>1696614</v>
      </c>
      <c r="V106" s="155">
        <f t="shared" si="4"/>
        <v>169661</v>
      </c>
      <c r="W106" s="155">
        <f t="shared" si="5"/>
        <v>1696610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11510</v>
      </c>
      <c r="D107" s="22">
        <f>IF(Notes!$B$2="June",ROUND('Budget by Source'!D107/10,0)+Q107,ROUND('Budget by Source'!D107/10,0))</f>
        <v>27468</v>
      </c>
      <c r="E107" s="22">
        <f>IF(Notes!$B$2="June",ROUND('Budget by Source'!E107/10,0)+R107,ROUND('Budget by Source'!E107/10,0))</f>
        <v>3294</v>
      </c>
      <c r="F107" s="22">
        <f>IF(Notes!$B$2="June",ROUND('Budget by Source'!F107/10,0)+S107,ROUND('Budget by Source'!F107/10,0))</f>
        <v>3067</v>
      </c>
      <c r="G107" s="22">
        <f>IF(Notes!$B$2="June",ROUND('Budget by Source'!G107/10,0)+T107,ROUND('Budget by Source'!G107/10,0))</f>
        <v>14147</v>
      </c>
      <c r="H107" s="22">
        <f t="shared" si="3"/>
        <v>190273</v>
      </c>
      <c r="I107" s="22">
        <f>INDEX(Data[],MATCH($A107,Data[Dist],0),MATCH(I$5,Data[#Headers],0))</f>
        <v>249759</v>
      </c>
      <c r="K107" s="69">
        <f>INDEX('Payment Total'!$A$7:$H$333,MATCH('Payment by Source'!$A107,'Payment Total'!$A$7:$A$333,0),5)-I107</f>
        <v>0</v>
      </c>
      <c r="P107" s="157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1</v>
      </c>
      <c r="Q107" s="157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4</v>
      </c>
      <c r="R107" s="157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3</v>
      </c>
      <c r="S107" s="157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-1</v>
      </c>
      <c r="T107" s="157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-1</v>
      </c>
      <c r="U107" s="158">
        <f>INDEX('Budget by Source'!$A$6:$I$332,MATCH('Payment by Source'!$A107,'Budget by Source'!$A$6:$A$332,0),MATCH(U$3,'Budget by Source'!$A$5:$I$5,0))</f>
        <v>1909070</v>
      </c>
      <c r="V107" s="155">
        <f t="shared" si="4"/>
        <v>190907</v>
      </c>
      <c r="W107" s="155">
        <f t="shared" si="5"/>
        <v>1909070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12230</v>
      </c>
      <c r="D108" s="22">
        <f>IF(Notes!$B$2="June",ROUND('Budget by Source'!D108/10,0)+Q108,ROUND('Budget by Source'!D108/10,0))</f>
        <v>38337</v>
      </c>
      <c r="E108" s="22">
        <f>IF(Notes!$B$2="June",ROUND('Budget by Source'!E108/10,0)+R108,ROUND('Budget by Source'!E108/10,0))</f>
        <v>4446</v>
      </c>
      <c r="F108" s="22">
        <f>IF(Notes!$B$2="June",ROUND('Budget by Source'!F108/10,0)+S108,ROUND('Budget by Source'!F108/10,0))</f>
        <v>4458</v>
      </c>
      <c r="G108" s="22">
        <f>IF(Notes!$B$2="June",ROUND('Budget by Source'!G108/10,0)+T108,ROUND('Budget by Source'!G108/10,0))</f>
        <v>20597</v>
      </c>
      <c r="H108" s="22">
        <f t="shared" si="3"/>
        <v>319243</v>
      </c>
      <c r="I108" s="22">
        <f>INDEX(Data[],MATCH($A108,Data[Dist],0),MATCH(I$5,Data[#Headers],0))</f>
        <v>399311</v>
      </c>
      <c r="K108" s="69">
        <f>INDEX('Payment Total'!$A$7:$H$333,MATCH('Payment by Source'!$A108,'Payment Total'!$A$7:$A$333,0),5)-I108</f>
        <v>0</v>
      </c>
      <c r="P108" s="157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-5</v>
      </c>
      <c r="Q108" s="157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1</v>
      </c>
      <c r="R108" s="157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3</v>
      </c>
      <c r="S108" s="157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7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-4</v>
      </c>
      <c r="U108" s="158">
        <f>INDEX('Budget by Source'!$A$6:$I$332,MATCH('Payment by Source'!$A108,'Budget by Source'!$A$6:$A$332,0),MATCH(U$3,'Budget by Source'!$A$5:$I$5,0))</f>
        <v>3201502</v>
      </c>
      <c r="V108" s="155">
        <f t="shared" si="4"/>
        <v>320150</v>
      </c>
      <c r="W108" s="155">
        <f t="shared" si="5"/>
        <v>3201500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14747</v>
      </c>
      <c r="D109" s="22">
        <f>IF(Notes!$B$2="June",ROUND('Budget by Source'!D109/10,0)+Q109,ROUND('Budget by Source'!D109/10,0))</f>
        <v>41296</v>
      </c>
      <c r="E109" s="22">
        <f>IF(Notes!$B$2="June",ROUND('Budget by Source'!E109/10,0)+R109,ROUND('Budget by Source'!E109/10,0))</f>
        <v>4955</v>
      </c>
      <c r="F109" s="22">
        <f>IF(Notes!$B$2="June",ROUND('Budget by Source'!F109/10,0)+S109,ROUND('Budget by Source'!F109/10,0))</f>
        <v>4822</v>
      </c>
      <c r="G109" s="22">
        <f>IF(Notes!$B$2="June",ROUND('Budget by Source'!G109/10,0)+T109,ROUND('Budget by Source'!G109/10,0))</f>
        <v>23221</v>
      </c>
      <c r="H109" s="22">
        <f t="shared" si="3"/>
        <v>275469</v>
      </c>
      <c r="I109" s="22">
        <f>INDEX(Data[],MATCH($A109,Data[Dist],0),MATCH(I$5,Data[#Headers],0))</f>
        <v>364510</v>
      </c>
      <c r="K109" s="69">
        <f>INDEX('Payment Total'!$A$7:$H$333,MATCH('Payment by Source'!$A109,'Payment Total'!$A$7:$A$333,0),5)-I109</f>
        <v>0</v>
      </c>
      <c r="P109" s="157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4</v>
      </c>
      <c r="Q109" s="157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-3</v>
      </c>
      <c r="R109" s="157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7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-5</v>
      </c>
      <c r="T109" s="157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4</v>
      </c>
      <c r="U109" s="158">
        <f>INDEX('Budget by Source'!$A$6:$I$332,MATCH('Payment by Source'!$A109,'Budget by Source'!$A$6:$A$332,0),MATCH(U$3,'Budget by Source'!$A$5:$I$5,0))</f>
        <v>2765033</v>
      </c>
      <c r="V109" s="155">
        <f t="shared" si="4"/>
        <v>276503</v>
      </c>
      <c r="W109" s="155">
        <f t="shared" si="5"/>
        <v>2765030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5395</v>
      </c>
      <c r="D110" s="22">
        <f>IF(Notes!$B$2="June",ROUND('Budget by Source'!D110/10,0)+Q110,ROUND('Budget by Source'!D110/10,0))</f>
        <v>34066</v>
      </c>
      <c r="E110" s="22">
        <f>IF(Notes!$B$2="June",ROUND('Budget by Source'!E110/10,0)+R110,ROUND('Budget by Source'!E110/10,0))</f>
        <v>3715</v>
      </c>
      <c r="F110" s="22">
        <f>IF(Notes!$B$2="June",ROUND('Budget by Source'!F110/10,0)+S110,ROUND('Budget by Source'!F110/10,0))</f>
        <v>3609</v>
      </c>
      <c r="G110" s="22">
        <f>IF(Notes!$B$2="June",ROUND('Budget by Source'!G110/10,0)+T110,ROUND('Budget by Source'!G110/10,0))</f>
        <v>16511</v>
      </c>
      <c r="H110" s="22">
        <f t="shared" si="3"/>
        <v>231222</v>
      </c>
      <c r="I110" s="22">
        <f>INDEX(Data[],MATCH($A110,Data[Dist],0),MATCH(I$5,Data[#Headers],0))</f>
        <v>294518</v>
      </c>
      <c r="K110" s="69">
        <f>INDEX('Payment Total'!$A$7:$H$333,MATCH('Payment by Source'!$A110,'Payment Total'!$A$7:$A$333,0),5)-I110</f>
        <v>0</v>
      </c>
      <c r="P110" s="157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4</v>
      </c>
      <c r="Q110" s="157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4</v>
      </c>
      <c r="R110" s="157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4</v>
      </c>
      <c r="S110" s="157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-5</v>
      </c>
      <c r="T110" s="157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0</v>
      </c>
      <c r="U110" s="158">
        <f>INDEX('Budget by Source'!$A$6:$I$332,MATCH('Payment by Source'!$A110,'Budget by Source'!$A$6:$A$332,0),MATCH(U$3,'Budget by Source'!$A$5:$I$5,0))</f>
        <v>2319706</v>
      </c>
      <c r="V110" s="155">
        <f t="shared" si="4"/>
        <v>231971</v>
      </c>
      <c r="W110" s="155">
        <f t="shared" si="5"/>
        <v>2319710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3597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97183</v>
      </c>
      <c r="I111" s="22">
        <f>INDEX(Data[],MATCH($A111,Data[Dist],0),MATCH(I$5,Data[#Headers],0))</f>
        <v>124245</v>
      </c>
      <c r="K111" s="69">
        <f>INDEX('Payment Total'!$A$7:$H$333,MATCH('Payment by Source'!$A111,'Payment Total'!$A$7:$A$333,0),5)-I111</f>
        <v>0</v>
      </c>
      <c r="P111" s="157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7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7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7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7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8">
        <f>INDEX('Budget by Source'!$A$6:$I$332,MATCH('Payment by Source'!$A111,'Budget by Source'!$A$6:$A$332,0),MATCH(U$3,'Budget by Source'!$A$5:$I$5,0))</f>
        <v>974883</v>
      </c>
      <c r="V111" s="155">
        <f t="shared" si="4"/>
        <v>97488</v>
      </c>
      <c r="W111" s="155">
        <f t="shared" si="5"/>
        <v>974880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21222</v>
      </c>
      <c r="D112" s="22">
        <f>IF(Notes!$B$2="June",ROUND('Budget by Source'!D112/10,0)+Q112,ROUND('Budget by Source'!D112/10,0))</f>
        <v>78059</v>
      </c>
      <c r="E112" s="22">
        <f>IF(Notes!$B$2="June",ROUND('Budget by Source'!E112/10,0)+R112,ROUND('Budget by Source'!E112/10,0))</f>
        <v>9924</v>
      </c>
      <c r="F112" s="22">
        <f>IF(Notes!$B$2="June",ROUND('Budget by Source'!F112/10,0)+S112,ROUND('Budget by Source'!F112/10,0))</f>
        <v>8749</v>
      </c>
      <c r="G112" s="22">
        <f>IF(Notes!$B$2="June",ROUND('Budget by Source'!G112/10,0)+T112,ROUND('Budget by Source'!G112/10,0))</f>
        <v>43474</v>
      </c>
      <c r="H112" s="22">
        <f t="shared" si="3"/>
        <v>658895</v>
      </c>
      <c r="I112" s="22">
        <f>INDEX(Data[],MATCH($A112,Data[Dist],0),MATCH(I$5,Data[#Headers],0))</f>
        <v>820323</v>
      </c>
      <c r="K112" s="69">
        <f>INDEX('Payment Total'!$A$7:$H$333,MATCH('Payment by Source'!$A112,'Payment Total'!$A$7:$A$333,0),5)-I112</f>
        <v>0</v>
      </c>
      <c r="P112" s="157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-2</v>
      </c>
      <c r="Q112" s="157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-4</v>
      </c>
      <c r="R112" s="157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4</v>
      </c>
      <c r="S112" s="157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-4</v>
      </c>
      <c r="T112" s="157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8">
        <f>INDEX('Budget by Source'!$A$6:$I$332,MATCH('Payment by Source'!$A112,'Budget by Source'!$A$6:$A$332,0),MATCH(U$3,'Budget by Source'!$A$5:$I$5,0))</f>
        <v>6608414</v>
      </c>
      <c r="V112" s="155">
        <f t="shared" si="4"/>
        <v>660841</v>
      </c>
      <c r="W112" s="155">
        <f t="shared" si="5"/>
        <v>6608410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5036</v>
      </c>
      <c r="D113" s="22">
        <f>IF(Notes!$B$2="June",ROUND('Budget by Source'!D113/10,0)+Q113,ROUND('Budget by Source'!D113/10,0))</f>
        <v>28874</v>
      </c>
      <c r="E113" s="22">
        <f>IF(Notes!$B$2="June",ROUND('Budget by Source'!E113/10,0)+R113,ROUND('Budget by Source'!E113/10,0))</f>
        <v>2940</v>
      </c>
      <c r="F113" s="22">
        <f>IF(Notes!$B$2="June",ROUND('Budget by Source'!F113/10,0)+S113,ROUND('Budget by Source'!F113/10,0))</f>
        <v>3052</v>
      </c>
      <c r="G113" s="22">
        <f>IF(Notes!$B$2="June",ROUND('Budget by Source'!G113/10,0)+T113,ROUND('Budget by Source'!G113/10,0))</f>
        <v>14212</v>
      </c>
      <c r="H113" s="22">
        <f t="shared" si="3"/>
        <v>173177</v>
      </c>
      <c r="I113" s="22">
        <f>INDEX(Data[],MATCH($A113,Data[Dist],0),MATCH(I$5,Data[#Headers],0))</f>
        <v>227291</v>
      </c>
      <c r="K113" s="69">
        <f>INDEX('Payment Total'!$A$7:$H$333,MATCH('Payment by Source'!$A113,'Payment Total'!$A$7:$A$333,0),5)-I113</f>
        <v>0</v>
      </c>
      <c r="P113" s="157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-3</v>
      </c>
      <c r="Q113" s="157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-3</v>
      </c>
      <c r="R113" s="157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-4</v>
      </c>
      <c r="S113" s="157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-3</v>
      </c>
      <c r="T113" s="157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-3</v>
      </c>
      <c r="U113" s="158">
        <f>INDEX('Budget by Source'!$A$6:$I$332,MATCH('Payment by Source'!$A113,'Budget by Source'!$A$6:$A$332,0),MATCH(U$3,'Budget by Source'!$A$5:$I$5,0))</f>
        <v>1738130</v>
      </c>
      <c r="V113" s="155">
        <f t="shared" si="4"/>
        <v>173813</v>
      </c>
      <c r="W113" s="155">
        <f t="shared" si="5"/>
        <v>1738130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24452</v>
      </c>
      <c r="D114" s="22">
        <f>IF(Notes!$B$2="June",ROUND('Budget by Source'!D114/10,0)+Q114,ROUND('Budget by Source'!D114/10,0))</f>
        <v>102082</v>
      </c>
      <c r="E114" s="22">
        <f>IF(Notes!$B$2="June",ROUND('Budget by Source'!E114/10,0)+R114,ROUND('Budget by Source'!E114/10,0))</f>
        <v>11780</v>
      </c>
      <c r="F114" s="22">
        <f>IF(Notes!$B$2="June",ROUND('Budget by Source'!F114/10,0)+S114,ROUND('Budget by Source'!F114/10,0))</f>
        <v>10738</v>
      </c>
      <c r="G114" s="22">
        <f>IF(Notes!$B$2="June",ROUND('Budget by Source'!G114/10,0)+T114,ROUND('Budget by Source'!G114/10,0))</f>
        <v>55945</v>
      </c>
      <c r="H114" s="22">
        <f t="shared" si="3"/>
        <v>725771</v>
      </c>
      <c r="I114" s="22">
        <f>INDEX(Data[],MATCH($A114,Data[Dist],0),MATCH(I$5,Data[#Headers],0))</f>
        <v>930768</v>
      </c>
      <c r="K114" s="69">
        <f>INDEX('Payment Total'!$A$7:$H$333,MATCH('Payment by Source'!$A114,'Payment Total'!$A$7:$A$333,0),5)-I114</f>
        <v>0</v>
      </c>
      <c r="P114" s="157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-2</v>
      </c>
      <c r="Q114" s="157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4</v>
      </c>
      <c r="R114" s="157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-2</v>
      </c>
      <c r="S114" s="157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1</v>
      </c>
      <c r="T114" s="157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4</v>
      </c>
      <c r="U114" s="158">
        <f>INDEX('Budget by Source'!$A$6:$I$332,MATCH('Payment by Source'!$A114,'Budget by Source'!$A$6:$A$332,0),MATCH(U$3,'Budget by Source'!$A$5:$I$5,0))</f>
        <v>7283085</v>
      </c>
      <c r="V114" s="155">
        <f t="shared" si="4"/>
        <v>728309</v>
      </c>
      <c r="W114" s="155">
        <f t="shared" si="5"/>
        <v>7283090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21941</v>
      </c>
      <c r="D115" s="22">
        <f>IF(Notes!$B$2="June",ROUND('Budget by Source'!D115/10,0)+Q115,ROUND('Budget by Source'!D115/10,0))</f>
        <v>68428</v>
      </c>
      <c r="E115" s="22">
        <f>IF(Notes!$B$2="June",ROUND('Budget by Source'!E115/10,0)+R115,ROUND('Budget by Source'!E115/10,0))</f>
        <v>7746</v>
      </c>
      <c r="F115" s="22">
        <f>IF(Notes!$B$2="June",ROUND('Budget by Source'!F115/10,0)+S115,ROUND('Budget by Source'!F115/10,0))</f>
        <v>7953</v>
      </c>
      <c r="G115" s="22">
        <f>IF(Notes!$B$2="June",ROUND('Budget by Source'!G115/10,0)+T115,ROUND('Budget by Source'!G115/10,0))</f>
        <v>36509</v>
      </c>
      <c r="H115" s="22">
        <f t="shared" si="3"/>
        <v>503977</v>
      </c>
      <c r="I115" s="22">
        <f>INDEX(Data[],MATCH($A115,Data[Dist],0),MATCH(I$5,Data[#Headers],0))</f>
        <v>646554</v>
      </c>
      <c r="K115" s="69">
        <f>INDEX('Payment Total'!$A$7:$H$333,MATCH('Payment by Source'!$A115,'Payment Total'!$A$7:$A$333,0),5)-I115</f>
        <v>0</v>
      </c>
      <c r="P115" s="157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2</v>
      </c>
      <c r="Q115" s="157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0</v>
      </c>
      <c r="R115" s="157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-1</v>
      </c>
      <c r="S115" s="157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0</v>
      </c>
      <c r="T115" s="157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8">
        <f>INDEX('Budget by Source'!$A$6:$I$332,MATCH('Payment by Source'!$A115,'Budget by Source'!$A$6:$A$332,0),MATCH(U$3,'Budget by Source'!$A$5:$I$5,0))</f>
        <v>5056325</v>
      </c>
      <c r="V115" s="155">
        <f t="shared" si="4"/>
        <v>505633</v>
      </c>
      <c r="W115" s="155">
        <f t="shared" si="5"/>
        <v>5056330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72658</v>
      </c>
      <c r="D116" s="22">
        <f>IF(Notes!$B$2="June",ROUND('Budget by Source'!D116/10,0)+Q116,ROUND('Budget by Source'!D116/10,0))</f>
        <v>232242</v>
      </c>
      <c r="E116" s="22">
        <f>IF(Notes!$B$2="June",ROUND('Budget by Source'!E116/10,0)+R116,ROUND('Budget by Source'!E116/10,0))</f>
        <v>30525</v>
      </c>
      <c r="F116" s="22">
        <f>IF(Notes!$B$2="June",ROUND('Budget by Source'!F116/10,0)+S116,ROUND('Budget by Source'!F116/10,0))</f>
        <v>26979</v>
      </c>
      <c r="G116" s="22">
        <f>IF(Notes!$B$2="June",ROUND('Budget by Source'!G116/10,0)+T116,ROUND('Budget by Source'!G116/10,0))</f>
        <v>128269</v>
      </c>
      <c r="H116" s="22">
        <f t="shared" si="3"/>
        <v>2202947</v>
      </c>
      <c r="I116" s="22">
        <f>INDEX(Data[],MATCH($A116,Data[Dist],0),MATCH(I$5,Data[#Headers],0))</f>
        <v>2693620</v>
      </c>
      <c r="K116" s="69">
        <f>INDEX('Payment Total'!$A$7:$H$333,MATCH('Payment by Source'!$A116,'Payment Total'!$A$7:$A$333,0),5)-I116</f>
        <v>0</v>
      </c>
      <c r="P116" s="157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-3</v>
      </c>
      <c r="Q116" s="157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1</v>
      </c>
      <c r="R116" s="157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-1</v>
      </c>
      <c r="S116" s="157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-1</v>
      </c>
      <c r="T116" s="157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3</v>
      </c>
      <c r="U116" s="158">
        <f>INDEX('Budget by Source'!$A$6:$I$332,MATCH('Payment by Source'!$A116,'Budget by Source'!$A$6:$A$332,0),MATCH(U$3,'Budget by Source'!$A$5:$I$5,0))</f>
        <v>22087657</v>
      </c>
      <c r="V116" s="155">
        <f t="shared" si="4"/>
        <v>2208766</v>
      </c>
      <c r="W116" s="155">
        <f t="shared" si="5"/>
        <v>22087660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21222</v>
      </c>
      <c r="D117" s="22">
        <f>IF(Notes!$B$2="June",ROUND('Budget by Source'!D117/10,0)+Q117,ROUND('Budget by Source'!D117/10,0))</f>
        <v>123487</v>
      </c>
      <c r="E117" s="22">
        <f>IF(Notes!$B$2="June",ROUND('Budget by Source'!E117/10,0)+R117,ROUND('Budget by Source'!E117/10,0))</f>
        <v>15422</v>
      </c>
      <c r="F117" s="22">
        <f>IF(Notes!$B$2="June",ROUND('Budget by Source'!F117/10,0)+S117,ROUND('Budget by Source'!F117/10,0))</f>
        <v>13850</v>
      </c>
      <c r="G117" s="22">
        <f>IF(Notes!$B$2="June",ROUND('Budget by Source'!G117/10,0)+T117,ROUND('Budget by Source'!G117/10,0))</f>
        <v>72589</v>
      </c>
      <c r="H117" s="22">
        <f t="shared" si="3"/>
        <v>1030294</v>
      </c>
      <c r="I117" s="22">
        <f>INDEX(Data[],MATCH($A117,Data[Dist],0),MATCH(I$5,Data[#Headers],0))</f>
        <v>1276864</v>
      </c>
      <c r="K117" s="69">
        <f>INDEX('Payment Total'!$A$7:$H$333,MATCH('Payment by Source'!$A117,'Payment Total'!$A$7:$A$333,0),5)-I117</f>
        <v>0</v>
      </c>
      <c r="P117" s="157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7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-1</v>
      </c>
      <c r="R117" s="157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-4</v>
      </c>
      <c r="S117" s="157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-5</v>
      </c>
      <c r="T117" s="157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1</v>
      </c>
      <c r="U117" s="158">
        <f>INDEX('Budget by Source'!$A$6:$I$332,MATCH('Payment by Source'!$A117,'Budget by Source'!$A$6:$A$332,0),MATCH(U$3,'Budget by Source'!$A$5:$I$5,0))</f>
        <v>10861537</v>
      </c>
      <c r="V117" s="155">
        <f t="shared" si="4"/>
        <v>1086154</v>
      </c>
      <c r="W117" s="155">
        <f t="shared" si="5"/>
        <v>10861540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10791</v>
      </c>
      <c r="D118" s="22">
        <f>IF(Notes!$B$2="June",ROUND('Budget by Source'!D118/10,0)+Q118,ROUND('Budget by Source'!D118/10,0))</f>
        <v>28159</v>
      </c>
      <c r="E118" s="22">
        <f>IF(Notes!$B$2="June",ROUND('Budget by Source'!E118/10,0)+R118,ROUND('Budget by Source'!E118/10,0))</f>
        <v>3619</v>
      </c>
      <c r="F118" s="22">
        <f>IF(Notes!$B$2="June",ROUND('Budget by Source'!F118/10,0)+S118,ROUND('Budget by Source'!F118/10,0))</f>
        <v>2755</v>
      </c>
      <c r="G118" s="22">
        <f>IF(Notes!$B$2="June",ROUND('Budget by Source'!G118/10,0)+T118,ROUND('Budget by Source'!G118/10,0))</f>
        <v>15821</v>
      </c>
      <c r="H118" s="22">
        <f t="shared" si="3"/>
        <v>231974</v>
      </c>
      <c r="I118" s="22">
        <f>INDEX(Data[],MATCH($A118,Data[Dist],0),MATCH(I$5,Data[#Headers],0))</f>
        <v>293119</v>
      </c>
      <c r="K118" s="69">
        <f>INDEX('Payment Total'!$A$7:$H$333,MATCH('Payment by Source'!$A118,'Payment Total'!$A$7:$A$333,0),5)-I118</f>
        <v>0</v>
      </c>
      <c r="P118" s="157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-3</v>
      </c>
      <c r="Q118" s="157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-2</v>
      </c>
      <c r="R118" s="157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-4</v>
      </c>
      <c r="S118" s="157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-1</v>
      </c>
      <c r="T118" s="157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-3</v>
      </c>
      <c r="U118" s="158">
        <f>INDEX('Budget by Source'!$A$6:$I$332,MATCH('Payment by Source'!$A118,'Budget by Source'!$A$6:$A$332,0),MATCH(U$3,'Budget by Source'!$A$5:$I$5,0))</f>
        <v>2326809</v>
      </c>
      <c r="V118" s="155">
        <f t="shared" si="4"/>
        <v>232681</v>
      </c>
      <c r="W118" s="155">
        <f t="shared" si="5"/>
        <v>2326810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12230</v>
      </c>
      <c r="D119" s="22">
        <f>IF(Notes!$B$2="June",ROUND('Budget by Source'!D119/10,0)+Q119,ROUND('Budget by Source'!D119/10,0))</f>
        <v>31262</v>
      </c>
      <c r="E119" s="22">
        <f>IF(Notes!$B$2="June",ROUND('Budget by Source'!E119/10,0)+R119,ROUND('Budget by Source'!E119/10,0))</f>
        <v>3420</v>
      </c>
      <c r="F119" s="22">
        <f>IF(Notes!$B$2="June",ROUND('Budget by Source'!F119/10,0)+S119,ROUND('Budget by Source'!F119/10,0))</f>
        <v>3267</v>
      </c>
      <c r="G119" s="22">
        <f>IF(Notes!$B$2="June",ROUND('Budget by Source'!G119/10,0)+T119,ROUND('Budget by Source'!G119/10,0))</f>
        <v>16337</v>
      </c>
      <c r="H119" s="22">
        <f t="shared" si="3"/>
        <v>193226</v>
      </c>
      <c r="I119" s="22">
        <f>INDEX(Data[],MATCH($A119,Data[Dist],0),MATCH(I$5,Data[#Headers],0))</f>
        <v>259742</v>
      </c>
      <c r="K119" s="69">
        <f>INDEX('Payment Total'!$A$7:$H$333,MATCH('Payment by Source'!$A119,'Payment Total'!$A$7:$A$333,0),5)-I119</f>
        <v>0</v>
      </c>
      <c r="P119" s="157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-5</v>
      </c>
      <c r="Q119" s="157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-1</v>
      </c>
      <c r="R119" s="157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-3</v>
      </c>
      <c r="S119" s="157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7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-5</v>
      </c>
      <c r="U119" s="158">
        <f>INDEX('Budget by Source'!$A$6:$I$332,MATCH('Payment by Source'!$A119,'Budget by Source'!$A$6:$A$332,0),MATCH(U$3,'Budget by Source'!$A$5:$I$5,0))</f>
        <v>1939685</v>
      </c>
      <c r="V119" s="155">
        <f t="shared" si="4"/>
        <v>193969</v>
      </c>
      <c r="W119" s="155">
        <f t="shared" si="5"/>
        <v>1939690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24819</v>
      </c>
      <c r="D120" s="22">
        <f>IF(Notes!$B$2="June",ROUND('Budget by Source'!D120/10,0)+Q120,ROUND('Budget by Source'!D120/10,0))</f>
        <v>55012</v>
      </c>
      <c r="E120" s="22">
        <f>IF(Notes!$B$2="June",ROUND('Budget by Source'!E120/10,0)+R120,ROUND('Budget by Source'!E120/10,0))</f>
        <v>6357</v>
      </c>
      <c r="F120" s="22">
        <f>IF(Notes!$B$2="June",ROUND('Budget by Source'!F120/10,0)+S120,ROUND('Budget by Source'!F120/10,0))</f>
        <v>6114</v>
      </c>
      <c r="G120" s="22">
        <f>IF(Notes!$B$2="June",ROUND('Budget by Source'!G120/10,0)+T120,ROUND('Budget by Source'!G120/10,0))</f>
        <v>29287</v>
      </c>
      <c r="H120" s="22">
        <f t="shared" si="3"/>
        <v>252057</v>
      </c>
      <c r="I120" s="22">
        <f>INDEX(Data[],MATCH($A120,Data[Dist],0),MATCH(I$5,Data[#Headers],0))</f>
        <v>373646</v>
      </c>
      <c r="K120" s="69">
        <f>INDEX('Payment Total'!$A$7:$H$333,MATCH('Payment by Source'!$A120,'Payment Total'!$A$7:$A$333,0),5)-I120</f>
        <v>0</v>
      </c>
      <c r="P120" s="157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-2</v>
      </c>
      <c r="Q120" s="157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4</v>
      </c>
      <c r="R120" s="157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1</v>
      </c>
      <c r="S120" s="157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-2</v>
      </c>
      <c r="T120" s="157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0</v>
      </c>
      <c r="U120" s="158">
        <f>INDEX('Budget by Source'!$A$6:$I$332,MATCH('Payment by Source'!$A120,'Budget by Source'!$A$6:$A$332,0),MATCH(U$3,'Budget by Source'!$A$5:$I$5,0))</f>
        <v>2533860</v>
      </c>
      <c r="V120" s="155">
        <f t="shared" si="4"/>
        <v>253386</v>
      </c>
      <c r="W120" s="155">
        <f t="shared" si="5"/>
        <v>2533860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6115</v>
      </c>
      <c r="D121" s="22">
        <f>IF(Notes!$B$2="June",ROUND('Budget by Source'!D121/10,0)+Q121,ROUND('Budget by Source'!D121/10,0))</f>
        <v>27397</v>
      </c>
      <c r="E121" s="22">
        <f>IF(Notes!$B$2="June",ROUND('Budget by Source'!E121/10,0)+R121,ROUND('Budget by Source'!E121/10,0))</f>
        <v>3119</v>
      </c>
      <c r="F121" s="22">
        <f>IF(Notes!$B$2="June",ROUND('Budget by Source'!F121/10,0)+S121,ROUND('Budget by Source'!F121/10,0))</f>
        <v>3049</v>
      </c>
      <c r="G121" s="22">
        <f>IF(Notes!$B$2="June",ROUND('Budget by Source'!G121/10,0)+T121,ROUND('Budget by Source'!G121/10,0))</f>
        <v>14836</v>
      </c>
      <c r="H121" s="22">
        <f t="shared" si="3"/>
        <v>171927</v>
      </c>
      <c r="I121" s="22">
        <f>INDEX(Data[],MATCH($A121,Data[Dist],0),MATCH(I$5,Data[#Headers],0))</f>
        <v>226443</v>
      </c>
      <c r="K121" s="69">
        <f>INDEX('Payment Total'!$A$7:$H$333,MATCH('Payment by Source'!$A121,'Payment Total'!$A$7:$A$333,0),5)-I121</f>
        <v>0</v>
      </c>
      <c r="P121" s="157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7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2</v>
      </c>
      <c r="R121" s="157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1</v>
      </c>
      <c r="S121" s="157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4</v>
      </c>
      <c r="T121" s="157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-5</v>
      </c>
      <c r="U121" s="158">
        <f>INDEX('Budget by Source'!$A$6:$I$332,MATCH('Payment by Source'!$A121,'Budget by Source'!$A$6:$A$332,0),MATCH(U$3,'Budget by Source'!$A$5:$I$5,0))</f>
        <v>1726002</v>
      </c>
      <c r="V121" s="155">
        <f t="shared" si="4"/>
        <v>172600</v>
      </c>
      <c r="W121" s="155">
        <f t="shared" si="5"/>
        <v>1726000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21582</v>
      </c>
      <c r="D122" s="22">
        <f>IF(Notes!$B$2="June",ROUND('Budget by Source'!D122/10,0)+Q122,ROUND('Budget by Source'!D122/10,0))</f>
        <v>90397</v>
      </c>
      <c r="E122" s="22">
        <f>IF(Notes!$B$2="June",ROUND('Budget by Source'!E122/10,0)+R122,ROUND('Budget by Source'!E122/10,0))</f>
        <v>8888</v>
      </c>
      <c r="F122" s="22">
        <f>IF(Notes!$B$2="June",ROUND('Budget by Source'!F122/10,0)+S122,ROUND('Budget by Source'!F122/10,0))</f>
        <v>10035</v>
      </c>
      <c r="G122" s="22">
        <f>IF(Notes!$B$2="June",ROUND('Budget by Source'!G122/10,0)+T122,ROUND('Budget by Source'!G122/10,0))</f>
        <v>53547</v>
      </c>
      <c r="H122" s="22">
        <f t="shared" si="3"/>
        <v>702522</v>
      </c>
      <c r="I122" s="22">
        <f>INDEX(Data[],MATCH($A122,Data[Dist],0),MATCH(I$5,Data[#Headers],0))</f>
        <v>886971</v>
      </c>
      <c r="K122" s="69">
        <f>INDEX('Payment Total'!$A$7:$H$333,MATCH('Payment by Source'!$A122,'Payment Total'!$A$7:$A$333,0),5)-I122</f>
        <v>0</v>
      </c>
      <c r="P122" s="157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-5</v>
      </c>
      <c r="Q122" s="157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1</v>
      </c>
      <c r="R122" s="157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0</v>
      </c>
      <c r="S122" s="157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4</v>
      </c>
      <c r="T122" s="157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3</v>
      </c>
      <c r="U122" s="158">
        <f>INDEX('Budget by Source'!$A$6:$I$332,MATCH('Payment by Source'!$A122,'Budget by Source'!$A$6:$A$332,0),MATCH(U$3,'Budget by Source'!$A$5:$I$5,0))</f>
        <v>7049509</v>
      </c>
      <c r="V122" s="155">
        <f t="shared" si="4"/>
        <v>704951</v>
      </c>
      <c r="W122" s="155">
        <f t="shared" si="5"/>
        <v>7049510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6474</v>
      </c>
      <c r="D123" s="22">
        <f>IF(Notes!$B$2="June",ROUND('Budget by Source'!D123/10,0)+Q123,ROUND('Budget by Source'!D123/10,0))</f>
        <v>11531</v>
      </c>
      <c r="E123" s="22">
        <f>IF(Notes!$B$2="June",ROUND('Budget by Source'!E123/10,0)+R123,ROUND('Budget by Source'!E123/10,0))</f>
        <v>961</v>
      </c>
      <c r="F123" s="22">
        <f>IF(Notes!$B$2="June",ROUND('Budget by Source'!F123/10,0)+S123,ROUND('Budget by Source'!F123/10,0))</f>
        <v>1358</v>
      </c>
      <c r="G123" s="22">
        <f>IF(Notes!$B$2="June",ROUND('Budget by Source'!G123/10,0)+T123,ROUND('Budget by Source'!G123/10,0))</f>
        <v>5795</v>
      </c>
      <c r="H123" s="22">
        <f t="shared" si="3"/>
        <v>79207</v>
      </c>
      <c r="I123" s="22">
        <f>INDEX(Data[],MATCH($A123,Data[Dist],0),MATCH(I$5,Data[#Headers],0))</f>
        <v>105326</v>
      </c>
      <c r="K123" s="69">
        <f>INDEX('Payment Total'!$A$7:$H$333,MATCH('Payment by Source'!$A123,'Payment Total'!$A$7:$A$333,0),5)-I123</f>
        <v>0</v>
      </c>
      <c r="P123" s="157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4</v>
      </c>
      <c r="Q123" s="157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-5</v>
      </c>
      <c r="R123" s="157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-2</v>
      </c>
      <c r="S123" s="157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2</v>
      </c>
      <c r="T123" s="157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-4</v>
      </c>
      <c r="U123" s="158">
        <f>INDEX('Budget by Source'!$A$6:$I$332,MATCH('Payment by Source'!$A123,'Budget by Source'!$A$6:$A$332,0),MATCH(U$3,'Budget by Source'!$A$5:$I$5,0))</f>
        <v>794710</v>
      </c>
      <c r="V123" s="155">
        <f t="shared" si="4"/>
        <v>79471</v>
      </c>
      <c r="W123" s="155">
        <f t="shared" si="5"/>
        <v>794710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12230</v>
      </c>
      <c r="D124" s="22">
        <f>IF(Notes!$B$2="June",ROUND('Budget by Source'!D124/10,0)+Q124,ROUND('Budget by Source'!D124/10,0))</f>
        <v>39662</v>
      </c>
      <c r="E124" s="22">
        <f>IF(Notes!$B$2="June",ROUND('Budget by Source'!E124/10,0)+R124,ROUND('Budget by Source'!E124/10,0))</f>
        <v>3553</v>
      </c>
      <c r="F124" s="22">
        <f>IF(Notes!$B$2="June",ROUND('Budget by Source'!F124/10,0)+S124,ROUND('Budget by Source'!F124/10,0))</f>
        <v>4102</v>
      </c>
      <c r="G124" s="22">
        <f>IF(Notes!$B$2="June",ROUND('Budget by Source'!G124/10,0)+T124,ROUND('Budget by Source'!G124/10,0))</f>
        <v>20634</v>
      </c>
      <c r="H124" s="22">
        <f t="shared" si="3"/>
        <v>264261</v>
      </c>
      <c r="I124" s="22">
        <f>INDEX(Data[],MATCH($A124,Data[Dist],0),MATCH(I$5,Data[#Headers],0))</f>
        <v>344442</v>
      </c>
      <c r="K124" s="69">
        <f>INDEX('Payment Total'!$A$7:$H$333,MATCH('Payment by Source'!$A124,'Payment Total'!$A$7:$A$333,0),5)-I124</f>
        <v>0</v>
      </c>
      <c r="P124" s="157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-5</v>
      </c>
      <c r="Q124" s="157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-3</v>
      </c>
      <c r="R124" s="157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-2</v>
      </c>
      <c r="S124" s="157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1</v>
      </c>
      <c r="T124" s="157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8">
        <f>INDEX('Budget by Source'!$A$6:$I$332,MATCH('Payment by Source'!$A124,'Budget by Source'!$A$6:$A$332,0),MATCH(U$3,'Budget by Source'!$A$5:$I$5,0))</f>
        <v>2651946</v>
      </c>
      <c r="V124" s="155">
        <f t="shared" si="4"/>
        <v>265195</v>
      </c>
      <c r="W124" s="155">
        <f t="shared" si="5"/>
        <v>2651950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19783</v>
      </c>
      <c r="D125" s="22">
        <f>IF(Notes!$B$2="June",ROUND('Budget by Source'!D125/10,0)+Q125,ROUND('Budget by Source'!D125/10,0))</f>
        <v>114797</v>
      </c>
      <c r="E125" s="22">
        <f>IF(Notes!$B$2="June",ROUND('Budget by Source'!E125/10,0)+R125,ROUND('Budget by Source'!E125/10,0))</f>
        <v>14207</v>
      </c>
      <c r="F125" s="22">
        <f>IF(Notes!$B$2="June",ROUND('Budget by Source'!F125/10,0)+S125,ROUND('Budget by Source'!F125/10,0))</f>
        <v>12461</v>
      </c>
      <c r="G125" s="22">
        <f>IF(Notes!$B$2="June",ROUND('Budget by Source'!G125/10,0)+T125,ROUND('Budget by Source'!G125/10,0))</f>
        <v>67262</v>
      </c>
      <c r="H125" s="22">
        <f t="shared" si="3"/>
        <v>1012124</v>
      </c>
      <c r="I125" s="22">
        <f>INDEX(Data[],MATCH($A125,Data[Dist],0),MATCH(I$5,Data[#Headers],0))</f>
        <v>1240634</v>
      </c>
      <c r="K125" s="69">
        <f>INDEX('Payment Total'!$A$7:$H$333,MATCH('Payment by Source'!$A125,'Payment Total'!$A$7:$A$333,0),5)-I125</f>
        <v>0</v>
      </c>
      <c r="P125" s="157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1</v>
      </c>
      <c r="Q125" s="157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0</v>
      </c>
      <c r="R125" s="157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7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3</v>
      </c>
      <c r="T125" s="157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3</v>
      </c>
      <c r="U125" s="158">
        <f>INDEX('Budget by Source'!$A$6:$I$332,MATCH('Payment by Source'!$A125,'Budget by Source'!$A$6:$A$332,0),MATCH(U$3,'Budget by Source'!$A$5:$I$5,0))</f>
        <v>10151745</v>
      </c>
      <c r="V125" s="155">
        <f t="shared" si="4"/>
        <v>1015175</v>
      </c>
      <c r="W125" s="155">
        <f t="shared" si="5"/>
        <v>10151750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11870</v>
      </c>
      <c r="D126" s="22">
        <f>IF(Notes!$B$2="June",ROUND('Budget by Source'!D126/10,0)+Q126,ROUND('Budget by Source'!D126/10,0))</f>
        <v>18940</v>
      </c>
      <c r="E126" s="22">
        <f>IF(Notes!$B$2="June",ROUND('Budget by Source'!E126/10,0)+R126,ROUND('Budget by Source'!E126/10,0))</f>
        <v>2061</v>
      </c>
      <c r="F126" s="22">
        <f>IF(Notes!$B$2="June",ROUND('Budget by Source'!F126/10,0)+S126,ROUND('Budget by Source'!F126/10,0))</f>
        <v>2010</v>
      </c>
      <c r="G126" s="22">
        <f>IF(Notes!$B$2="June",ROUND('Budget by Source'!G126/10,0)+T126,ROUND('Budget by Source'!G126/10,0))</f>
        <v>9818</v>
      </c>
      <c r="H126" s="22">
        <f t="shared" si="3"/>
        <v>115917</v>
      </c>
      <c r="I126" s="22">
        <f>INDEX(Data[],MATCH($A126,Data[Dist],0),MATCH(I$5,Data[#Headers],0))</f>
        <v>160616</v>
      </c>
      <c r="K126" s="69">
        <f>INDEX('Payment Total'!$A$7:$H$333,MATCH('Payment by Source'!$A126,'Payment Total'!$A$7:$A$333,0),5)-I126</f>
        <v>0</v>
      </c>
      <c r="P126" s="157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-1</v>
      </c>
      <c r="Q126" s="157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7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2</v>
      </c>
      <c r="S126" s="157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-3</v>
      </c>
      <c r="T126" s="157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8">
        <f>INDEX('Budget by Source'!$A$6:$I$332,MATCH('Payment by Source'!$A126,'Budget by Source'!$A$6:$A$332,0),MATCH(U$3,'Budget by Source'!$A$5:$I$5,0))</f>
        <v>1163594</v>
      </c>
      <c r="V126" s="155">
        <f t="shared" si="4"/>
        <v>116359</v>
      </c>
      <c r="W126" s="155">
        <f t="shared" si="5"/>
        <v>1163590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10424</v>
      </c>
      <c r="D127" s="22">
        <f>IF(Notes!$B$2="June",ROUND('Budget by Source'!D127/10,0)+Q127,ROUND('Budget by Source'!D127/10,0))</f>
        <v>25368</v>
      </c>
      <c r="E127" s="22">
        <f>IF(Notes!$B$2="June",ROUND('Budget by Source'!E127/10,0)+R127,ROUND('Budget by Source'!E127/10,0))</f>
        <v>2955</v>
      </c>
      <c r="F127" s="22">
        <f>IF(Notes!$B$2="June",ROUND('Budget by Source'!F127/10,0)+S127,ROUND('Budget by Source'!F127/10,0))</f>
        <v>2431</v>
      </c>
      <c r="G127" s="22">
        <f>IF(Notes!$B$2="June",ROUND('Budget by Source'!G127/10,0)+T127,ROUND('Budget by Source'!G127/10,0))</f>
        <v>13509</v>
      </c>
      <c r="H127" s="22">
        <f t="shared" si="3"/>
        <v>134537</v>
      </c>
      <c r="I127" s="22">
        <f>INDEX(Data[],MATCH($A127,Data[Dist],0),MATCH(I$5,Data[#Headers],0))</f>
        <v>189224</v>
      </c>
      <c r="K127" s="69">
        <f>INDEX('Payment Total'!$A$7:$H$333,MATCH('Payment by Source'!$A127,'Payment Total'!$A$7:$A$333,0),5)-I127</f>
        <v>0</v>
      </c>
      <c r="P127" s="157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-2</v>
      </c>
      <c r="Q127" s="157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7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-3</v>
      </c>
      <c r="S127" s="157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1</v>
      </c>
      <c r="T127" s="157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0</v>
      </c>
      <c r="U127" s="158">
        <f>INDEX('Budget by Source'!$A$6:$I$332,MATCH('Payment by Source'!$A127,'Budget by Source'!$A$6:$A$332,0),MATCH(U$3,'Budget by Source'!$A$5:$I$5,0))</f>
        <v>1351507</v>
      </c>
      <c r="V127" s="155">
        <f t="shared" si="4"/>
        <v>135151</v>
      </c>
      <c r="W127" s="155">
        <f t="shared" si="5"/>
        <v>1351510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7546</v>
      </c>
      <c r="D128" s="22">
        <f>IF(Notes!$B$2="June",ROUND('Budget by Source'!D128/10,0)+Q128,ROUND('Budget by Source'!D128/10,0))</f>
        <v>41316</v>
      </c>
      <c r="E128" s="22">
        <f>IF(Notes!$B$2="June",ROUND('Budget by Source'!E128/10,0)+R128,ROUND('Budget by Source'!E128/10,0))</f>
        <v>4674</v>
      </c>
      <c r="F128" s="22">
        <f>IF(Notes!$B$2="June",ROUND('Budget by Source'!F128/10,0)+S128,ROUND('Budget by Source'!F128/10,0))</f>
        <v>4729</v>
      </c>
      <c r="G128" s="22">
        <f>IF(Notes!$B$2="June",ROUND('Budget by Source'!G128/10,0)+T128,ROUND('Budget by Source'!G128/10,0))</f>
        <v>21872</v>
      </c>
      <c r="H128" s="22">
        <f t="shared" si="3"/>
        <v>307443</v>
      </c>
      <c r="I128" s="22">
        <f>INDEX(Data[],MATCH($A128,Data[Dist],0),MATCH(I$5,Data[#Headers],0))</f>
        <v>387580</v>
      </c>
      <c r="K128" s="69">
        <f>INDEX('Payment Total'!$A$7:$H$333,MATCH('Payment by Source'!$A128,'Payment Total'!$A$7:$A$333,0),5)-I128</f>
        <v>0</v>
      </c>
      <c r="P128" s="157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2</v>
      </c>
      <c r="Q128" s="157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-2</v>
      </c>
      <c r="R128" s="157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-4</v>
      </c>
      <c r="S128" s="157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2</v>
      </c>
      <c r="T128" s="157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-5</v>
      </c>
      <c r="U128" s="158">
        <f>INDEX('Budget by Source'!$A$6:$I$332,MATCH('Payment by Source'!$A128,'Budget by Source'!$A$6:$A$332,0),MATCH(U$3,'Budget by Source'!$A$5:$I$5,0))</f>
        <v>3084364</v>
      </c>
      <c r="V128" s="155">
        <f t="shared" si="4"/>
        <v>308436</v>
      </c>
      <c r="W128" s="155">
        <f t="shared" si="5"/>
        <v>3084360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6834</v>
      </c>
      <c r="D129" s="22">
        <f>IF(Notes!$B$2="June",ROUND('Budget by Source'!D129/10,0)+Q129,ROUND('Budget by Source'!D129/10,0))</f>
        <v>18236</v>
      </c>
      <c r="E129" s="22">
        <f>IF(Notes!$B$2="June",ROUND('Budget by Source'!E129/10,0)+R129,ROUND('Budget by Source'!E129/10,0))</f>
        <v>2169</v>
      </c>
      <c r="F129" s="22">
        <f>IF(Notes!$B$2="June",ROUND('Budget by Source'!F129/10,0)+S129,ROUND('Budget by Source'!F129/10,0))</f>
        <v>2153</v>
      </c>
      <c r="G129" s="22">
        <f>IF(Notes!$B$2="June",ROUND('Budget by Source'!G129/10,0)+T129,ROUND('Budget by Source'!G129/10,0))</f>
        <v>8836</v>
      </c>
      <c r="H129" s="22">
        <f t="shared" si="3"/>
        <v>72670</v>
      </c>
      <c r="I129" s="22">
        <f>INDEX(Data[],MATCH($A129,Data[Dist],0),MATCH(I$5,Data[#Headers],0))</f>
        <v>110898</v>
      </c>
      <c r="K129" s="69">
        <f>INDEX('Payment Total'!$A$7:$H$333,MATCH('Payment by Source'!$A129,'Payment Total'!$A$7:$A$333,0),5)-I129</f>
        <v>0</v>
      </c>
      <c r="P129" s="157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2</v>
      </c>
      <c r="Q129" s="157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-2</v>
      </c>
      <c r="R129" s="157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7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4</v>
      </c>
      <c r="T129" s="157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-1</v>
      </c>
      <c r="U129" s="158">
        <f>INDEX('Budget by Source'!$A$6:$I$332,MATCH('Payment by Source'!$A129,'Budget by Source'!$A$6:$A$332,0),MATCH(U$3,'Budget by Source'!$A$5:$I$5,0))</f>
        <v>730667</v>
      </c>
      <c r="V129" s="155">
        <f t="shared" si="4"/>
        <v>73067</v>
      </c>
      <c r="W129" s="155">
        <f t="shared" si="5"/>
        <v>730670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20862</v>
      </c>
      <c r="D130" s="22">
        <f>IF(Notes!$B$2="June",ROUND('Budget by Source'!D130/10,0)+Q130,ROUND('Budget by Source'!D130/10,0))</f>
        <v>96564</v>
      </c>
      <c r="E130" s="22">
        <f>IF(Notes!$B$2="June",ROUND('Budget by Source'!E130/10,0)+R130,ROUND('Budget by Source'!E130/10,0))</f>
        <v>11761</v>
      </c>
      <c r="F130" s="22">
        <f>IF(Notes!$B$2="June",ROUND('Budget by Source'!F130/10,0)+S130,ROUND('Budget by Source'!F130/10,0))</f>
        <v>10579</v>
      </c>
      <c r="G130" s="22">
        <f>IF(Notes!$B$2="June",ROUND('Budget by Source'!G130/10,0)+T130,ROUND('Budget by Source'!G130/10,0))</f>
        <v>55200</v>
      </c>
      <c r="H130" s="22">
        <f t="shared" si="3"/>
        <v>801389</v>
      </c>
      <c r="I130" s="22">
        <f>INDEX(Data[],MATCH($A130,Data[Dist],0),MATCH(I$5,Data[#Headers],0))</f>
        <v>996355</v>
      </c>
      <c r="K130" s="69">
        <f>INDEX('Payment Total'!$A$7:$H$333,MATCH('Payment by Source'!$A130,'Payment Total'!$A$7:$A$333,0),5)-I130</f>
        <v>0</v>
      </c>
      <c r="P130" s="157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1</v>
      </c>
      <c r="Q130" s="157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-3</v>
      </c>
      <c r="R130" s="157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0</v>
      </c>
      <c r="S130" s="157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-1</v>
      </c>
      <c r="T130" s="157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3</v>
      </c>
      <c r="U130" s="158">
        <f>INDEX('Budget by Source'!$A$6:$I$332,MATCH('Payment by Source'!$A130,'Budget by Source'!$A$6:$A$332,0),MATCH(U$3,'Budget by Source'!$A$5:$I$5,0))</f>
        <v>8038785</v>
      </c>
      <c r="V130" s="155">
        <f t="shared" si="4"/>
        <v>803879</v>
      </c>
      <c r="W130" s="155">
        <f t="shared" si="5"/>
        <v>8038790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10431</v>
      </c>
      <c r="D131" s="22">
        <f>IF(Notes!$B$2="June",ROUND('Budget by Source'!D131/10,0)+Q131,ROUND('Budget by Source'!D131/10,0))</f>
        <v>27534</v>
      </c>
      <c r="E131" s="22">
        <f>IF(Notes!$B$2="June",ROUND('Budget by Source'!E131/10,0)+R131,ROUND('Budget by Source'!E131/10,0))</f>
        <v>2926</v>
      </c>
      <c r="F131" s="22">
        <f>IF(Notes!$B$2="June",ROUND('Budget by Source'!F131/10,0)+S131,ROUND('Budget by Source'!F131/10,0))</f>
        <v>2881</v>
      </c>
      <c r="G131" s="22">
        <f>IF(Notes!$B$2="June",ROUND('Budget by Source'!G131/10,0)+T131,ROUND('Budget by Source'!G131/10,0))</f>
        <v>15785</v>
      </c>
      <c r="H131" s="22">
        <f t="shared" si="3"/>
        <v>213323</v>
      </c>
      <c r="I131" s="22">
        <f>INDEX(Data[],MATCH($A131,Data[Dist],0),MATCH(I$5,Data[#Headers],0))</f>
        <v>272880</v>
      </c>
      <c r="K131" s="69">
        <f>INDEX('Payment Total'!$A$7:$H$333,MATCH('Payment by Source'!$A131,'Payment Total'!$A$7:$A$333,0),5)-I131</f>
        <v>0</v>
      </c>
      <c r="P131" s="157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1</v>
      </c>
      <c r="Q131" s="157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-4</v>
      </c>
      <c r="R131" s="157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-3</v>
      </c>
      <c r="S131" s="157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4</v>
      </c>
      <c r="T131" s="157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-1</v>
      </c>
      <c r="U131" s="158">
        <f>INDEX('Budget by Source'!$A$6:$I$332,MATCH('Payment by Source'!$A131,'Budget by Source'!$A$6:$A$332,0),MATCH(U$3,'Budget by Source'!$A$5:$I$5,0))</f>
        <v>2140385</v>
      </c>
      <c r="V131" s="155">
        <f t="shared" si="4"/>
        <v>214039</v>
      </c>
      <c r="W131" s="155">
        <f t="shared" si="5"/>
        <v>2140390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14388</v>
      </c>
      <c r="D132" s="22">
        <f>IF(Notes!$B$2="June",ROUND('Budget by Source'!D132/10,0)+Q132,ROUND('Budget by Source'!D132/10,0))</f>
        <v>44345</v>
      </c>
      <c r="E132" s="22">
        <f>IF(Notes!$B$2="June",ROUND('Budget by Source'!E132/10,0)+R132,ROUND('Budget by Source'!E132/10,0))</f>
        <v>4348</v>
      </c>
      <c r="F132" s="22">
        <f>IF(Notes!$B$2="June",ROUND('Budget by Source'!F132/10,0)+S132,ROUND('Budget by Source'!F132/10,0))</f>
        <v>4760</v>
      </c>
      <c r="G132" s="22">
        <f>IF(Notes!$B$2="June",ROUND('Budget by Source'!G132/10,0)+T132,ROUND('Budget by Source'!G132/10,0))</f>
        <v>23007</v>
      </c>
      <c r="H132" s="22">
        <f t="shared" si="3"/>
        <v>338044</v>
      </c>
      <c r="I132" s="22">
        <f>INDEX(Data[],MATCH($A132,Data[Dist],0),MATCH(I$5,Data[#Headers],0))</f>
        <v>428892</v>
      </c>
      <c r="K132" s="69">
        <f>INDEX('Payment Total'!$A$7:$H$333,MATCH('Payment by Source'!$A132,'Payment Total'!$A$7:$A$333,0),5)-I132</f>
        <v>0</v>
      </c>
      <c r="P132" s="157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-3</v>
      </c>
      <c r="Q132" s="157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7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1</v>
      </c>
      <c r="S132" s="157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0</v>
      </c>
      <c r="T132" s="157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8">
        <f>INDEX('Budget by Source'!$A$6:$I$332,MATCH('Payment by Source'!$A132,'Budget by Source'!$A$6:$A$332,0),MATCH(U$3,'Budget by Source'!$A$5:$I$5,0))</f>
        <v>3390882</v>
      </c>
      <c r="V132" s="155">
        <f t="shared" si="4"/>
        <v>339088</v>
      </c>
      <c r="W132" s="155">
        <f t="shared" si="5"/>
        <v>3390880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8633</v>
      </c>
      <c r="D133" s="22">
        <f>IF(Notes!$B$2="June",ROUND('Budget by Source'!D133/10,0)+Q133,ROUND('Budget by Source'!D133/10,0))</f>
        <v>27660</v>
      </c>
      <c r="E133" s="22">
        <f>IF(Notes!$B$2="June",ROUND('Budget by Source'!E133/10,0)+R133,ROUND('Budget by Source'!E133/10,0))</f>
        <v>3368</v>
      </c>
      <c r="F133" s="22">
        <f>IF(Notes!$B$2="June",ROUND('Budget by Source'!F133/10,0)+S133,ROUND('Budget by Source'!F133/10,0))</f>
        <v>2837</v>
      </c>
      <c r="G133" s="22">
        <f>IF(Notes!$B$2="June",ROUND('Budget by Source'!G133/10,0)+T133,ROUND('Budget by Source'!G133/10,0))</f>
        <v>14887</v>
      </c>
      <c r="H133" s="22">
        <f t="shared" si="3"/>
        <v>194639</v>
      </c>
      <c r="I133" s="22">
        <f>INDEX(Data[],MATCH($A133,Data[Dist],0),MATCH(I$5,Data[#Headers],0))</f>
        <v>252024</v>
      </c>
      <c r="K133" s="69">
        <f>INDEX('Payment Total'!$A$7:$H$333,MATCH('Payment by Source'!$A133,'Payment Total'!$A$7:$A$333,0),5)-I133</f>
        <v>0</v>
      </c>
      <c r="P133" s="157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-4</v>
      </c>
      <c r="Q133" s="157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-3</v>
      </c>
      <c r="R133" s="157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-2</v>
      </c>
      <c r="S133" s="157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7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-3</v>
      </c>
      <c r="U133" s="158">
        <f>INDEX('Budget by Source'!$A$6:$I$332,MATCH('Payment by Source'!$A133,'Budget by Source'!$A$6:$A$332,0),MATCH(U$3,'Budget by Source'!$A$5:$I$5,0))</f>
        <v>1952839</v>
      </c>
      <c r="V133" s="155">
        <f t="shared" si="4"/>
        <v>195284</v>
      </c>
      <c r="W133" s="155">
        <f t="shared" si="5"/>
        <v>1952840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10431</v>
      </c>
      <c r="D134" s="22">
        <f>IF(Notes!$B$2="June",ROUND('Budget by Source'!D134/10,0)+Q134,ROUND('Budget by Source'!D134/10,0))</f>
        <v>37127</v>
      </c>
      <c r="E134" s="22">
        <f>IF(Notes!$B$2="June",ROUND('Budget by Source'!E134/10,0)+R134,ROUND('Budget by Source'!E134/10,0))</f>
        <v>3825</v>
      </c>
      <c r="F134" s="22">
        <f>IF(Notes!$B$2="June",ROUND('Budget by Source'!F134/10,0)+S134,ROUND('Budget by Source'!F134/10,0))</f>
        <v>4202</v>
      </c>
      <c r="G134" s="22">
        <f>IF(Notes!$B$2="June",ROUND('Budget by Source'!G134/10,0)+T134,ROUND('Budget by Source'!G134/10,0))</f>
        <v>20756</v>
      </c>
      <c r="H134" s="22">
        <f t="shared" si="3"/>
        <v>218708</v>
      </c>
      <c r="I134" s="22">
        <f>INDEX(Data[],MATCH($A134,Data[Dist],0),MATCH(I$5,Data[#Headers],0))</f>
        <v>295049</v>
      </c>
      <c r="K134" s="69">
        <f>INDEX('Payment Total'!$A$7:$H$333,MATCH('Payment by Source'!$A134,'Payment Total'!$A$7:$A$333,0),5)-I134</f>
        <v>0</v>
      </c>
      <c r="P134" s="157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1</v>
      </c>
      <c r="Q134" s="157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4</v>
      </c>
      <c r="R134" s="157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1</v>
      </c>
      <c r="S134" s="157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0</v>
      </c>
      <c r="T134" s="157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-3</v>
      </c>
      <c r="U134" s="158">
        <f>INDEX('Budget by Source'!$A$6:$I$332,MATCH('Payment by Source'!$A134,'Budget by Source'!$A$6:$A$332,0),MATCH(U$3,'Budget by Source'!$A$5:$I$5,0))</f>
        <v>2196487</v>
      </c>
      <c r="V134" s="155">
        <f t="shared" si="4"/>
        <v>219649</v>
      </c>
      <c r="W134" s="155">
        <f t="shared" si="5"/>
        <v>2196490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6834</v>
      </c>
      <c r="D135" s="22">
        <f>IF(Notes!$B$2="June",ROUND('Budget by Source'!D135/10,0)+Q135,ROUND('Budget by Source'!D135/10,0))</f>
        <v>21680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157106</v>
      </c>
      <c r="I135" s="22">
        <f>INDEX(Data[],MATCH($A135,Data[Dist],0),MATCH(I$5,Data[#Headers],0))</f>
        <v>201883</v>
      </c>
      <c r="K135" s="69">
        <f>INDEX('Payment Total'!$A$7:$H$333,MATCH('Payment by Source'!$A135,'Payment Total'!$A$7:$A$333,0),5)-I135</f>
        <v>0</v>
      </c>
      <c r="P135" s="157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2</v>
      </c>
      <c r="Q135" s="157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-1</v>
      </c>
      <c r="R135" s="157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7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7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8">
        <f>INDEX('Budget by Source'!$A$6:$I$332,MATCH('Payment by Source'!$A135,'Budget by Source'!$A$6:$A$332,0),MATCH(U$3,'Budget by Source'!$A$5:$I$5,0))</f>
        <v>1576370</v>
      </c>
      <c r="V135" s="155">
        <f t="shared" ref="V135:V198" si="7">ROUND(U135/10,0)</f>
        <v>157637</v>
      </c>
      <c r="W135" s="155">
        <f t="shared" ref="W135:W198" si="8">V135*10</f>
        <v>1576370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5036</v>
      </c>
      <c r="D136" s="22">
        <f>IF(Notes!$B$2="June",ROUND('Budget by Source'!D136/10,0)+Q136,ROUND('Budget by Source'!D136/10,0))</f>
        <v>12421</v>
      </c>
      <c r="E136" s="22">
        <f>IF(Notes!$B$2="June",ROUND('Budget by Source'!E136/10,0)+R136,ROUND('Budget by Source'!E136/10,0))</f>
        <v>1455</v>
      </c>
      <c r="F136" s="22">
        <f>IF(Notes!$B$2="June",ROUND('Budget by Source'!F136/10,0)+S136,ROUND('Budget by Source'!F136/10,0))</f>
        <v>1290</v>
      </c>
      <c r="G136" s="22">
        <f>IF(Notes!$B$2="June",ROUND('Budget by Source'!G136/10,0)+T136,ROUND('Budget by Source'!G136/10,0))</f>
        <v>6842</v>
      </c>
      <c r="H136" s="22">
        <f t="shared" si="6"/>
        <v>80417</v>
      </c>
      <c r="I136" s="22">
        <f>INDEX(Data[],MATCH($A136,Data[Dist],0),MATCH(I$5,Data[#Headers],0))</f>
        <v>107461</v>
      </c>
      <c r="K136" s="69">
        <f>INDEX('Payment Total'!$A$7:$H$333,MATCH('Payment by Source'!$A136,'Payment Total'!$A$7:$A$333,0),5)-I136</f>
        <v>0</v>
      </c>
      <c r="P136" s="157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-3</v>
      </c>
      <c r="Q136" s="157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1</v>
      </c>
      <c r="R136" s="157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-3</v>
      </c>
      <c r="S136" s="157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7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-2</v>
      </c>
      <c r="U136" s="158">
        <f>INDEX('Budget by Source'!$A$6:$I$332,MATCH('Payment by Source'!$A136,'Budget by Source'!$A$6:$A$332,0),MATCH(U$3,'Budget by Source'!$A$5:$I$5,0))</f>
        <v>807276</v>
      </c>
      <c r="V136" s="155">
        <f t="shared" si="7"/>
        <v>80728</v>
      </c>
      <c r="W136" s="155">
        <f t="shared" si="8"/>
        <v>807280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18704</v>
      </c>
      <c r="D137" s="22">
        <f>IF(Notes!$B$2="June",ROUND('Budget by Source'!D137/10,0)+Q137,ROUND('Budget by Source'!D137/10,0))</f>
        <v>73721</v>
      </c>
      <c r="E137" s="22">
        <f>IF(Notes!$B$2="June",ROUND('Budget by Source'!E137/10,0)+R137,ROUND('Budget by Source'!E137/10,0))</f>
        <v>9489</v>
      </c>
      <c r="F137" s="22">
        <f>IF(Notes!$B$2="June",ROUND('Budget by Source'!F137/10,0)+S137,ROUND('Budget by Source'!F137/10,0))</f>
        <v>7999</v>
      </c>
      <c r="G137" s="22">
        <f>IF(Notes!$B$2="June",ROUND('Budget by Source'!G137/10,0)+T137,ROUND('Budget by Source'!G137/10,0))</f>
        <v>39871</v>
      </c>
      <c r="H137" s="22">
        <f t="shared" si="6"/>
        <v>627013</v>
      </c>
      <c r="I137" s="22">
        <f>INDEX(Data[],MATCH($A137,Data[Dist],0),MATCH(I$5,Data[#Headers],0))</f>
        <v>776797</v>
      </c>
      <c r="K137" s="69">
        <f>INDEX('Payment Total'!$A$7:$H$333,MATCH('Payment by Source'!$A137,'Payment Total'!$A$7:$A$333,0),5)-I137</f>
        <v>0</v>
      </c>
      <c r="P137" s="157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0</v>
      </c>
      <c r="Q137" s="157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1</v>
      </c>
      <c r="R137" s="157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0</v>
      </c>
      <c r="S137" s="157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-1</v>
      </c>
      <c r="T137" s="157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-5</v>
      </c>
      <c r="U137" s="158">
        <f>INDEX('Budget by Source'!$A$6:$I$332,MATCH('Payment by Source'!$A137,'Budget by Source'!$A$6:$A$332,0),MATCH(U$3,'Budget by Source'!$A$5:$I$5,0))</f>
        <v>6287884</v>
      </c>
      <c r="V137" s="155">
        <f t="shared" si="7"/>
        <v>628788</v>
      </c>
      <c r="W137" s="155">
        <f t="shared" si="8"/>
        <v>6287880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21941</v>
      </c>
      <c r="D138" s="22">
        <f>IF(Notes!$B$2="June",ROUND('Budget by Source'!D138/10,0)+Q138,ROUND('Budget by Source'!D138/10,0))</f>
        <v>84032</v>
      </c>
      <c r="E138" s="22">
        <f>IF(Notes!$B$2="June",ROUND('Budget by Source'!E138/10,0)+R138,ROUND('Budget by Source'!E138/10,0))</f>
        <v>9812</v>
      </c>
      <c r="F138" s="22">
        <f>IF(Notes!$B$2="June",ROUND('Budget by Source'!F138/10,0)+S138,ROUND('Budget by Source'!F138/10,0))</f>
        <v>9845</v>
      </c>
      <c r="G138" s="22">
        <f>IF(Notes!$B$2="June",ROUND('Budget by Source'!G138/10,0)+T138,ROUND('Budget by Source'!G138/10,0))</f>
        <v>47289</v>
      </c>
      <c r="H138" s="22">
        <f t="shared" si="6"/>
        <v>669105</v>
      </c>
      <c r="I138" s="22">
        <f>INDEX(Data[],MATCH($A138,Data[Dist],0),MATCH(I$5,Data[#Headers],0))</f>
        <v>842024</v>
      </c>
      <c r="K138" s="69">
        <f>INDEX('Payment Total'!$A$7:$H$333,MATCH('Payment by Source'!$A138,'Payment Total'!$A$7:$A$333,0),5)-I138</f>
        <v>0</v>
      </c>
      <c r="P138" s="157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2</v>
      </c>
      <c r="Q138" s="157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0</v>
      </c>
      <c r="R138" s="157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1</v>
      </c>
      <c r="S138" s="157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-4</v>
      </c>
      <c r="T138" s="157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-5</v>
      </c>
      <c r="U138" s="158">
        <f>INDEX('Budget by Source'!$A$6:$I$332,MATCH('Payment by Source'!$A138,'Budget by Source'!$A$6:$A$332,0),MATCH(U$3,'Budget by Source'!$A$5:$I$5,0))</f>
        <v>6712507</v>
      </c>
      <c r="V138" s="155">
        <f t="shared" si="7"/>
        <v>671251</v>
      </c>
      <c r="W138" s="155">
        <f t="shared" si="8"/>
        <v>6712510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7194</v>
      </c>
      <c r="D139" s="22">
        <f>IF(Notes!$B$2="June",ROUND('Budget by Source'!D139/10,0)+Q139,ROUND('Budget by Source'!D139/10,0))</f>
        <v>19097</v>
      </c>
      <c r="E139" s="22">
        <f>IF(Notes!$B$2="June",ROUND('Budget by Source'!E139/10,0)+R139,ROUND('Budget by Source'!E139/10,0))</f>
        <v>2570</v>
      </c>
      <c r="F139" s="22">
        <f>IF(Notes!$B$2="June",ROUND('Budget by Source'!F139/10,0)+S139,ROUND('Budget by Source'!F139/10,0))</f>
        <v>2002</v>
      </c>
      <c r="G139" s="22">
        <f>IF(Notes!$B$2="June",ROUND('Budget by Source'!G139/10,0)+T139,ROUND('Budget by Source'!G139/10,0))</f>
        <v>10298</v>
      </c>
      <c r="H139" s="22">
        <f t="shared" si="6"/>
        <v>58189</v>
      </c>
      <c r="I139" s="22">
        <f>INDEX(Data[],MATCH($A139,Data[Dist],0),MATCH(I$5,Data[#Headers],0))</f>
        <v>99350</v>
      </c>
      <c r="K139" s="69">
        <f>INDEX('Payment Total'!$A$7:$H$333,MATCH('Payment by Source'!$A139,'Payment Total'!$A$7:$A$333,0),5)-I139</f>
        <v>0</v>
      </c>
      <c r="P139" s="157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7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4</v>
      </c>
      <c r="R139" s="157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-3</v>
      </c>
      <c r="S139" s="157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7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-4</v>
      </c>
      <c r="U139" s="158">
        <f>INDEX('Budget by Source'!$A$6:$I$332,MATCH('Payment by Source'!$A139,'Budget by Source'!$A$6:$A$332,0),MATCH(U$3,'Budget by Source'!$A$5:$I$5,0))</f>
        <v>586575</v>
      </c>
      <c r="V139" s="155">
        <f t="shared" si="7"/>
        <v>58658</v>
      </c>
      <c r="W139" s="155">
        <f t="shared" si="8"/>
        <v>586580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11870</v>
      </c>
      <c r="D140" s="22">
        <f>IF(Notes!$B$2="June",ROUND('Budget by Source'!D140/10,0)+Q140,ROUND('Budget by Source'!D140/10,0))</f>
        <v>40050</v>
      </c>
      <c r="E140" s="22">
        <f>IF(Notes!$B$2="June",ROUND('Budget by Source'!E140/10,0)+R140,ROUND('Budget by Source'!E140/10,0))</f>
        <v>4085</v>
      </c>
      <c r="F140" s="22">
        <f>IF(Notes!$B$2="June",ROUND('Budget by Source'!F140/10,0)+S140,ROUND('Budget by Source'!F140/10,0))</f>
        <v>4334</v>
      </c>
      <c r="G140" s="22">
        <f>IF(Notes!$B$2="June",ROUND('Budget by Source'!G140/10,0)+T140,ROUND('Budget by Source'!G140/10,0))</f>
        <v>21370</v>
      </c>
      <c r="H140" s="22">
        <f t="shared" si="6"/>
        <v>221935</v>
      </c>
      <c r="I140" s="22">
        <f>INDEX(Data[],MATCH($A140,Data[Dist],0),MATCH(I$5,Data[#Headers],0))</f>
        <v>303644</v>
      </c>
      <c r="K140" s="69">
        <f>INDEX('Payment Total'!$A$7:$H$333,MATCH('Payment by Source'!$A140,'Payment Total'!$A$7:$A$333,0),5)-I140</f>
        <v>0</v>
      </c>
      <c r="P140" s="157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-1</v>
      </c>
      <c r="Q140" s="157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-5</v>
      </c>
      <c r="R140" s="157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-4</v>
      </c>
      <c r="S140" s="157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-2</v>
      </c>
      <c r="T140" s="157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1</v>
      </c>
      <c r="U140" s="158">
        <f>INDEX('Budget by Source'!$A$6:$I$332,MATCH('Payment by Source'!$A140,'Budget by Source'!$A$6:$A$332,0),MATCH(U$3,'Budget by Source'!$A$5:$I$5,0))</f>
        <v>2229049</v>
      </c>
      <c r="V140" s="155">
        <f t="shared" si="7"/>
        <v>222905</v>
      </c>
      <c r="W140" s="155">
        <f t="shared" si="8"/>
        <v>2229050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10431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258598</v>
      </c>
      <c r="I141" s="22">
        <f>INDEX(Data[],MATCH($A141,Data[Dist],0),MATCH(I$5,Data[#Headers],0))</f>
        <v>338966</v>
      </c>
      <c r="K141" s="69">
        <f>INDEX('Payment Total'!$A$7:$H$333,MATCH('Payment by Source'!$A141,'Payment Total'!$A$7:$A$333,0),5)-I141</f>
        <v>0</v>
      </c>
      <c r="P141" s="157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1</v>
      </c>
      <c r="Q141" s="157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7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7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7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8">
        <f>INDEX('Budget by Source'!$A$6:$I$332,MATCH('Payment by Source'!$A141,'Budget by Source'!$A$6:$A$332,0),MATCH(U$3,'Budget by Source'!$A$5:$I$5,0))</f>
        <v>2595629</v>
      </c>
      <c r="V141" s="155">
        <f t="shared" si="7"/>
        <v>259563</v>
      </c>
      <c r="W141" s="155">
        <f t="shared" si="8"/>
        <v>2595630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12949</v>
      </c>
      <c r="D142" s="22">
        <f>IF(Notes!$B$2="June",ROUND('Budget by Source'!D142/10,0)+Q142,ROUND('Budget by Source'!D142/10,0))</f>
        <v>33522</v>
      </c>
      <c r="E142" s="22">
        <f>IF(Notes!$B$2="June",ROUND('Budget by Source'!E142/10,0)+R142,ROUND('Budget by Source'!E142/10,0))</f>
        <v>4058</v>
      </c>
      <c r="F142" s="22">
        <f>IF(Notes!$B$2="June",ROUND('Budget by Source'!F142/10,0)+S142,ROUND('Budget by Source'!F142/10,0))</f>
        <v>3766</v>
      </c>
      <c r="G142" s="22">
        <f>IF(Notes!$B$2="June",ROUND('Budget by Source'!G142/10,0)+T142,ROUND('Budget by Source'!G142/10,0))</f>
        <v>18187</v>
      </c>
      <c r="H142" s="22">
        <f t="shared" si="6"/>
        <v>216881</v>
      </c>
      <c r="I142" s="22">
        <f>INDEX(Data[],MATCH($A142,Data[Dist],0),MATCH(I$5,Data[#Headers],0))</f>
        <v>289363</v>
      </c>
      <c r="K142" s="69">
        <f>INDEX('Payment Total'!$A$7:$H$333,MATCH('Payment by Source'!$A142,'Payment Total'!$A$7:$A$333,0),5)-I142</f>
        <v>0</v>
      </c>
      <c r="P142" s="157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-1</v>
      </c>
      <c r="Q142" s="157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2</v>
      </c>
      <c r="R142" s="157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-5</v>
      </c>
      <c r="S142" s="157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-2</v>
      </c>
      <c r="T142" s="157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-5</v>
      </c>
      <c r="U142" s="158">
        <f>INDEX('Budget by Source'!$A$6:$I$332,MATCH('Payment by Source'!$A142,'Budget by Source'!$A$6:$A$332,0),MATCH(U$3,'Budget by Source'!$A$5:$I$5,0))</f>
        <v>2239333</v>
      </c>
      <c r="V142" s="155">
        <f t="shared" si="7"/>
        <v>223933</v>
      </c>
      <c r="W142" s="155">
        <f t="shared" si="8"/>
        <v>2239330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21941</v>
      </c>
      <c r="D143" s="22">
        <f>IF(Notes!$B$2="June",ROUND('Budget by Source'!D143/10,0)+Q143,ROUND('Budget by Source'!D143/10,0))</f>
        <v>72237</v>
      </c>
      <c r="E143" s="22">
        <f>IF(Notes!$B$2="June",ROUND('Budget by Source'!E143/10,0)+R143,ROUND('Budget by Source'!E143/10,0))</f>
        <v>7721</v>
      </c>
      <c r="F143" s="22">
        <f>IF(Notes!$B$2="June",ROUND('Budget by Source'!F143/10,0)+S143,ROUND('Budget by Source'!F143/10,0))</f>
        <v>7801</v>
      </c>
      <c r="G143" s="22">
        <f>IF(Notes!$B$2="June",ROUND('Budget by Source'!G143/10,0)+T143,ROUND('Budget by Source'!G143/10,0))</f>
        <v>39253</v>
      </c>
      <c r="H143" s="22">
        <f t="shared" si="6"/>
        <v>533759</v>
      </c>
      <c r="I143" s="22">
        <f>INDEX(Data[],MATCH($A143,Data[Dist],0),MATCH(I$5,Data[#Headers],0))</f>
        <v>682712</v>
      </c>
      <c r="K143" s="69">
        <f>INDEX('Payment Total'!$A$7:$H$333,MATCH('Payment by Source'!$A143,'Payment Total'!$A$7:$A$333,0),5)-I143</f>
        <v>0</v>
      </c>
      <c r="P143" s="157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2</v>
      </c>
      <c r="Q143" s="157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-2</v>
      </c>
      <c r="R143" s="157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7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-3</v>
      </c>
      <c r="T143" s="157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8">
        <f>INDEX('Budget by Source'!$A$6:$I$332,MATCH('Payment by Source'!$A143,'Budget by Source'!$A$6:$A$332,0),MATCH(U$3,'Budget by Source'!$A$5:$I$5,0))</f>
        <v>5355402</v>
      </c>
      <c r="V143" s="155">
        <f t="shared" si="7"/>
        <v>535540</v>
      </c>
      <c r="W143" s="155">
        <f t="shared" si="8"/>
        <v>5355400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8633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2602</v>
      </c>
      <c r="F144" s="22">
        <f>IF(Notes!$B$2="June",ROUND('Budget by Source'!F144/10,0)+S144,ROUND('Budget by Source'!F144/10,0))</f>
        <v>2254</v>
      </c>
      <c r="G144" s="22">
        <f>IF(Notes!$B$2="June",ROUND('Budget by Source'!G144/10,0)+T144,ROUND('Budget by Source'!G144/10,0))</f>
        <v>14647</v>
      </c>
      <c r="H144" s="22">
        <f t="shared" si="6"/>
        <v>136148</v>
      </c>
      <c r="I144" s="22">
        <f>INDEX(Data[],MATCH($A144,Data[Dist],0),MATCH(I$5,Data[#Headers],0))</f>
        <v>190093</v>
      </c>
      <c r="K144" s="69">
        <f>INDEX('Payment Total'!$A$7:$H$333,MATCH('Payment by Source'!$A144,'Payment Total'!$A$7:$A$333,0),5)-I144</f>
        <v>0</v>
      </c>
      <c r="P144" s="157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-4</v>
      </c>
      <c r="Q144" s="157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7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7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-3</v>
      </c>
      <c r="T144" s="157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8">
        <f>INDEX('Budget by Source'!$A$6:$I$332,MATCH('Payment by Source'!$A144,'Budget by Source'!$A$6:$A$332,0),MATCH(U$3,'Budget by Source'!$A$5:$I$5,0))</f>
        <v>1368132</v>
      </c>
      <c r="V144" s="155">
        <f t="shared" si="7"/>
        <v>136813</v>
      </c>
      <c r="W144" s="155">
        <f t="shared" si="8"/>
        <v>1368130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9712</v>
      </c>
      <c r="D145" s="22">
        <f>IF(Notes!$B$2="June",ROUND('Budget by Source'!D145/10,0)+Q145,ROUND('Budget by Source'!D145/10,0))</f>
        <v>45883</v>
      </c>
      <c r="E145" s="22">
        <f>IF(Notes!$B$2="June",ROUND('Budget by Source'!E145/10,0)+R145,ROUND('Budget by Source'!E145/10,0))</f>
        <v>4108</v>
      </c>
      <c r="F145" s="22">
        <f>IF(Notes!$B$2="June",ROUND('Budget by Source'!F145/10,0)+S145,ROUND('Budget by Source'!F145/10,0))</f>
        <v>5193</v>
      </c>
      <c r="G145" s="22">
        <f>IF(Notes!$B$2="June",ROUND('Budget by Source'!G145/10,0)+T145,ROUND('Budget by Source'!G145/10,0))</f>
        <v>23978</v>
      </c>
      <c r="H145" s="22">
        <f t="shared" si="6"/>
        <v>379501</v>
      </c>
      <c r="I145" s="22">
        <f>INDEX(Data[],MATCH($A145,Data[Dist],0),MATCH(I$5,Data[#Headers],0))</f>
        <v>468375</v>
      </c>
      <c r="K145" s="69">
        <f>INDEX('Payment Total'!$A$7:$H$333,MATCH('Payment by Source'!$A145,'Payment Total'!$A$7:$A$333,0),5)-I145</f>
        <v>0</v>
      </c>
      <c r="P145" s="157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7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-2</v>
      </c>
      <c r="R145" s="157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-1</v>
      </c>
      <c r="S145" s="157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2</v>
      </c>
      <c r="T145" s="157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2</v>
      </c>
      <c r="U145" s="158">
        <f>INDEX('Budget by Source'!$A$6:$I$332,MATCH('Payment by Source'!$A145,'Budget by Source'!$A$6:$A$332,0),MATCH(U$3,'Budget by Source'!$A$5:$I$5,0))</f>
        <v>3805808</v>
      </c>
      <c r="V145" s="155">
        <f t="shared" si="7"/>
        <v>380581</v>
      </c>
      <c r="W145" s="155">
        <f t="shared" si="8"/>
        <v>3805810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25898</v>
      </c>
      <c r="D146" s="22">
        <f>IF(Notes!$B$2="June",ROUND('Budget by Source'!D146/10,0)+Q146,ROUND('Budget by Source'!D146/10,0))</f>
        <v>78901</v>
      </c>
      <c r="E146" s="22">
        <f>IF(Notes!$B$2="June",ROUND('Budget by Source'!E146/10,0)+R146,ROUND('Budget by Source'!E146/10,0))</f>
        <v>9600</v>
      </c>
      <c r="F146" s="22">
        <f>IF(Notes!$B$2="June",ROUND('Budget by Source'!F146/10,0)+S146,ROUND('Budget by Source'!F146/10,0))</f>
        <v>8655</v>
      </c>
      <c r="G146" s="22">
        <f>IF(Notes!$B$2="June",ROUND('Budget by Source'!G146/10,0)+T146,ROUND('Budget by Source'!G146/10,0))</f>
        <v>43358</v>
      </c>
      <c r="H146" s="22">
        <f t="shared" si="6"/>
        <v>606526</v>
      </c>
      <c r="I146" s="22">
        <f>INDEX(Data[],MATCH($A146,Data[Dist],0),MATCH(I$5,Data[#Headers],0))</f>
        <v>772938</v>
      </c>
      <c r="K146" s="69">
        <f>INDEX('Payment Total'!$A$7:$H$333,MATCH('Payment by Source'!$A146,'Payment Total'!$A$7:$A$333,0),5)-I146</f>
        <v>0</v>
      </c>
      <c r="P146" s="157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-2</v>
      </c>
      <c r="Q146" s="157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-3</v>
      </c>
      <c r="R146" s="157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2</v>
      </c>
      <c r="S146" s="157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0</v>
      </c>
      <c r="T146" s="157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0</v>
      </c>
      <c r="U146" s="158">
        <f>INDEX('Budget by Source'!$A$6:$I$332,MATCH('Payment by Source'!$A146,'Budget by Source'!$A$6:$A$332,0),MATCH(U$3,'Budget by Source'!$A$5:$I$5,0))</f>
        <v>6084936</v>
      </c>
      <c r="V146" s="155">
        <f t="shared" si="7"/>
        <v>608494</v>
      </c>
      <c r="W146" s="155">
        <f t="shared" si="8"/>
        <v>6084940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32372</v>
      </c>
      <c r="D147" s="22">
        <f>IF(Notes!$B$2="June",ROUND('Budget by Source'!D147/10,0)+Q147,ROUND('Budget by Source'!D147/10,0))</f>
        <v>90211</v>
      </c>
      <c r="E147" s="22">
        <f>IF(Notes!$B$2="June",ROUND('Budget by Source'!E147/10,0)+R147,ROUND('Budget by Source'!E147/10,0))</f>
        <v>10092</v>
      </c>
      <c r="F147" s="22">
        <f>IF(Notes!$B$2="June",ROUND('Budget by Source'!F147/10,0)+S147,ROUND('Budget by Source'!F147/10,0))</f>
        <v>10601</v>
      </c>
      <c r="G147" s="22">
        <f>IF(Notes!$B$2="June",ROUND('Budget by Source'!G147/10,0)+T147,ROUND('Budget by Source'!G147/10,0))</f>
        <v>48631</v>
      </c>
      <c r="H147" s="22">
        <f t="shared" si="6"/>
        <v>747071</v>
      </c>
      <c r="I147" s="22">
        <f>INDEX(Data[],MATCH($A147,Data[Dist],0),MATCH(I$5,Data[#Headers],0))</f>
        <v>938978</v>
      </c>
      <c r="K147" s="69">
        <f>INDEX('Payment Total'!$A$7:$H$333,MATCH('Payment by Source'!$A147,'Payment Total'!$A$7:$A$333,0),5)-I147</f>
        <v>0</v>
      </c>
      <c r="P147" s="157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7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1</v>
      </c>
      <c r="R147" s="157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-2</v>
      </c>
      <c r="S147" s="157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1</v>
      </c>
      <c r="T147" s="157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4</v>
      </c>
      <c r="U147" s="158">
        <f>INDEX('Budget by Source'!$A$6:$I$332,MATCH('Payment by Source'!$A147,'Budget by Source'!$A$6:$A$332,0),MATCH(U$3,'Budget by Source'!$A$5:$I$5,0))</f>
        <v>7492723</v>
      </c>
      <c r="V147" s="155">
        <f t="shared" si="7"/>
        <v>749272</v>
      </c>
      <c r="W147" s="155">
        <f t="shared" si="8"/>
        <v>7492720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36689</v>
      </c>
      <c r="D148" s="22">
        <f>IF(Notes!$B$2="June",ROUND('Budget by Source'!D148/10,0)+Q148,ROUND('Budget by Source'!D148/10,0))</f>
        <v>201057</v>
      </c>
      <c r="E148" s="22">
        <f>IF(Notes!$B$2="June",ROUND('Budget by Source'!E148/10,0)+R148,ROUND('Budget by Source'!E148/10,0))</f>
        <v>22972</v>
      </c>
      <c r="F148" s="22">
        <f>IF(Notes!$B$2="June",ROUND('Budget by Source'!F148/10,0)+S148,ROUND('Budget by Source'!F148/10,0))</f>
        <v>23758</v>
      </c>
      <c r="G148" s="22">
        <f>IF(Notes!$B$2="June",ROUND('Budget by Source'!G148/10,0)+T148,ROUND('Budget by Source'!G148/10,0))</f>
        <v>121333</v>
      </c>
      <c r="H148" s="22">
        <f t="shared" si="6"/>
        <v>1990638</v>
      </c>
      <c r="I148" s="22">
        <f>INDEX(Data[],MATCH($A148,Data[Dist],0),MATCH(I$5,Data[#Headers],0))</f>
        <v>2396447</v>
      </c>
      <c r="K148" s="69">
        <f>INDEX('Payment Total'!$A$7:$H$333,MATCH('Payment by Source'!$A148,'Payment Total'!$A$7:$A$333,0),5)-I148</f>
        <v>0</v>
      </c>
      <c r="P148" s="157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-5</v>
      </c>
      <c r="Q148" s="157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-5</v>
      </c>
      <c r="R148" s="157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2</v>
      </c>
      <c r="S148" s="157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-2</v>
      </c>
      <c r="T148" s="157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2</v>
      </c>
      <c r="U148" s="158">
        <f>INDEX('Budget by Source'!$A$6:$I$332,MATCH('Payment by Source'!$A148,'Budget by Source'!$A$6:$A$332,0),MATCH(U$3,'Budget by Source'!$A$5:$I$5,0))</f>
        <v>19961430</v>
      </c>
      <c r="V148" s="155">
        <f t="shared" si="7"/>
        <v>1996143</v>
      </c>
      <c r="W148" s="155">
        <f t="shared" si="8"/>
        <v>19961430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12582</v>
      </c>
      <c r="D149" s="22">
        <f>IF(Notes!$B$2="June",ROUND('Budget by Source'!D149/10,0)+Q149,ROUND('Budget by Source'!D149/10,0))</f>
        <v>52225</v>
      </c>
      <c r="E149" s="22">
        <f>IF(Notes!$B$2="June",ROUND('Budget by Source'!E149/10,0)+R149,ROUND('Budget by Source'!E149/10,0))</f>
        <v>5559</v>
      </c>
      <c r="F149" s="22">
        <f>IF(Notes!$B$2="June",ROUND('Budget by Source'!F149/10,0)+S149,ROUND('Budget by Source'!F149/10,0))</f>
        <v>4882</v>
      </c>
      <c r="G149" s="22">
        <f>IF(Notes!$B$2="June",ROUND('Budget by Source'!G149/10,0)+T149,ROUND('Budget by Source'!G149/10,0))</f>
        <v>28914</v>
      </c>
      <c r="H149" s="22">
        <f t="shared" si="6"/>
        <v>423115</v>
      </c>
      <c r="I149" s="22">
        <f>INDEX(Data[],MATCH($A149,Data[Dist],0),MATCH(I$5,Data[#Headers],0))</f>
        <v>527277</v>
      </c>
      <c r="K149" s="69">
        <f>INDEX('Payment Total'!$A$7:$H$333,MATCH('Payment by Source'!$A149,'Payment Total'!$A$7:$A$333,0),5)-I149</f>
        <v>0</v>
      </c>
      <c r="P149" s="157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-1</v>
      </c>
      <c r="Q149" s="157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-5</v>
      </c>
      <c r="R149" s="157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1</v>
      </c>
      <c r="S149" s="157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2</v>
      </c>
      <c r="T149" s="157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3</v>
      </c>
      <c r="U149" s="158">
        <f>INDEX('Budget by Source'!$A$6:$I$332,MATCH('Payment by Source'!$A149,'Budget by Source'!$A$6:$A$332,0),MATCH(U$3,'Budget by Source'!$A$5:$I$5,0))</f>
        <v>4244008</v>
      </c>
      <c r="V149" s="155">
        <f t="shared" si="7"/>
        <v>424401</v>
      </c>
      <c r="W149" s="155">
        <f t="shared" si="8"/>
        <v>4244010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148200</v>
      </c>
      <c r="D150" s="22">
        <f>IF(Notes!$B$2="June",ROUND('Budget by Source'!D150/10,0)+Q150,ROUND('Budget by Source'!D150/10,0))</f>
        <v>854043</v>
      </c>
      <c r="E150" s="22">
        <f>IF(Notes!$B$2="June",ROUND('Budget by Source'!E150/10,0)+R150,ROUND('Budget by Source'!E150/10,0))</f>
        <v>108043</v>
      </c>
      <c r="F150" s="22">
        <f>IF(Notes!$B$2="June",ROUND('Budget by Source'!F150/10,0)+S150,ROUND('Budget by Source'!F150/10,0))</f>
        <v>104957</v>
      </c>
      <c r="G150" s="22">
        <f>IF(Notes!$B$2="June",ROUND('Budget by Source'!G150/10,0)+T150,ROUND('Budget by Source'!G150/10,0))</f>
        <v>498605</v>
      </c>
      <c r="H150" s="22">
        <f t="shared" si="6"/>
        <v>6272768</v>
      </c>
      <c r="I150" s="22">
        <f>INDEX(Data[],MATCH($A150,Data[Dist],0),MATCH(I$5,Data[#Headers],0))</f>
        <v>7986616</v>
      </c>
      <c r="K150" s="69">
        <f>INDEX('Payment Total'!$A$7:$H$333,MATCH('Payment by Source'!$A150,'Payment Total'!$A$7:$A$333,0),5)-I150</f>
        <v>0</v>
      </c>
      <c r="P150" s="157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2</v>
      </c>
      <c r="Q150" s="157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7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-3</v>
      </c>
      <c r="S150" s="157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4</v>
      </c>
      <c r="T150" s="157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-4</v>
      </c>
      <c r="U150" s="158">
        <f>INDEX('Budget by Source'!$A$6:$I$332,MATCH('Payment by Source'!$A150,'Budget by Source'!$A$6:$A$332,0),MATCH(U$3,'Budget by Source'!$A$5:$I$5,0))</f>
        <v>62953880</v>
      </c>
      <c r="V150" s="155">
        <f t="shared" si="7"/>
        <v>6295388</v>
      </c>
      <c r="W150" s="155">
        <f t="shared" si="8"/>
        <v>62953880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17625</v>
      </c>
      <c r="D151" s="22">
        <f>IF(Notes!$B$2="June",ROUND('Budget by Source'!D151/10,0)+Q151,ROUND('Budget by Source'!D151/10,0))</f>
        <v>65192</v>
      </c>
      <c r="E151" s="22">
        <f>IF(Notes!$B$2="June",ROUND('Budget by Source'!E151/10,0)+R151,ROUND('Budget by Source'!E151/10,0))</f>
        <v>8168</v>
      </c>
      <c r="F151" s="22">
        <f>IF(Notes!$B$2="June",ROUND('Budget by Source'!F151/10,0)+S151,ROUND('Budget by Source'!F151/10,0))</f>
        <v>7568</v>
      </c>
      <c r="G151" s="22">
        <f>IF(Notes!$B$2="June",ROUND('Budget by Source'!G151/10,0)+T151,ROUND('Budget by Source'!G151/10,0))</f>
        <v>36132</v>
      </c>
      <c r="H151" s="22">
        <f t="shared" si="6"/>
        <v>544107</v>
      </c>
      <c r="I151" s="22">
        <f>INDEX(Data[],MATCH($A151,Data[Dist],0),MATCH(I$5,Data[#Headers],0))</f>
        <v>678792</v>
      </c>
      <c r="K151" s="69">
        <f>INDEX('Payment Total'!$A$7:$H$333,MATCH('Payment by Source'!$A151,'Payment Total'!$A$7:$A$333,0),5)-I151</f>
        <v>0</v>
      </c>
      <c r="P151" s="157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-1</v>
      </c>
      <c r="Q151" s="157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-4</v>
      </c>
      <c r="R151" s="157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7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-4</v>
      </c>
      <c r="T151" s="157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2</v>
      </c>
      <c r="U151" s="158">
        <f>INDEX('Budget by Source'!$A$6:$I$332,MATCH('Payment by Source'!$A151,'Budget by Source'!$A$6:$A$332,0),MATCH(U$3,'Budget by Source'!$A$5:$I$5,0))</f>
        <v>5457461</v>
      </c>
      <c r="V151" s="155">
        <f t="shared" si="7"/>
        <v>545746</v>
      </c>
      <c r="W151" s="155">
        <f t="shared" si="8"/>
        <v>5457460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10071</v>
      </c>
      <c r="D152" s="22">
        <f>IF(Notes!$B$2="June",ROUND('Budget by Source'!D152/10,0)+Q152,ROUND('Budget by Source'!D152/10,0))</f>
        <v>30802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3586</v>
      </c>
      <c r="G152" s="22">
        <f>IF(Notes!$B$2="June",ROUND('Budget by Source'!G152/10,0)+T152,ROUND('Budget by Source'!G152/10,0))</f>
        <v>18152</v>
      </c>
      <c r="H152" s="22">
        <f t="shared" si="6"/>
        <v>283136</v>
      </c>
      <c r="I152" s="22">
        <f>INDEX(Data[],MATCH($A152,Data[Dist],0),MATCH(I$5,Data[#Headers],0))</f>
        <v>348840</v>
      </c>
      <c r="K152" s="69">
        <f>INDEX('Payment Total'!$A$7:$H$333,MATCH('Payment by Source'!$A152,'Payment Total'!$A$7:$A$333,0),5)-I152</f>
        <v>0</v>
      </c>
      <c r="P152" s="157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4</v>
      </c>
      <c r="Q152" s="157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7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7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4</v>
      </c>
      <c r="T152" s="157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4</v>
      </c>
      <c r="U152" s="158">
        <f>INDEX('Budget by Source'!$A$6:$I$332,MATCH('Payment by Source'!$A152,'Budget by Source'!$A$6:$A$332,0),MATCH(U$3,'Budget by Source'!$A$5:$I$5,0))</f>
        <v>2839580</v>
      </c>
      <c r="V152" s="155">
        <f t="shared" si="7"/>
        <v>283958</v>
      </c>
      <c r="W152" s="155">
        <f t="shared" si="8"/>
        <v>2839580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12589</v>
      </c>
      <c r="D153" s="22">
        <f>IF(Notes!$B$2="June",ROUND('Budget by Source'!D153/10,0)+Q153,ROUND('Budget by Source'!D153/10,0))</f>
        <v>45525</v>
      </c>
      <c r="E153" s="22">
        <f>IF(Notes!$B$2="June",ROUND('Budget by Source'!E153/10,0)+R153,ROUND('Budget by Source'!E153/10,0))</f>
        <v>4751</v>
      </c>
      <c r="F153" s="22">
        <f>IF(Notes!$B$2="June",ROUND('Budget by Source'!F153/10,0)+S153,ROUND('Budget by Source'!F153/10,0))</f>
        <v>5210</v>
      </c>
      <c r="G153" s="22">
        <f>IF(Notes!$B$2="June",ROUND('Budget by Source'!G153/10,0)+T153,ROUND('Budget by Source'!G153/10,0))</f>
        <v>23664</v>
      </c>
      <c r="H153" s="22">
        <f t="shared" si="6"/>
        <v>276959</v>
      </c>
      <c r="I153" s="22">
        <f>INDEX(Data[],MATCH($A153,Data[Dist],0),MATCH(I$5,Data[#Headers],0))</f>
        <v>368698</v>
      </c>
      <c r="K153" s="69">
        <f>INDEX('Payment Total'!$A$7:$H$333,MATCH('Payment by Source'!$A153,'Payment Total'!$A$7:$A$333,0),5)-I153</f>
        <v>0</v>
      </c>
      <c r="P153" s="157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3</v>
      </c>
      <c r="Q153" s="157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1</v>
      </c>
      <c r="R153" s="157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7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-3</v>
      </c>
      <c r="T153" s="157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-5</v>
      </c>
      <c r="U153" s="158">
        <f>INDEX('Budget by Source'!$A$6:$I$332,MATCH('Payment by Source'!$A153,'Budget by Source'!$A$6:$A$332,0),MATCH(U$3,'Budget by Source'!$A$5:$I$5,0))</f>
        <v>2780318</v>
      </c>
      <c r="V153" s="155">
        <f t="shared" si="7"/>
        <v>278032</v>
      </c>
      <c r="W153" s="155">
        <f t="shared" si="8"/>
        <v>2780320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10791</v>
      </c>
      <c r="D154" s="22">
        <f>IF(Notes!$B$2="June",ROUND('Budget by Source'!D154/10,0)+Q154,ROUND('Budget by Source'!D154/10,0))</f>
        <v>26955</v>
      </c>
      <c r="E154" s="22">
        <f>IF(Notes!$B$2="June",ROUND('Budget by Source'!E154/10,0)+R154,ROUND('Budget by Source'!E154/10,0))</f>
        <v>2356</v>
      </c>
      <c r="F154" s="22">
        <f>IF(Notes!$B$2="June",ROUND('Budget by Source'!F154/10,0)+S154,ROUND('Budget by Source'!F154/10,0))</f>
        <v>2616</v>
      </c>
      <c r="G154" s="22">
        <f>IF(Notes!$B$2="June",ROUND('Budget by Source'!G154/10,0)+T154,ROUND('Budget by Source'!G154/10,0))</f>
        <v>15429</v>
      </c>
      <c r="H154" s="22">
        <f t="shared" si="6"/>
        <v>230470</v>
      </c>
      <c r="I154" s="22">
        <f>INDEX(Data[],MATCH($A154,Data[Dist],0),MATCH(I$5,Data[#Headers],0))</f>
        <v>288617</v>
      </c>
      <c r="K154" s="69">
        <f>INDEX('Payment Total'!$A$7:$H$333,MATCH('Payment by Source'!$A154,'Payment Total'!$A$7:$A$333,0),5)-I154</f>
        <v>0</v>
      </c>
      <c r="P154" s="157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-3</v>
      </c>
      <c r="Q154" s="157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-5</v>
      </c>
      <c r="R154" s="157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3</v>
      </c>
      <c r="S154" s="157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2</v>
      </c>
      <c r="T154" s="157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-1</v>
      </c>
      <c r="U154" s="158">
        <f>INDEX('Budget by Source'!$A$6:$I$332,MATCH('Payment by Source'!$A154,'Budget by Source'!$A$6:$A$332,0),MATCH(U$3,'Budget by Source'!$A$5:$I$5,0))</f>
        <v>2311702</v>
      </c>
      <c r="V154" s="155">
        <f t="shared" si="7"/>
        <v>231170</v>
      </c>
      <c r="W154" s="155">
        <f t="shared" si="8"/>
        <v>2311700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28416</v>
      </c>
      <c r="D155" s="22">
        <f>IF(Notes!$B$2="June",ROUND('Budget by Source'!D155/10,0)+Q155,ROUND('Budget by Source'!D155/10,0))</f>
        <v>73815</v>
      </c>
      <c r="E155" s="22">
        <f>IF(Notes!$B$2="June",ROUND('Budget by Source'!E155/10,0)+R155,ROUND('Budget by Source'!E155/10,0))</f>
        <v>9094</v>
      </c>
      <c r="F155" s="22">
        <f>IF(Notes!$B$2="June",ROUND('Budget by Source'!F155/10,0)+S155,ROUND('Budget by Source'!F155/10,0))</f>
        <v>8395</v>
      </c>
      <c r="G155" s="22">
        <f>IF(Notes!$B$2="June",ROUND('Budget by Source'!G155/10,0)+T155,ROUND('Budget by Source'!G155/10,0))</f>
        <v>40893</v>
      </c>
      <c r="H155" s="22">
        <f t="shared" si="6"/>
        <v>543877</v>
      </c>
      <c r="I155" s="22">
        <f>INDEX(Data[],MATCH($A155,Data[Dist],0),MATCH(I$5,Data[#Headers],0))</f>
        <v>704490</v>
      </c>
      <c r="K155" s="69">
        <f>INDEX('Payment Total'!$A$7:$H$333,MATCH('Payment by Source'!$A155,'Payment Total'!$A$7:$A$333,0),5)-I155</f>
        <v>0</v>
      </c>
      <c r="P155" s="157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-3</v>
      </c>
      <c r="Q155" s="157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7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2</v>
      </c>
      <c r="S155" s="157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-2</v>
      </c>
      <c r="T155" s="157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8">
        <f>INDEX('Budget by Source'!$A$6:$I$332,MATCH('Payment by Source'!$A155,'Budget by Source'!$A$6:$A$332,0),MATCH(U$3,'Budget by Source'!$A$5:$I$5,0))</f>
        <v>5457135</v>
      </c>
      <c r="V155" s="155">
        <f t="shared" si="7"/>
        <v>545714</v>
      </c>
      <c r="W155" s="155">
        <f t="shared" si="8"/>
        <v>5457140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0</v>
      </c>
      <c r="D156" s="22">
        <f>IF(Notes!$B$2="June",ROUND('Budget by Source'!D156/10,0)+Q156,ROUND('Budget by Source'!D156/10,0))</f>
        <v>50923</v>
      </c>
      <c r="E156" s="22">
        <f>IF(Notes!$B$2="June",ROUND('Budget by Source'!E156/10,0)+R156,ROUND('Budget by Source'!E156/10,0))</f>
        <v>6710</v>
      </c>
      <c r="F156" s="22">
        <f>IF(Notes!$B$2="June",ROUND('Budget by Source'!F156/10,0)+S156,ROUND('Budget by Source'!F156/10,0))</f>
        <v>5539</v>
      </c>
      <c r="G156" s="22">
        <f>IF(Notes!$B$2="June",ROUND('Budget by Source'!G156/10,0)+T156,ROUND('Budget by Source'!G156/10,0))</f>
        <v>31340</v>
      </c>
      <c r="H156" s="22">
        <f t="shared" si="6"/>
        <v>468348</v>
      </c>
      <c r="I156" s="22">
        <f>INDEX(Data[],MATCH($A156,Data[Dist],0),MATCH(I$5,Data[#Headers],0))</f>
        <v>562860</v>
      </c>
      <c r="K156" s="69">
        <f>INDEX('Payment Total'!$A$7:$H$333,MATCH('Payment by Source'!$A156,'Payment Total'!$A$7:$A$333,0),5)-I156</f>
        <v>0</v>
      </c>
      <c r="P156" s="157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0</v>
      </c>
      <c r="Q156" s="157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2</v>
      </c>
      <c r="R156" s="157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2</v>
      </c>
      <c r="S156" s="157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4</v>
      </c>
      <c r="T156" s="157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-5</v>
      </c>
      <c r="U156" s="158">
        <f>INDEX('Budget by Source'!$A$6:$I$332,MATCH('Payment by Source'!$A156,'Budget by Source'!$A$6:$A$332,0),MATCH(U$3,'Budget by Source'!$A$5:$I$5,0))</f>
        <v>4697700</v>
      </c>
      <c r="V156" s="155">
        <f t="shared" si="7"/>
        <v>469770</v>
      </c>
      <c r="W156" s="155">
        <f t="shared" si="8"/>
        <v>4697700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97117</v>
      </c>
      <c r="D157" s="22">
        <f>IF(Notes!$B$2="June",ROUND('Budget by Source'!D157/10,0)+Q157,ROUND('Budget by Source'!D157/10,0))</f>
        <v>406629</v>
      </c>
      <c r="E157" s="22">
        <f>IF(Notes!$B$2="June",ROUND('Budget by Source'!E157/10,0)+R157,ROUND('Budget by Source'!E157/10,0))</f>
        <v>44645</v>
      </c>
      <c r="F157" s="22">
        <f>IF(Notes!$B$2="June",ROUND('Budget by Source'!F157/10,0)+S157,ROUND('Budget by Source'!F157/10,0))</f>
        <v>45184</v>
      </c>
      <c r="G157" s="22">
        <f>IF(Notes!$B$2="June",ROUND('Budget by Source'!G157/10,0)+T157,ROUND('Budget by Source'!G157/10,0))</f>
        <v>244496</v>
      </c>
      <c r="H157" s="22">
        <f t="shared" si="6"/>
        <v>3556426</v>
      </c>
      <c r="I157" s="22">
        <f>INDEX(Data[],MATCH($A157,Data[Dist],0),MATCH(I$5,Data[#Headers],0))</f>
        <v>4394497</v>
      </c>
      <c r="K157" s="69">
        <f>INDEX('Payment Total'!$A$7:$H$333,MATCH('Payment by Source'!$A157,'Payment Total'!$A$7:$A$333,0),5)-I157</f>
        <v>0</v>
      </c>
      <c r="P157" s="157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-3</v>
      </c>
      <c r="Q157" s="157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-2</v>
      </c>
      <c r="R157" s="157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-2</v>
      </c>
      <c r="S157" s="157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1</v>
      </c>
      <c r="T157" s="157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-4</v>
      </c>
      <c r="U157" s="158">
        <f>INDEX('Budget by Source'!$A$6:$I$332,MATCH('Payment by Source'!$A157,'Budget by Source'!$A$6:$A$332,0),MATCH(U$3,'Budget by Source'!$A$5:$I$5,0))</f>
        <v>35675187</v>
      </c>
      <c r="V157" s="155">
        <f t="shared" si="7"/>
        <v>3567519</v>
      </c>
      <c r="W157" s="155">
        <f t="shared" si="8"/>
        <v>35675190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30221</v>
      </c>
      <c r="D158" s="22">
        <f>IF(Notes!$B$2="June",ROUND('Budget by Source'!D158/10,0)+Q158,ROUND('Budget by Source'!D158/10,0))</f>
        <v>116014</v>
      </c>
      <c r="E158" s="22">
        <f>IF(Notes!$B$2="June",ROUND('Budget by Source'!E158/10,0)+R158,ROUND('Budget by Source'!E158/10,0))</f>
        <v>14848</v>
      </c>
      <c r="F158" s="22">
        <f>IF(Notes!$B$2="June",ROUND('Budget by Source'!F158/10,0)+S158,ROUND('Budget by Source'!F158/10,0))</f>
        <v>13750</v>
      </c>
      <c r="G158" s="22">
        <f>IF(Notes!$B$2="June",ROUND('Budget by Source'!G158/10,0)+T158,ROUND('Budget by Source'!G158/10,0))</f>
        <v>66421</v>
      </c>
      <c r="H158" s="22">
        <f t="shared" si="6"/>
        <v>1269607</v>
      </c>
      <c r="I158" s="22">
        <f>INDEX(Data[],MATCH($A158,Data[Dist],0),MATCH(I$5,Data[#Headers],0))</f>
        <v>1510861</v>
      </c>
      <c r="K158" s="69">
        <f>INDEX('Payment Total'!$A$7:$H$333,MATCH('Payment by Source'!$A158,'Payment Total'!$A$7:$A$333,0),5)-I158</f>
        <v>0</v>
      </c>
      <c r="P158" s="157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4</v>
      </c>
      <c r="Q158" s="157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-3</v>
      </c>
      <c r="R158" s="157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-5</v>
      </c>
      <c r="S158" s="157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-4</v>
      </c>
      <c r="T158" s="157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0</v>
      </c>
      <c r="U158" s="158">
        <f>INDEX('Budget by Source'!$A$6:$I$332,MATCH('Payment by Source'!$A158,'Budget by Source'!$A$6:$A$332,0),MATCH(U$3,'Budget by Source'!$A$5:$I$5,0))</f>
        <v>12754909</v>
      </c>
      <c r="V158" s="155">
        <f t="shared" si="7"/>
        <v>1275491</v>
      </c>
      <c r="W158" s="155">
        <f t="shared" si="8"/>
        <v>12754910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4316</v>
      </c>
      <c r="D159" s="22">
        <f>IF(Notes!$B$2="June",ROUND('Budget by Source'!D159/10,0)+Q159,ROUND('Budget by Source'!D159/10,0))</f>
        <v>23213</v>
      </c>
      <c r="E159" s="22">
        <f>IF(Notes!$B$2="June",ROUND('Budget by Source'!E159/10,0)+R159,ROUND('Budget by Source'!E159/10,0))</f>
        <v>2275</v>
      </c>
      <c r="F159" s="22">
        <f>IF(Notes!$B$2="June",ROUND('Budget by Source'!F159/10,0)+S159,ROUND('Budget by Source'!F159/10,0))</f>
        <v>2443</v>
      </c>
      <c r="G159" s="22">
        <f>IF(Notes!$B$2="June",ROUND('Budget by Source'!G159/10,0)+T159,ROUND('Budget by Source'!G159/10,0))</f>
        <v>12231</v>
      </c>
      <c r="H159" s="22">
        <f t="shared" si="6"/>
        <v>152841</v>
      </c>
      <c r="I159" s="22">
        <f>INDEX(Data[],MATCH($A159,Data[Dist],0),MATCH(I$5,Data[#Headers],0))</f>
        <v>197319</v>
      </c>
      <c r="K159" s="69">
        <f>INDEX('Payment Total'!$A$7:$H$333,MATCH('Payment by Source'!$A159,'Payment Total'!$A$7:$A$333,0),5)-I159</f>
        <v>0</v>
      </c>
      <c r="P159" s="157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3</v>
      </c>
      <c r="Q159" s="157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-4</v>
      </c>
      <c r="R159" s="157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-2</v>
      </c>
      <c r="S159" s="157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3</v>
      </c>
      <c r="T159" s="157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4</v>
      </c>
      <c r="U159" s="158">
        <f>INDEX('Budget by Source'!$A$6:$I$332,MATCH('Payment by Source'!$A159,'Budget by Source'!$A$6:$A$332,0),MATCH(U$3,'Budget by Source'!$A$5:$I$5,0))</f>
        <v>1533952</v>
      </c>
      <c r="V159" s="155">
        <f t="shared" si="7"/>
        <v>153395</v>
      </c>
      <c r="W159" s="155">
        <f t="shared" si="8"/>
        <v>1533950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30785</v>
      </c>
      <c r="E160" s="22">
        <f>IF(Notes!$B$2="June",ROUND('Budget by Source'!E160/10,0)+R160,ROUND('Budget by Source'!E160/10,0))</f>
        <v>3885</v>
      </c>
      <c r="F160" s="22">
        <f>IF(Notes!$B$2="June",ROUND('Budget by Source'!F160/10,0)+S160,ROUND('Budget by Source'!F160/10,0))</f>
        <v>3563</v>
      </c>
      <c r="G160" s="22">
        <f>IF(Notes!$B$2="June",ROUND('Budget by Source'!G160/10,0)+T160,ROUND('Budget by Source'!G160/10,0))</f>
        <v>16291</v>
      </c>
      <c r="H160" s="22">
        <f t="shared" si="6"/>
        <v>224067</v>
      </c>
      <c r="I160" s="22">
        <f>INDEX(Data[],MATCH($A160,Data[Dist],0),MATCH(I$5,Data[#Headers],0))</f>
        <v>278591</v>
      </c>
      <c r="K160" s="69">
        <f>INDEX('Payment Total'!$A$7:$H$333,MATCH('Payment by Source'!$A160,'Payment Total'!$A$7:$A$333,0),5)-I160</f>
        <v>0</v>
      </c>
      <c r="P160" s="157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7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-5</v>
      </c>
      <c r="R160" s="157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3</v>
      </c>
      <c r="S160" s="157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3</v>
      </c>
      <c r="T160" s="157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1</v>
      </c>
      <c r="U160" s="158">
        <f>INDEX('Budget by Source'!$A$6:$I$332,MATCH('Payment by Source'!$A160,'Budget by Source'!$A$6:$A$332,0),MATCH(U$3,'Budget by Source'!$A$5:$I$5,0))</f>
        <v>2248060</v>
      </c>
      <c r="V160" s="155">
        <f t="shared" si="7"/>
        <v>224806</v>
      </c>
      <c r="W160" s="155">
        <f t="shared" si="8"/>
        <v>2248060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30934</v>
      </c>
      <c r="D161" s="22">
        <f>IF(Notes!$B$2="June",ROUND('Budget by Source'!D161/10,0)+Q161,ROUND('Budget by Source'!D161/10,0))</f>
        <v>109226</v>
      </c>
      <c r="E161" s="22">
        <f>IF(Notes!$B$2="June",ROUND('Budget by Source'!E161/10,0)+R161,ROUND('Budget by Source'!E161/10,0))</f>
        <v>12959</v>
      </c>
      <c r="F161" s="22">
        <f>IF(Notes!$B$2="June",ROUND('Budget by Source'!F161/10,0)+S161,ROUND('Budget by Source'!F161/10,0))</f>
        <v>11728</v>
      </c>
      <c r="G161" s="22">
        <f>IF(Notes!$B$2="June",ROUND('Budget by Source'!G161/10,0)+T161,ROUND('Budget by Source'!G161/10,0))</f>
        <v>61178</v>
      </c>
      <c r="H161" s="22">
        <f t="shared" si="6"/>
        <v>1051911</v>
      </c>
      <c r="I161" s="22">
        <f>INDEX(Data[],MATCH($A161,Data[Dist],0),MATCH(I$5,Data[#Headers],0))</f>
        <v>1277936</v>
      </c>
      <c r="K161" s="69">
        <f>INDEX('Payment Total'!$A$7:$H$333,MATCH('Payment by Source'!$A161,'Payment Total'!$A$7:$A$333,0),5)-I161</f>
        <v>0</v>
      </c>
      <c r="P161" s="157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-5</v>
      </c>
      <c r="Q161" s="157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-5</v>
      </c>
      <c r="R161" s="157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-3</v>
      </c>
      <c r="S161" s="157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4</v>
      </c>
      <c r="T161" s="157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0</v>
      </c>
      <c r="U161" s="158">
        <f>INDEX('Budget by Source'!$A$6:$I$332,MATCH('Payment by Source'!$A161,'Budget by Source'!$A$6:$A$332,0),MATCH(U$3,'Budget by Source'!$A$5:$I$5,0))</f>
        <v>10546874</v>
      </c>
      <c r="V161" s="155">
        <f t="shared" si="7"/>
        <v>1054687</v>
      </c>
      <c r="W161" s="155">
        <f t="shared" si="8"/>
        <v>10546870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14028</v>
      </c>
      <c r="D162" s="22">
        <f>IF(Notes!$B$2="June",ROUND('Budget by Source'!D162/10,0)+Q162,ROUND('Budget by Source'!D162/10,0))</f>
        <v>37921</v>
      </c>
      <c r="E162" s="22">
        <f>IF(Notes!$B$2="June",ROUND('Budget by Source'!E162/10,0)+R162,ROUND('Budget by Source'!E162/10,0))</f>
        <v>4477</v>
      </c>
      <c r="F162" s="22">
        <f>IF(Notes!$B$2="June",ROUND('Budget by Source'!F162/10,0)+S162,ROUND('Budget by Source'!F162/10,0))</f>
        <v>3920</v>
      </c>
      <c r="G162" s="22">
        <f>IF(Notes!$B$2="June",ROUND('Budget by Source'!G162/10,0)+T162,ROUND('Budget by Source'!G162/10,0))</f>
        <v>20166</v>
      </c>
      <c r="H162" s="22">
        <f t="shared" si="6"/>
        <v>250391</v>
      </c>
      <c r="I162" s="22">
        <f>INDEX(Data[],MATCH($A162,Data[Dist],0),MATCH(I$5,Data[#Headers],0))</f>
        <v>330903</v>
      </c>
      <c r="K162" s="69">
        <f>INDEX('Payment Total'!$A$7:$H$333,MATCH('Payment by Source'!$A162,'Payment Total'!$A$7:$A$333,0),5)-I162</f>
        <v>0</v>
      </c>
      <c r="P162" s="157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0</v>
      </c>
      <c r="Q162" s="157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7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2</v>
      </c>
      <c r="S162" s="157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7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-2</v>
      </c>
      <c r="U162" s="158">
        <f>INDEX('Budget by Source'!$A$6:$I$332,MATCH('Payment by Source'!$A162,'Budget by Source'!$A$6:$A$332,0),MATCH(U$3,'Budget by Source'!$A$5:$I$5,0))</f>
        <v>2513058</v>
      </c>
      <c r="V162" s="155">
        <f t="shared" si="7"/>
        <v>251306</v>
      </c>
      <c r="W162" s="155">
        <f t="shared" si="8"/>
        <v>2513060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5036</v>
      </c>
      <c r="D163" s="22">
        <f>IF(Notes!$B$2="June",ROUND('Budget by Source'!D163/10,0)+Q163,ROUND('Budget by Source'!D163/10,0))</f>
        <v>21077</v>
      </c>
      <c r="E163" s="22">
        <f>IF(Notes!$B$2="June",ROUND('Budget by Source'!E163/10,0)+R163,ROUND('Budget by Source'!E163/10,0))</f>
        <v>2300</v>
      </c>
      <c r="F163" s="22">
        <f>IF(Notes!$B$2="June",ROUND('Budget by Source'!F163/10,0)+S163,ROUND('Budget by Source'!F163/10,0))</f>
        <v>2278</v>
      </c>
      <c r="G163" s="22">
        <f>IF(Notes!$B$2="June",ROUND('Budget by Source'!G163/10,0)+T163,ROUND('Budget by Source'!G163/10,0))</f>
        <v>10500</v>
      </c>
      <c r="H163" s="22">
        <f t="shared" si="6"/>
        <v>195700</v>
      </c>
      <c r="I163" s="22">
        <f>INDEX(Data[],MATCH($A163,Data[Dist],0),MATCH(I$5,Data[#Headers],0))</f>
        <v>236891</v>
      </c>
      <c r="K163" s="69">
        <f>INDEX('Payment Total'!$A$7:$H$333,MATCH('Payment by Source'!$A163,'Payment Total'!$A$7:$A$333,0),5)-I163</f>
        <v>0</v>
      </c>
      <c r="P163" s="157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-3</v>
      </c>
      <c r="Q163" s="157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1</v>
      </c>
      <c r="R163" s="157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2</v>
      </c>
      <c r="S163" s="157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-3</v>
      </c>
      <c r="T163" s="157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0</v>
      </c>
      <c r="U163" s="158">
        <f>INDEX('Budget by Source'!$A$6:$I$332,MATCH('Payment by Source'!$A163,'Budget by Source'!$A$6:$A$332,0),MATCH(U$3,'Budget by Source'!$A$5:$I$5,0))</f>
        <v>1972503</v>
      </c>
      <c r="V163" s="155">
        <f t="shared" si="7"/>
        <v>197250</v>
      </c>
      <c r="W163" s="155">
        <f t="shared" si="8"/>
        <v>1972500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6482</v>
      </c>
      <c r="D164" s="22">
        <f>IF(Notes!$B$2="June",ROUND('Budget by Source'!D164/10,0)+Q164,ROUND('Budget by Source'!D164/10,0))</f>
        <v>18573</v>
      </c>
      <c r="E164" s="22">
        <f>IF(Notes!$B$2="June",ROUND('Budget by Source'!E164/10,0)+R164,ROUND('Budget by Source'!E164/10,0))</f>
        <v>1923</v>
      </c>
      <c r="F164" s="22">
        <f>IF(Notes!$B$2="June",ROUND('Budget by Source'!F164/10,0)+S164,ROUND('Budget by Source'!F164/10,0))</f>
        <v>2029</v>
      </c>
      <c r="G164" s="22">
        <f>IF(Notes!$B$2="June",ROUND('Budget by Source'!G164/10,0)+T164,ROUND('Budget by Source'!G164/10,0))</f>
        <v>9409</v>
      </c>
      <c r="H164" s="22">
        <f t="shared" si="6"/>
        <v>117410</v>
      </c>
      <c r="I164" s="22">
        <f>INDEX(Data[],MATCH($A164,Data[Dist],0),MATCH(I$5,Data[#Headers],0))</f>
        <v>155826</v>
      </c>
      <c r="K164" s="69">
        <f>INDEX('Payment Total'!$A$7:$H$333,MATCH('Payment by Source'!$A164,'Payment Total'!$A$7:$A$333,0),5)-I164</f>
        <v>0</v>
      </c>
      <c r="P164" s="157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7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-4</v>
      </c>
      <c r="R164" s="157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-4</v>
      </c>
      <c r="S164" s="157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7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-4</v>
      </c>
      <c r="U164" s="158">
        <f>INDEX('Budget by Source'!$A$6:$I$332,MATCH('Payment by Source'!$A164,'Budget by Source'!$A$6:$A$332,0),MATCH(U$3,'Budget by Source'!$A$5:$I$5,0))</f>
        <v>1178363</v>
      </c>
      <c r="V164" s="155">
        <f t="shared" si="7"/>
        <v>117836</v>
      </c>
      <c r="W164" s="155">
        <f t="shared" si="8"/>
        <v>1178360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11870</v>
      </c>
      <c r="D165" s="22">
        <f>IF(Notes!$B$2="June",ROUND('Budget by Source'!D165/10,0)+Q165,ROUND('Budget by Source'!D165/10,0))</f>
        <v>37152</v>
      </c>
      <c r="E165" s="22">
        <f>IF(Notes!$B$2="June",ROUND('Budget by Source'!E165/10,0)+R165,ROUND('Budget by Source'!E165/10,0))</f>
        <v>3846</v>
      </c>
      <c r="F165" s="22">
        <f>IF(Notes!$B$2="June",ROUND('Budget by Source'!F165/10,0)+S165,ROUND('Budget by Source'!F165/10,0))</f>
        <v>3959</v>
      </c>
      <c r="G165" s="22">
        <f>IF(Notes!$B$2="June",ROUND('Budget by Source'!G165/10,0)+T165,ROUND('Budget by Source'!G165/10,0))</f>
        <v>21220</v>
      </c>
      <c r="H165" s="22">
        <f t="shared" si="6"/>
        <v>294049</v>
      </c>
      <c r="I165" s="22">
        <f>INDEX(Data[],MATCH($A165,Data[Dist],0),MATCH(I$5,Data[#Headers],0))</f>
        <v>372096</v>
      </c>
      <c r="K165" s="69">
        <f>INDEX('Payment Total'!$A$7:$H$333,MATCH('Payment by Source'!$A165,'Payment Total'!$A$7:$A$333,0),5)-I165</f>
        <v>0</v>
      </c>
      <c r="P165" s="157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-1</v>
      </c>
      <c r="Q165" s="157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-2</v>
      </c>
      <c r="R165" s="157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2</v>
      </c>
      <c r="S165" s="157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3</v>
      </c>
      <c r="T165" s="157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0</v>
      </c>
      <c r="U165" s="158">
        <f>INDEX('Budget by Source'!$A$6:$I$332,MATCH('Payment by Source'!$A165,'Budget by Source'!$A$6:$A$332,0),MATCH(U$3,'Budget by Source'!$A$5:$I$5,0))</f>
        <v>2950114</v>
      </c>
      <c r="V165" s="155">
        <f t="shared" si="7"/>
        <v>295011</v>
      </c>
      <c r="W165" s="155">
        <f t="shared" si="8"/>
        <v>2950110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7554</v>
      </c>
      <c r="D166" s="22">
        <f>IF(Notes!$B$2="June",ROUND('Budget by Source'!D166/10,0)+Q166,ROUND('Budget by Source'!D166/10,0))</f>
        <v>39517</v>
      </c>
      <c r="E166" s="22">
        <f>IF(Notes!$B$2="June",ROUND('Budget by Source'!E166/10,0)+R166,ROUND('Budget by Source'!E166/10,0))</f>
        <v>4537</v>
      </c>
      <c r="F166" s="22">
        <f>IF(Notes!$B$2="June",ROUND('Budget by Source'!F166/10,0)+S166,ROUND('Budget by Source'!F166/10,0))</f>
        <v>4491</v>
      </c>
      <c r="G166" s="22">
        <f>IF(Notes!$B$2="June",ROUND('Budget by Source'!G166/10,0)+T166,ROUND('Budget by Source'!G166/10,0))</f>
        <v>20586</v>
      </c>
      <c r="H166" s="22">
        <f t="shared" si="6"/>
        <v>205275</v>
      </c>
      <c r="I166" s="22">
        <f>INDEX(Data[],MATCH($A166,Data[Dist],0),MATCH(I$5,Data[#Headers],0))</f>
        <v>281960</v>
      </c>
      <c r="K166" s="69">
        <f>INDEX('Payment Total'!$A$7:$H$333,MATCH('Payment by Source'!$A166,'Payment Total'!$A$7:$A$333,0),5)-I166</f>
        <v>0</v>
      </c>
      <c r="P166" s="157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-4</v>
      </c>
      <c r="Q166" s="157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-2</v>
      </c>
      <c r="R166" s="157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-5</v>
      </c>
      <c r="S166" s="157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-4</v>
      </c>
      <c r="T166" s="157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3</v>
      </c>
      <c r="U166" s="158">
        <f>INDEX('Budget by Source'!$A$6:$I$332,MATCH('Payment by Source'!$A166,'Budget by Source'!$A$6:$A$332,0),MATCH(U$3,'Budget by Source'!$A$5:$I$5,0))</f>
        <v>2284187</v>
      </c>
      <c r="V166" s="155">
        <f t="shared" si="7"/>
        <v>228419</v>
      </c>
      <c r="W166" s="155">
        <f t="shared" si="8"/>
        <v>2284190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38127</v>
      </c>
      <c r="D167" s="22">
        <f>IF(Notes!$B$2="June",ROUND('Budget by Source'!D167/10,0)+Q167,ROUND('Budget by Source'!D167/10,0))</f>
        <v>133554</v>
      </c>
      <c r="E167" s="22">
        <f>IF(Notes!$B$2="June",ROUND('Budget by Source'!E167/10,0)+R167,ROUND('Budget by Source'!E167/10,0))</f>
        <v>14760</v>
      </c>
      <c r="F167" s="22">
        <f>IF(Notes!$B$2="June",ROUND('Budget by Source'!F167/10,0)+S167,ROUND('Budget by Source'!F167/10,0))</f>
        <v>15492</v>
      </c>
      <c r="G167" s="22">
        <f>IF(Notes!$B$2="June",ROUND('Budget by Source'!G167/10,0)+T167,ROUND('Budget by Source'!G167/10,0))</f>
        <v>77923</v>
      </c>
      <c r="H167" s="22">
        <f t="shared" si="6"/>
        <v>1077814</v>
      </c>
      <c r="I167" s="22">
        <f>INDEX(Data[],MATCH($A167,Data[Dist],0),MATCH(I$5,Data[#Headers],0))</f>
        <v>1357670</v>
      </c>
      <c r="K167" s="69">
        <f>INDEX('Payment Total'!$A$7:$H$333,MATCH('Payment by Source'!$A167,'Payment Total'!$A$7:$A$333,0),5)-I167</f>
        <v>0</v>
      </c>
      <c r="P167" s="157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7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0</v>
      </c>
      <c r="R167" s="157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0</v>
      </c>
      <c r="S167" s="157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2</v>
      </c>
      <c r="T167" s="157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8">
        <f>INDEX('Budget by Source'!$A$6:$I$332,MATCH('Payment by Source'!$A167,'Budget by Source'!$A$6:$A$332,0),MATCH(U$3,'Budget by Source'!$A$5:$I$5,0))</f>
        <v>11078436</v>
      </c>
      <c r="V167" s="155">
        <f t="shared" si="7"/>
        <v>1107844</v>
      </c>
      <c r="W167" s="155">
        <f t="shared" si="8"/>
        <v>11078440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10791</v>
      </c>
      <c r="D168" s="22">
        <f>IF(Notes!$B$2="June",ROUND('Budget by Source'!D168/10,0)+Q168,ROUND('Budget by Source'!D168/10,0))</f>
        <v>30912</v>
      </c>
      <c r="E168" s="22">
        <f>IF(Notes!$B$2="June",ROUND('Budget by Source'!E168/10,0)+R168,ROUND('Budget by Source'!E168/10,0))</f>
        <v>4074</v>
      </c>
      <c r="F168" s="22">
        <f>IF(Notes!$B$2="June",ROUND('Budget by Source'!F168/10,0)+S168,ROUND('Budget by Source'!F168/10,0))</f>
        <v>3563</v>
      </c>
      <c r="G168" s="22">
        <f>IF(Notes!$B$2="June",ROUND('Budget by Source'!G168/10,0)+T168,ROUND('Budget by Source'!G168/10,0))</f>
        <v>15837</v>
      </c>
      <c r="H168" s="22">
        <f t="shared" si="6"/>
        <v>230804</v>
      </c>
      <c r="I168" s="22">
        <f>INDEX(Data[],MATCH($A168,Data[Dist],0),MATCH(I$5,Data[#Headers],0))</f>
        <v>295981</v>
      </c>
      <c r="K168" s="69">
        <f>INDEX('Payment Total'!$A$7:$H$333,MATCH('Payment by Source'!$A168,'Payment Total'!$A$7:$A$333,0),5)-I168</f>
        <v>0</v>
      </c>
      <c r="P168" s="157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-3</v>
      </c>
      <c r="Q168" s="157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-5</v>
      </c>
      <c r="R168" s="157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-2</v>
      </c>
      <c r="S168" s="157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4</v>
      </c>
      <c r="T168" s="157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3</v>
      </c>
      <c r="U168" s="158">
        <f>INDEX('Budget by Source'!$A$6:$I$332,MATCH('Payment by Source'!$A168,'Budget by Source'!$A$6:$A$332,0),MATCH(U$3,'Budget by Source'!$A$5:$I$5,0))</f>
        <v>2315234</v>
      </c>
      <c r="V168" s="155">
        <f t="shared" si="7"/>
        <v>231523</v>
      </c>
      <c r="W168" s="155">
        <f t="shared" si="8"/>
        <v>2315230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16186</v>
      </c>
      <c r="D169" s="22">
        <f>IF(Notes!$B$2="June",ROUND('Budget by Source'!D169/10,0)+Q169,ROUND('Budget by Source'!D169/10,0))</f>
        <v>157209</v>
      </c>
      <c r="E169" s="22">
        <f>IF(Notes!$B$2="June",ROUND('Budget by Source'!E169/10,0)+R169,ROUND('Budget by Source'!E169/10,0))</f>
        <v>23197</v>
      </c>
      <c r="F169" s="22">
        <f>IF(Notes!$B$2="June",ROUND('Budget by Source'!F169/10,0)+S169,ROUND('Budget by Source'!F169/10,0))</f>
        <v>18374</v>
      </c>
      <c r="G169" s="22">
        <f>IF(Notes!$B$2="June",ROUND('Budget by Source'!G169/10,0)+T169,ROUND('Budget by Source'!G169/10,0))</f>
        <v>91055</v>
      </c>
      <c r="H169" s="22">
        <f t="shared" si="6"/>
        <v>1056441</v>
      </c>
      <c r="I169" s="22">
        <f>INDEX(Data[],MATCH($A169,Data[Dist],0),MATCH(I$5,Data[#Headers],0))</f>
        <v>1362462</v>
      </c>
      <c r="K169" s="69">
        <f>INDEX('Payment Total'!$A$7:$H$333,MATCH('Payment by Source'!$A169,'Payment Total'!$A$7:$A$333,0),5)-I169</f>
        <v>0</v>
      </c>
      <c r="P169" s="157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2</v>
      </c>
      <c r="Q169" s="157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7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4</v>
      </c>
      <c r="S169" s="157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3</v>
      </c>
      <c r="T169" s="157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-1</v>
      </c>
      <c r="U169" s="158">
        <f>INDEX('Budget by Source'!$A$6:$I$332,MATCH('Payment by Source'!$A169,'Budget by Source'!$A$6:$A$332,0),MATCH(U$3,'Budget by Source'!$A$5:$I$5,0))</f>
        <v>10607324</v>
      </c>
      <c r="V169" s="155">
        <f t="shared" si="7"/>
        <v>1060732</v>
      </c>
      <c r="W169" s="155">
        <f t="shared" si="8"/>
        <v>10607320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9726</v>
      </c>
      <c r="D170" s="22">
        <f>IF(Notes!$B$2="June",ROUND('Budget by Source'!D170/10,0)+Q170,ROUND('Budget by Source'!D170/10,0))</f>
        <v>45466</v>
      </c>
      <c r="E170" s="22">
        <f>IF(Notes!$B$2="June",ROUND('Budget by Source'!E170/10,0)+R170,ROUND('Budget by Source'!E170/10,0))</f>
        <v>4807</v>
      </c>
      <c r="F170" s="22">
        <f>IF(Notes!$B$2="June",ROUND('Budget by Source'!F170/10,0)+S170,ROUND('Budget by Source'!F170/10,0))</f>
        <v>4888</v>
      </c>
      <c r="G170" s="22">
        <f>IF(Notes!$B$2="June",ROUND('Budget by Source'!G170/10,0)+T170,ROUND('Budget by Source'!G170/10,0))</f>
        <v>25667</v>
      </c>
      <c r="H170" s="22">
        <f t="shared" si="6"/>
        <v>354030</v>
      </c>
      <c r="I170" s="22">
        <f>INDEX(Data[],MATCH($A170,Data[Dist],0),MATCH(I$5,Data[#Headers],0))</f>
        <v>444584</v>
      </c>
      <c r="K170" s="69">
        <f>INDEX('Payment Total'!$A$7:$H$333,MATCH('Payment by Source'!$A170,'Payment Total'!$A$7:$A$333,0),5)-I170</f>
        <v>0</v>
      </c>
      <c r="P170" s="157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3</v>
      </c>
      <c r="Q170" s="157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-2</v>
      </c>
      <c r="R170" s="157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7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-5</v>
      </c>
      <c r="T170" s="157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1</v>
      </c>
      <c r="U170" s="158">
        <f>INDEX('Budget by Source'!$A$6:$I$332,MATCH('Payment by Source'!$A170,'Budget by Source'!$A$6:$A$332,0),MATCH(U$3,'Budget by Source'!$A$5:$I$5,0))</f>
        <v>3551951</v>
      </c>
      <c r="V170" s="155">
        <f t="shared" si="7"/>
        <v>355195</v>
      </c>
      <c r="W170" s="155">
        <f t="shared" si="8"/>
        <v>3551950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86326</v>
      </c>
      <c r="D171" s="22">
        <f>IF(Notes!$B$2="June",ROUND('Budget by Source'!D171/10,0)+Q171,ROUND('Budget by Source'!D171/10,0))</f>
        <v>442859</v>
      </c>
      <c r="E171" s="22">
        <f>IF(Notes!$B$2="June",ROUND('Budget by Source'!E171/10,0)+R171,ROUND('Budget by Source'!E171/10,0))</f>
        <v>49189</v>
      </c>
      <c r="F171" s="22">
        <f>IF(Notes!$B$2="June",ROUND('Budget by Source'!F171/10,0)+S171,ROUND('Budget by Source'!F171/10,0))</f>
        <v>49531</v>
      </c>
      <c r="G171" s="22">
        <f>IF(Notes!$B$2="June",ROUND('Budget by Source'!G171/10,0)+T171,ROUND('Budget by Source'!G171/10,0))</f>
        <v>265220</v>
      </c>
      <c r="H171" s="22">
        <f t="shared" si="6"/>
        <v>4021174</v>
      </c>
      <c r="I171" s="22">
        <f>INDEX(Data[],MATCH($A171,Data[Dist],0),MATCH(I$5,Data[#Headers],0))</f>
        <v>4914299</v>
      </c>
      <c r="K171" s="69">
        <f>INDEX('Payment Total'!$A$7:$H$333,MATCH('Payment by Source'!$A171,'Payment Total'!$A$7:$A$333,0),5)-I171</f>
        <v>0</v>
      </c>
      <c r="P171" s="157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7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-2</v>
      </c>
      <c r="R171" s="157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-2</v>
      </c>
      <c r="S171" s="157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-3</v>
      </c>
      <c r="T171" s="157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-1</v>
      </c>
      <c r="U171" s="158">
        <f>INDEX('Budget by Source'!$A$6:$I$332,MATCH('Payment by Source'!$A171,'Budget by Source'!$A$6:$A$332,0),MATCH(U$3,'Budget by Source'!$A$5:$I$5,0))</f>
        <v>40332066</v>
      </c>
      <c r="V171" s="155">
        <f t="shared" si="7"/>
        <v>4033207</v>
      </c>
      <c r="W171" s="155">
        <f t="shared" si="8"/>
        <v>40332070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16546</v>
      </c>
      <c r="D172" s="22">
        <f>IF(Notes!$B$2="June",ROUND('Budget by Source'!D172/10,0)+Q172,ROUND('Budget by Source'!D172/10,0))</f>
        <v>38442</v>
      </c>
      <c r="E172" s="22">
        <f>IF(Notes!$B$2="June",ROUND('Budget by Source'!E172/10,0)+R172,ROUND('Budget by Source'!E172/10,0))</f>
        <v>3817</v>
      </c>
      <c r="F172" s="22">
        <f>IF(Notes!$B$2="June",ROUND('Budget by Source'!F172/10,0)+S172,ROUND('Budget by Source'!F172/10,0))</f>
        <v>3850</v>
      </c>
      <c r="G172" s="22">
        <f>IF(Notes!$B$2="June",ROUND('Budget by Source'!G172/10,0)+T172,ROUND('Budget by Source'!G172/10,0))</f>
        <v>22819</v>
      </c>
      <c r="H172" s="22">
        <f t="shared" si="6"/>
        <v>358305</v>
      </c>
      <c r="I172" s="22">
        <f>INDEX(Data[],MATCH($A172,Data[Dist],0),MATCH(I$5,Data[#Headers],0))</f>
        <v>443779</v>
      </c>
      <c r="K172" s="69">
        <f>INDEX('Payment Total'!$A$7:$H$333,MATCH('Payment by Source'!$A172,'Payment Total'!$A$7:$A$333,0),5)-I172</f>
        <v>0</v>
      </c>
      <c r="P172" s="157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-2</v>
      </c>
      <c r="Q172" s="157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7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7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3</v>
      </c>
      <c r="T172" s="157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-3</v>
      </c>
      <c r="U172" s="158">
        <f>INDEX('Budget by Source'!$A$6:$I$332,MATCH('Payment by Source'!$A172,'Budget by Source'!$A$6:$A$332,0),MATCH(U$3,'Budget by Source'!$A$5:$I$5,0))</f>
        <v>3593403</v>
      </c>
      <c r="V172" s="155">
        <f t="shared" si="7"/>
        <v>359340</v>
      </c>
      <c r="W172" s="155">
        <f t="shared" si="8"/>
        <v>3593400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12949</v>
      </c>
      <c r="D173" s="22">
        <f>IF(Notes!$B$2="June",ROUND('Budget by Source'!D173/10,0)+Q173,ROUND('Budget by Source'!D173/10,0))</f>
        <v>34880</v>
      </c>
      <c r="E173" s="22">
        <f>IF(Notes!$B$2="June",ROUND('Budget by Source'!E173/10,0)+R173,ROUND('Budget by Source'!E173/10,0))</f>
        <v>3969</v>
      </c>
      <c r="F173" s="22">
        <f>IF(Notes!$B$2="June",ROUND('Budget by Source'!F173/10,0)+S173,ROUND('Budget by Source'!F173/10,0))</f>
        <v>3891</v>
      </c>
      <c r="G173" s="22">
        <f>IF(Notes!$B$2="June",ROUND('Budget by Source'!G173/10,0)+T173,ROUND('Budget by Source'!G173/10,0))</f>
        <v>19502</v>
      </c>
      <c r="H173" s="22">
        <f t="shared" si="6"/>
        <v>277361</v>
      </c>
      <c r="I173" s="22">
        <f>INDEX(Data[],MATCH($A173,Data[Dist],0),MATCH(I$5,Data[#Headers],0))</f>
        <v>352552</v>
      </c>
      <c r="K173" s="69">
        <f>INDEX('Payment Total'!$A$7:$H$333,MATCH('Payment by Source'!$A173,'Payment Total'!$A$7:$A$333,0),5)-I173</f>
        <v>0</v>
      </c>
      <c r="P173" s="157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-1</v>
      </c>
      <c r="Q173" s="157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4</v>
      </c>
      <c r="R173" s="157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2</v>
      </c>
      <c r="S173" s="157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4</v>
      </c>
      <c r="T173" s="157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3</v>
      </c>
      <c r="U173" s="158">
        <f>INDEX('Budget by Source'!$A$6:$I$332,MATCH('Payment by Source'!$A173,'Budget by Source'!$A$6:$A$332,0),MATCH(U$3,'Budget by Source'!$A$5:$I$5,0))</f>
        <v>2782214</v>
      </c>
      <c r="V173" s="155">
        <f t="shared" si="7"/>
        <v>278221</v>
      </c>
      <c r="W173" s="155">
        <f t="shared" si="8"/>
        <v>2782210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6834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166751</v>
      </c>
      <c r="I174" s="22">
        <f>INDEX(Data[],MATCH($A174,Data[Dist],0),MATCH(I$5,Data[#Headers],0))</f>
        <v>217717</v>
      </c>
      <c r="K174" s="69">
        <f>INDEX('Payment Total'!$A$7:$H$333,MATCH('Payment by Source'!$A174,'Payment Total'!$A$7:$A$333,0),5)-I174</f>
        <v>0</v>
      </c>
      <c r="P174" s="157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2</v>
      </c>
      <c r="Q174" s="157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7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7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7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8">
        <f>INDEX('Budget by Source'!$A$6:$I$332,MATCH('Payment by Source'!$A174,'Budget by Source'!$A$6:$A$332,0),MATCH(U$3,'Budget by Source'!$A$5:$I$5,0))</f>
        <v>1677531</v>
      </c>
      <c r="V174" s="155">
        <f t="shared" si="7"/>
        <v>167753</v>
      </c>
      <c r="W174" s="155">
        <f t="shared" si="8"/>
        <v>1677530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16186</v>
      </c>
      <c r="D175" s="22">
        <f>IF(Notes!$B$2="June",ROUND('Budget by Source'!D175/10,0)+Q175,ROUND('Budget by Source'!D175/10,0))</f>
        <v>47322</v>
      </c>
      <c r="E175" s="22">
        <f>IF(Notes!$B$2="June",ROUND('Budget by Source'!E175/10,0)+R175,ROUND('Budget by Source'!E175/10,0))</f>
        <v>5058</v>
      </c>
      <c r="F175" s="22">
        <f>IF(Notes!$B$2="June",ROUND('Budget by Source'!F175/10,0)+S175,ROUND('Budget by Source'!F175/10,0))</f>
        <v>5472</v>
      </c>
      <c r="G175" s="22">
        <f>IF(Notes!$B$2="June",ROUND('Budget by Source'!G175/10,0)+T175,ROUND('Budget by Source'!G175/10,0))</f>
        <v>24679</v>
      </c>
      <c r="H175" s="22">
        <f t="shared" si="6"/>
        <v>351803</v>
      </c>
      <c r="I175" s="22">
        <f>INDEX(Data[],MATCH($A175,Data[Dist],0),MATCH(I$5,Data[#Headers],0))</f>
        <v>450520</v>
      </c>
      <c r="K175" s="69">
        <f>INDEX('Payment Total'!$A$7:$H$333,MATCH('Payment by Source'!$A175,'Payment Total'!$A$7:$A$333,0),5)-I175</f>
        <v>0</v>
      </c>
      <c r="P175" s="157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2</v>
      </c>
      <c r="Q175" s="157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-4</v>
      </c>
      <c r="R175" s="157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-1</v>
      </c>
      <c r="S175" s="157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2</v>
      </c>
      <c r="T175" s="157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2</v>
      </c>
      <c r="U175" s="158">
        <f>INDEX('Budget by Source'!$A$6:$I$332,MATCH('Payment by Source'!$A175,'Budget by Source'!$A$6:$A$332,0),MATCH(U$3,'Budget by Source'!$A$5:$I$5,0))</f>
        <v>3529226</v>
      </c>
      <c r="V175" s="155">
        <f t="shared" si="7"/>
        <v>352923</v>
      </c>
      <c r="W175" s="155">
        <f t="shared" si="8"/>
        <v>3529230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2158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270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16169</v>
      </c>
      <c r="I176" s="22">
        <f>INDEX(Data[],MATCH($A176,Data[Dist],0),MATCH(I$5,Data[#Headers],0))</f>
        <v>36395</v>
      </c>
      <c r="K176" s="69">
        <f>INDEX('Payment Total'!$A$7:$H$333,MATCH('Payment by Source'!$A176,'Payment Total'!$A$7:$A$333,0),5)-I176</f>
        <v>0</v>
      </c>
      <c r="P176" s="157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1</v>
      </c>
      <c r="Q176" s="157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7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-4</v>
      </c>
      <c r="S176" s="157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7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8">
        <f>INDEX('Budget by Source'!$A$6:$I$332,MATCH('Payment by Source'!$A176,'Budget by Source'!$A$6:$A$332,0),MATCH(U$3,'Budget by Source'!$A$5:$I$5,0))</f>
        <v>164198</v>
      </c>
      <c r="V176" s="155">
        <f t="shared" si="7"/>
        <v>16420</v>
      </c>
      <c r="W176" s="155">
        <f t="shared" si="8"/>
        <v>164200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14388</v>
      </c>
      <c r="D177" s="22">
        <f>IF(Notes!$B$2="June",ROUND('Budget by Source'!D177/10,0)+Q177,ROUND('Budget by Source'!D177/10,0))</f>
        <v>27951</v>
      </c>
      <c r="E177" s="22">
        <f>IF(Notes!$B$2="June",ROUND('Budget by Source'!E177/10,0)+R177,ROUND('Budget by Source'!E177/10,0))</f>
        <v>2852</v>
      </c>
      <c r="F177" s="22">
        <f>IF(Notes!$B$2="June",ROUND('Budget by Source'!F177/10,0)+S177,ROUND('Budget by Source'!F177/10,0))</f>
        <v>2818</v>
      </c>
      <c r="G177" s="22">
        <f>IF(Notes!$B$2="June",ROUND('Budget by Source'!G177/10,0)+T177,ROUND('Budget by Source'!G177/10,0))</f>
        <v>15425</v>
      </c>
      <c r="H177" s="22">
        <f t="shared" si="6"/>
        <v>194697</v>
      </c>
      <c r="I177" s="22">
        <f>INDEX(Data[],MATCH($A177,Data[Dist],0),MATCH(I$5,Data[#Headers],0))</f>
        <v>258131</v>
      </c>
      <c r="K177" s="69">
        <f>INDEX('Payment Total'!$A$7:$H$333,MATCH('Payment by Source'!$A177,'Payment Total'!$A$7:$A$333,0),5)-I177</f>
        <v>0</v>
      </c>
      <c r="P177" s="157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-3</v>
      </c>
      <c r="Q177" s="157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-1</v>
      </c>
      <c r="R177" s="157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1</v>
      </c>
      <c r="S177" s="157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-3</v>
      </c>
      <c r="T177" s="157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3</v>
      </c>
      <c r="U177" s="158">
        <f>INDEX('Budget by Source'!$A$6:$I$332,MATCH('Payment by Source'!$A177,'Budget by Source'!$A$6:$A$332,0),MATCH(U$3,'Budget by Source'!$A$5:$I$5,0))</f>
        <v>1953857</v>
      </c>
      <c r="V177" s="155">
        <f t="shared" si="7"/>
        <v>195386</v>
      </c>
      <c r="W177" s="155">
        <f t="shared" si="8"/>
        <v>1953860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10071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416605</v>
      </c>
      <c r="I178" s="22">
        <f>INDEX(Data[],MATCH($A178,Data[Dist],0),MATCH(I$5,Data[#Headers],0))</f>
        <v>501114</v>
      </c>
      <c r="K178" s="69">
        <f>INDEX('Payment Total'!$A$7:$H$333,MATCH('Payment by Source'!$A178,'Payment Total'!$A$7:$A$333,0),5)-I178</f>
        <v>0</v>
      </c>
      <c r="P178" s="157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4</v>
      </c>
      <c r="Q178" s="157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7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7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7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8">
        <f>INDEX('Budget by Source'!$A$6:$I$332,MATCH('Payment by Source'!$A178,'Budget by Source'!$A$6:$A$332,0),MATCH(U$3,'Budget by Source'!$A$5:$I$5,0))</f>
        <v>4176742</v>
      </c>
      <c r="V178" s="155">
        <f t="shared" si="7"/>
        <v>417674</v>
      </c>
      <c r="W178" s="155">
        <f t="shared" si="8"/>
        <v>4176740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8633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234716</v>
      </c>
      <c r="I179" s="22">
        <f>INDEX(Data[],MATCH($A179,Data[Dist],0),MATCH(I$5,Data[#Headers],0))</f>
        <v>307187</v>
      </c>
      <c r="K179" s="69">
        <f>INDEX('Payment Total'!$A$7:$H$333,MATCH('Payment by Source'!$A179,'Payment Total'!$A$7:$A$333,0),5)-I179</f>
        <v>0</v>
      </c>
      <c r="P179" s="157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-4</v>
      </c>
      <c r="Q179" s="157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7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7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7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8">
        <f>INDEX('Budget by Source'!$A$6:$I$332,MATCH('Payment by Source'!$A179,'Budget by Source'!$A$6:$A$332,0),MATCH(U$3,'Budget by Source'!$A$5:$I$5,0))</f>
        <v>2355819</v>
      </c>
      <c r="V179" s="155">
        <f t="shared" si="7"/>
        <v>235582</v>
      </c>
      <c r="W179" s="155">
        <f t="shared" si="8"/>
        <v>2355820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13301</v>
      </c>
      <c r="D180" s="22">
        <f>IF(Notes!$B$2="June",ROUND('Budget by Source'!D180/10,0)+Q180,ROUND('Budget by Source'!D180/10,0))</f>
        <v>42542</v>
      </c>
      <c r="E180" s="22">
        <f>IF(Notes!$B$2="June",ROUND('Budget by Source'!E180/10,0)+R180,ROUND('Budget by Source'!E180/10,0))</f>
        <v>3810</v>
      </c>
      <c r="F180" s="22">
        <f>IF(Notes!$B$2="June",ROUND('Budget by Source'!F180/10,0)+S180,ROUND('Budget by Source'!F180/10,0))</f>
        <v>4628</v>
      </c>
      <c r="G180" s="22">
        <f>IF(Notes!$B$2="June",ROUND('Budget by Source'!G180/10,0)+T180,ROUND('Budget by Source'!G180/10,0))</f>
        <v>22759</v>
      </c>
      <c r="H180" s="22">
        <f t="shared" si="6"/>
        <v>229484</v>
      </c>
      <c r="I180" s="22">
        <f>INDEX(Data[],MATCH($A180,Data[Dist],0),MATCH(I$5,Data[#Headers],0))</f>
        <v>316524</v>
      </c>
      <c r="K180" s="69">
        <f>INDEX('Payment Total'!$A$7:$H$333,MATCH('Payment by Source'!$A180,'Payment Total'!$A$7:$A$333,0),5)-I180</f>
        <v>0</v>
      </c>
      <c r="P180" s="157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3</v>
      </c>
      <c r="Q180" s="157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3</v>
      </c>
      <c r="R180" s="157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-4</v>
      </c>
      <c r="S180" s="157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-1</v>
      </c>
      <c r="T180" s="157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4</v>
      </c>
      <c r="U180" s="158">
        <f>INDEX('Budget by Source'!$A$6:$I$332,MATCH('Payment by Source'!$A180,'Budget by Source'!$A$6:$A$332,0),MATCH(U$3,'Budget by Source'!$A$5:$I$5,0))</f>
        <v>2305155</v>
      </c>
      <c r="V180" s="155">
        <f t="shared" si="7"/>
        <v>230516</v>
      </c>
      <c r="W180" s="155">
        <f t="shared" si="8"/>
        <v>2305160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8273</v>
      </c>
      <c r="D181" s="22">
        <f>IF(Notes!$B$2="June",ROUND('Budget by Source'!D181/10,0)+Q181,ROUND('Budget by Source'!D181/10,0))</f>
        <v>37832</v>
      </c>
      <c r="E181" s="22">
        <f>IF(Notes!$B$2="June",ROUND('Budget by Source'!E181/10,0)+R181,ROUND('Budget by Source'!E181/10,0))</f>
        <v>3827</v>
      </c>
      <c r="F181" s="22">
        <f>IF(Notes!$B$2="June",ROUND('Budget by Source'!F181/10,0)+S181,ROUND('Budget by Source'!F181/10,0))</f>
        <v>3984</v>
      </c>
      <c r="G181" s="22">
        <f>IF(Notes!$B$2="June",ROUND('Budget by Source'!G181/10,0)+T181,ROUND('Budget by Source'!G181/10,0))</f>
        <v>20916</v>
      </c>
      <c r="H181" s="22">
        <f t="shared" si="6"/>
        <v>221906</v>
      </c>
      <c r="I181" s="22">
        <f>INDEX(Data[],MATCH($A181,Data[Dist],0),MATCH(I$5,Data[#Headers],0))</f>
        <v>296738</v>
      </c>
      <c r="K181" s="69">
        <f>INDEX('Payment Total'!$A$7:$H$333,MATCH('Payment by Source'!$A181,'Payment Total'!$A$7:$A$333,0),5)-I181</f>
        <v>0</v>
      </c>
      <c r="P181" s="157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0</v>
      </c>
      <c r="Q181" s="157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-3</v>
      </c>
      <c r="R181" s="157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1</v>
      </c>
      <c r="S181" s="157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1</v>
      </c>
      <c r="T181" s="157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3</v>
      </c>
      <c r="U181" s="158">
        <f>INDEX('Budget by Source'!$A$6:$I$332,MATCH('Payment by Source'!$A181,'Budget by Source'!$A$6:$A$332,0),MATCH(U$3,'Budget by Source'!$A$5:$I$5,0))</f>
        <v>2228549</v>
      </c>
      <c r="V181" s="155">
        <f t="shared" si="7"/>
        <v>222855</v>
      </c>
      <c r="W181" s="155">
        <f t="shared" si="8"/>
        <v>2228550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26977</v>
      </c>
      <c r="D182" s="22">
        <f>IF(Notes!$B$2="June",ROUND('Budget by Source'!D182/10,0)+Q182,ROUND('Budget by Source'!D182/10,0))</f>
        <v>82110</v>
      </c>
      <c r="E182" s="22">
        <f>IF(Notes!$B$2="June",ROUND('Budget by Source'!E182/10,0)+R182,ROUND('Budget by Source'!E182/10,0))</f>
        <v>9869</v>
      </c>
      <c r="F182" s="22">
        <f>IF(Notes!$B$2="June",ROUND('Budget by Source'!F182/10,0)+S182,ROUND('Budget by Source'!F182/10,0))</f>
        <v>9577</v>
      </c>
      <c r="G182" s="22">
        <f>IF(Notes!$B$2="June",ROUND('Budget by Source'!G182/10,0)+T182,ROUND('Budget by Source'!G182/10,0))</f>
        <v>43993</v>
      </c>
      <c r="H182" s="22">
        <f t="shared" si="6"/>
        <v>777378</v>
      </c>
      <c r="I182" s="22">
        <f>INDEX(Data[],MATCH($A182,Data[Dist],0),MATCH(I$5,Data[#Headers],0))</f>
        <v>949904</v>
      </c>
      <c r="K182" s="69">
        <f>INDEX('Payment Total'!$A$7:$H$333,MATCH('Payment by Source'!$A182,'Payment Total'!$A$7:$A$333,0),5)-I182</f>
        <v>0</v>
      </c>
      <c r="P182" s="157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-1</v>
      </c>
      <c r="Q182" s="157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-2</v>
      </c>
      <c r="R182" s="157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4</v>
      </c>
      <c r="S182" s="157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0</v>
      </c>
      <c r="T182" s="157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8">
        <f>INDEX('Budget by Source'!$A$6:$I$332,MATCH('Payment by Source'!$A182,'Budget by Source'!$A$6:$A$332,0),MATCH(U$3,'Budget by Source'!$A$5:$I$5,0))</f>
        <v>7793734</v>
      </c>
      <c r="V182" s="155">
        <f t="shared" si="7"/>
        <v>779373</v>
      </c>
      <c r="W182" s="155">
        <f t="shared" si="8"/>
        <v>7793730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14388</v>
      </c>
      <c r="D183" s="22">
        <f>IF(Notes!$B$2="June",ROUND('Budget by Source'!D183/10,0)+Q183,ROUND('Budget by Source'!D183/10,0))</f>
        <v>42823</v>
      </c>
      <c r="E183" s="22">
        <f>IF(Notes!$B$2="June",ROUND('Budget by Source'!E183/10,0)+R183,ROUND('Budget by Source'!E183/10,0))</f>
        <v>4644</v>
      </c>
      <c r="F183" s="22">
        <f>IF(Notes!$B$2="June",ROUND('Budget by Source'!F183/10,0)+S183,ROUND('Budget by Source'!F183/10,0))</f>
        <v>4730</v>
      </c>
      <c r="G183" s="22">
        <f>IF(Notes!$B$2="June",ROUND('Budget by Source'!G183/10,0)+T183,ROUND('Budget by Source'!G183/10,0))</f>
        <v>23618</v>
      </c>
      <c r="H183" s="22">
        <f t="shared" si="6"/>
        <v>264671</v>
      </c>
      <c r="I183" s="22">
        <f>INDEX(Data[],MATCH($A183,Data[Dist],0),MATCH(I$5,Data[#Headers],0))</f>
        <v>354874</v>
      </c>
      <c r="K183" s="69">
        <f>INDEX('Payment Total'!$A$7:$H$333,MATCH('Payment by Source'!$A183,'Payment Total'!$A$7:$A$333,0),5)-I183</f>
        <v>0</v>
      </c>
      <c r="P183" s="157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7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4</v>
      </c>
      <c r="R183" s="157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-5</v>
      </c>
      <c r="S183" s="157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1</v>
      </c>
      <c r="T183" s="157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1</v>
      </c>
      <c r="U183" s="158">
        <f>INDEX('Budget by Source'!$A$6:$I$332,MATCH('Payment by Source'!$A183,'Budget by Source'!$A$6:$A$332,0),MATCH(U$3,'Budget by Source'!$A$5:$I$5,0))</f>
        <v>2657420</v>
      </c>
      <c r="V183" s="155">
        <f t="shared" si="7"/>
        <v>265742</v>
      </c>
      <c r="W183" s="155">
        <f t="shared" si="8"/>
        <v>2657420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6474</v>
      </c>
      <c r="D184" s="22">
        <f>IF(Notes!$B$2="June",ROUND('Budget by Source'!D184/10,0)+Q184,ROUND('Budget by Source'!D184/10,0))</f>
        <v>28717</v>
      </c>
      <c r="E184" s="22">
        <f>IF(Notes!$B$2="June",ROUND('Budget by Source'!E184/10,0)+R184,ROUND('Budget by Source'!E184/10,0))</f>
        <v>2418</v>
      </c>
      <c r="F184" s="22">
        <f>IF(Notes!$B$2="June",ROUND('Budget by Source'!F184/10,0)+S184,ROUND('Budget by Source'!F184/10,0))</f>
        <v>3050</v>
      </c>
      <c r="G184" s="22">
        <f>IF(Notes!$B$2="June",ROUND('Budget by Source'!G184/10,0)+T184,ROUND('Budget by Source'!G184/10,0))</f>
        <v>15223</v>
      </c>
      <c r="H184" s="22">
        <f t="shared" si="6"/>
        <v>124258</v>
      </c>
      <c r="I184" s="22">
        <f>INDEX(Data[],MATCH($A184,Data[Dist],0),MATCH(I$5,Data[#Headers],0))</f>
        <v>180140</v>
      </c>
      <c r="K184" s="69">
        <f>INDEX('Payment Total'!$A$7:$H$333,MATCH('Payment by Source'!$A184,'Payment Total'!$A$7:$A$333,0),5)-I184</f>
        <v>0</v>
      </c>
      <c r="P184" s="157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4</v>
      </c>
      <c r="Q184" s="157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-3</v>
      </c>
      <c r="R184" s="157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-3</v>
      </c>
      <c r="S184" s="157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1</v>
      </c>
      <c r="T184" s="157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-1</v>
      </c>
      <c r="U184" s="158">
        <f>INDEX('Budget by Source'!$A$6:$I$332,MATCH('Payment by Source'!$A184,'Budget by Source'!$A$6:$A$332,0),MATCH(U$3,'Budget by Source'!$A$5:$I$5,0))</f>
        <v>1249489</v>
      </c>
      <c r="V184" s="155">
        <f t="shared" si="7"/>
        <v>124949</v>
      </c>
      <c r="W184" s="155">
        <f t="shared" si="8"/>
        <v>1249490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34171</v>
      </c>
      <c r="D185" s="22">
        <f>IF(Notes!$B$2="June",ROUND('Budget by Source'!D185/10,0)+Q185,ROUND('Budget by Source'!D185/10,0))</f>
        <v>122290</v>
      </c>
      <c r="E185" s="22">
        <f>IF(Notes!$B$2="June",ROUND('Budget by Source'!E185/10,0)+R185,ROUND('Budget by Source'!E185/10,0))</f>
        <v>14989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66746</v>
      </c>
      <c r="H185" s="22">
        <f t="shared" si="6"/>
        <v>1155918</v>
      </c>
      <c r="I185" s="22">
        <f>INDEX(Data[],MATCH($A185,Data[Dist],0),MATCH(I$5,Data[#Headers],0))</f>
        <v>1408768</v>
      </c>
      <c r="K185" s="69">
        <f>INDEX('Payment Total'!$A$7:$H$333,MATCH('Payment by Source'!$A185,'Payment Total'!$A$7:$A$333,0),5)-I185</f>
        <v>0</v>
      </c>
      <c r="P185" s="157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-3</v>
      </c>
      <c r="Q185" s="157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3</v>
      </c>
      <c r="R185" s="157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0</v>
      </c>
      <c r="S185" s="157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7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-3</v>
      </c>
      <c r="U185" s="158">
        <f>INDEX('Budget by Source'!$A$6:$I$332,MATCH('Payment by Source'!$A185,'Budget by Source'!$A$6:$A$332,0),MATCH(U$3,'Budget by Source'!$A$5:$I$5,0))</f>
        <v>11589467</v>
      </c>
      <c r="V185" s="155">
        <f t="shared" si="7"/>
        <v>1158947</v>
      </c>
      <c r="W185" s="155">
        <f t="shared" si="8"/>
        <v>11589470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80931</v>
      </c>
      <c r="D186" s="22">
        <f>IF(Notes!$B$2="June",ROUND('Budget by Source'!D186/10,0)+Q186,ROUND('Budget by Source'!D186/10,0))</f>
        <v>320850</v>
      </c>
      <c r="E186" s="22">
        <f>IF(Notes!$B$2="June",ROUND('Budget by Source'!E186/10,0)+R186,ROUND('Budget by Source'!E186/10,0))</f>
        <v>49116</v>
      </c>
      <c r="F186" s="22">
        <f>IF(Notes!$B$2="June",ROUND('Budget by Source'!F186/10,0)+S186,ROUND('Budget by Source'!F186/10,0))</f>
        <v>35956</v>
      </c>
      <c r="G186" s="22">
        <f>IF(Notes!$B$2="June",ROUND('Budget by Source'!G186/10,0)+T186,ROUND('Budget by Source'!G186/10,0))</f>
        <v>186135</v>
      </c>
      <c r="H186" s="22">
        <f t="shared" si="6"/>
        <v>3533232</v>
      </c>
      <c r="I186" s="22">
        <f>INDEX(Data[],MATCH($A186,Data[Dist],0),MATCH(I$5,Data[#Headers],0))</f>
        <v>4206220</v>
      </c>
      <c r="K186" s="69">
        <f>INDEX('Payment Total'!$A$7:$H$333,MATCH('Payment by Source'!$A186,'Payment Total'!$A$7:$A$333,0),5)-I186</f>
        <v>0</v>
      </c>
      <c r="P186" s="157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-4</v>
      </c>
      <c r="Q186" s="157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-2</v>
      </c>
      <c r="R186" s="157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-2</v>
      </c>
      <c r="S186" s="157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-3</v>
      </c>
      <c r="T186" s="157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-4</v>
      </c>
      <c r="U186" s="158">
        <f>INDEX('Budget by Source'!$A$6:$I$332,MATCH('Payment by Source'!$A186,'Budget by Source'!$A$6:$A$332,0),MATCH(U$3,'Budget by Source'!$A$5:$I$5,0))</f>
        <v>35416776</v>
      </c>
      <c r="V186" s="155">
        <f t="shared" si="7"/>
        <v>3541678</v>
      </c>
      <c r="W186" s="155">
        <f t="shared" si="8"/>
        <v>35416780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8273</v>
      </c>
      <c r="D187" s="22">
        <f>IF(Notes!$B$2="June",ROUND('Budget by Source'!D187/10,0)+Q187,ROUND('Budget by Source'!D187/10,0))</f>
        <v>31843</v>
      </c>
      <c r="E187" s="22">
        <f>IF(Notes!$B$2="June",ROUND('Budget by Source'!E187/10,0)+R187,ROUND('Budget by Source'!E187/10,0))</f>
        <v>3497</v>
      </c>
      <c r="F187" s="22">
        <f>IF(Notes!$B$2="June",ROUND('Budget by Source'!F187/10,0)+S187,ROUND('Budget by Source'!F187/10,0))</f>
        <v>3091</v>
      </c>
      <c r="G187" s="22">
        <f>IF(Notes!$B$2="June",ROUND('Budget by Source'!G187/10,0)+T187,ROUND('Budget by Source'!G187/10,0))</f>
        <v>17988</v>
      </c>
      <c r="H187" s="22">
        <f t="shared" si="6"/>
        <v>250848</v>
      </c>
      <c r="I187" s="22">
        <f>INDEX(Data[],MATCH($A187,Data[Dist],0),MATCH(I$5,Data[#Headers],0))</f>
        <v>315540</v>
      </c>
      <c r="K187" s="69">
        <f>INDEX('Payment Total'!$A$7:$H$333,MATCH('Payment by Source'!$A187,'Payment Total'!$A$7:$A$333,0),5)-I187</f>
        <v>0</v>
      </c>
      <c r="P187" s="157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0</v>
      </c>
      <c r="Q187" s="157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0</v>
      </c>
      <c r="R187" s="157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-2</v>
      </c>
      <c r="S187" s="157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-2</v>
      </c>
      <c r="T187" s="157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-4</v>
      </c>
      <c r="U187" s="158">
        <f>INDEX('Budget by Source'!$A$6:$I$332,MATCH('Payment by Source'!$A187,'Budget by Source'!$A$6:$A$332,0),MATCH(U$3,'Budget by Source'!$A$5:$I$5,0))</f>
        <v>2516651</v>
      </c>
      <c r="V187" s="155">
        <f t="shared" si="7"/>
        <v>251665</v>
      </c>
      <c r="W187" s="155">
        <f t="shared" si="8"/>
        <v>2516650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48199</v>
      </c>
      <c r="D188" s="22">
        <f>IF(Notes!$B$2="June",ROUND('Budget by Source'!D188/10,0)+Q188,ROUND('Budget by Source'!D188/10,0))</f>
        <v>214837</v>
      </c>
      <c r="E188" s="22">
        <f>IF(Notes!$B$2="June",ROUND('Budget by Source'!E188/10,0)+R188,ROUND('Budget by Source'!E188/10,0))</f>
        <v>28769</v>
      </c>
      <c r="F188" s="22">
        <f>IF(Notes!$B$2="June",ROUND('Budget by Source'!F188/10,0)+S188,ROUND('Budget by Source'!F188/10,0))</f>
        <v>25456</v>
      </c>
      <c r="G188" s="22">
        <f>IF(Notes!$B$2="June",ROUND('Budget by Source'!G188/10,0)+T188,ROUND('Budget by Source'!G188/10,0))</f>
        <v>123559</v>
      </c>
      <c r="H188" s="22">
        <f t="shared" si="6"/>
        <v>1853141</v>
      </c>
      <c r="I188" s="22">
        <f>INDEX(Data[],MATCH($A188,Data[Dist],0),MATCH(I$5,Data[#Headers],0))</f>
        <v>2293961</v>
      </c>
      <c r="K188" s="69">
        <f>INDEX('Payment Total'!$A$7:$H$333,MATCH('Payment by Source'!$A188,'Payment Total'!$A$7:$A$333,0),5)-I188</f>
        <v>0</v>
      </c>
      <c r="P188" s="157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-3</v>
      </c>
      <c r="Q188" s="157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3</v>
      </c>
      <c r="R188" s="157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7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-4</v>
      </c>
      <c r="T188" s="157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0</v>
      </c>
      <c r="U188" s="158">
        <f>INDEX('Budget by Source'!$A$6:$I$332,MATCH('Payment by Source'!$A188,'Budget by Source'!$A$6:$A$332,0),MATCH(U$3,'Budget by Source'!$A$5:$I$5,0))</f>
        <v>18586747</v>
      </c>
      <c r="V188" s="155">
        <f t="shared" si="7"/>
        <v>1858675</v>
      </c>
      <c r="W188" s="155">
        <f t="shared" si="8"/>
        <v>18586750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19783</v>
      </c>
      <c r="D189" s="22">
        <f>IF(Notes!$B$2="June",ROUND('Budget by Source'!D189/10,0)+Q189,ROUND('Budget by Source'!D189/10,0))</f>
        <v>91529</v>
      </c>
      <c r="E189" s="22">
        <f>IF(Notes!$B$2="June",ROUND('Budget by Source'!E189/10,0)+R189,ROUND('Budget by Source'!E189/10,0))</f>
        <v>10598</v>
      </c>
      <c r="F189" s="22">
        <f>IF(Notes!$B$2="June",ROUND('Budget by Source'!F189/10,0)+S189,ROUND('Budget by Source'!F189/10,0))</f>
        <v>10907</v>
      </c>
      <c r="G189" s="22">
        <f>IF(Notes!$B$2="June",ROUND('Budget by Source'!G189/10,0)+T189,ROUND('Budget by Source'!G189/10,0))</f>
        <v>52291</v>
      </c>
      <c r="H189" s="22">
        <f t="shared" si="6"/>
        <v>688879</v>
      </c>
      <c r="I189" s="22">
        <f>INDEX(Data[],MATCH($A189,Data[Dist],0),MATCH(I$5,Data[#Headers],0))</f>
        <v>873987</v>
      </c>
      <c r="K189" s="69">
        <f>INDEX('Payment Total'!$A$7:$H$333,MATCH('Payment by Source'!$A189,'Payment Total'!$A$7:$A$333,0),5)-I189</f>
        <v>0</v>
      </c>
      <c r="P189" s="157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1</v>
      </c>
      <c r="Q189" s="157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3</v>
      </c>
      <c r="R189" s="157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4</v>
      </c>
      <c r="S189" s="157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-1</v>
      </c>
      <c r="T189" s="157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-3</v>
      </c>
      <c r="U189" s="158">
        <f>INDEX('Budget by Source'!$A$6:$I$332,MATCH('Payment by Source'!$A189,'Budget by Source'!$A$6:$A$332,0),MATCH(U$3,'Budget by Source'!$A$5:$I$5,0))</f>
        <v>6912513</v>
      </c>
      <c r="V189" s="155">
        <f t="shared" si="7"/>
        <v>691251</v>
      </c>
      <c r="W189" s="155">
        <f t="shared" si="8"/>
        <v>6912510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51729</v>
      </c>
      <c r="E190" s="22">
        <f>IF(Notes!$B$2="June",ROUND('Budget by Source'!E190/10,0)+R190,ROUND('Budget by Source'!E190/10,0))</f>
        <v>5442</v>
      </c>
      <c r="F190" s="22">
        <f>IF(Notes!$B$2="June",ROUND('Budget by Source'!F190/10,0)+S190,ROUND('Budget by Source'!F190/10,0))</f>
        <v>5141</v>
      </c>
      <c r="G190" s="22">
        <f>IF(Notes!$B$2="June",ROUND('Budget by Source'!G190/10,0)+T190,ROUND('Budget by Source'!G190/10,0))</f>
        <v>28746</v>
      </c>
      <c r="H190" s="22">
        <f t="shared" si="6"/>
        <v>377761</v>
      </c>
      <c r="I190" s="22">
        <f>INDEX(Data[],MATCH($A190,Data[Dist],0),MATCH(I$5,Data[#Headers],0))</f>
        <v>468819</v>
      </c>
      <c r="K190" s="69">
        <f>INDEX('Payment Total'!$A$7:$H$333,MATCH('Payment by Source'!$A190,'Payment Total'!$A$7:$A$333,0),5)-I190</f>
        <v>0</v>
      </c>
      <c r="P190" s="157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7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0</v>
      </c>
      <c r="R190" s="157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-3</v>
      </c>
      <c r="S190" s="157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1</v>
      </c>
      <c r="T190" s="157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-1</v>
      </c>
      <c r="U190" s="158">
        <f>INDEX('Budget by Source'!$A$6:$I$332,MATCH('Payment by Source'!$A190,'Budget by Source'!$A$6:$A$332,0),MATCH(U$3,'Budget by Source'!$A$5:$I$5,0))</f>
        <v>3790658</v>
      </c>
      <c r="V190" s="155">
        <f t="shared" si="7"/>
        <v>379066</v>
      </c>
      <c r="W190" s="155">
        <f t="shared" si="8"/>
        <v>3790660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8273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170122</v>
      </c>
      <c r="I191" s="22">
        <f>INDEX(Data[],MATCH($A191,Data[Dist],0),MATCH(I$5,Data[#Headers],0))</f>
        <v>218442</v>
      </c>
      <c r="K191" s="69">
        <f>INDEX('Payment Total'!$A$7:$H$333,MATCH('Payment by Source'!$A191,'Payment Total'!$A$7:$A$333,0),5)-I191</f>
        <v>0</v>
      </c>
      <c r="P191" s="157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0</v>
      </c>
      <c r="Q191" s="157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7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7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7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-5</v>
      </c>
      <c r="U191" s="158">
        <f>INDEX('Budget by Source'!$A$6:$I$332,MATCH('Payment by Source'!$A191,'Budget by Source'!$A$6:$A$332,0),MATCH(U$3,'Budget by Source'!$A$5:$I$5,0))</f>
        <v>1941126</v>
      </c>
      <c r="V191" s="155">
        <f t="shared" si="7"/>
        <v>194113</v>
      </c>
      <c r="W191" s="155">
        <f t="shared" si="8"/>
        <v>1941130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7913</v>
      </c>
      <c r="D192" s="22">
        <f>IF(Notes!$B$2="June",ROUND('Budget by Source'!D192/10,0)+Q192,ROUND('Budget by Source'!D192/10,0))</f>
        <v>34114</v>
      </c>
      <c r="E192" s="22">
        <f>IF(Notes!$B$2="June",ROUND('Budget by Source'!E192/10,0)+R192,ROUND('Budget by Source'!E192/10,0))</f>
        <v>3635</v>
      </c>
      <c r="F192" s="22">
        <f>IF(Notes!$B$2="June",ROUND('Budget by Source'!F192/10,0)+S192,ROUND('Budget by Source'!F192/10,0))</f>
        <v>3421</v>
      </c>
      <c r="G192" s="22">
        <f>IF(Notes!$B$2="June",ROUND('Budget by Source'!G192/10,0)+T192,ROUND('Budget by Source'!G192/10,0))</f>
        <v>17869</v>
      </c>
      <c r="H192" s="22">
        <f t="shared" si="6"/>
        <v>230402</v>
      </c>
      <c r="I192" s="22">
        <f>INDEX(Data[],MATCH($A192,Data[Dist],0),MATCH(I$5,Data[#Headers],0))</f>
        <v>297354</v>
      </c>
      <c r="K192" s="69">
        <f>INDEX('Payment Total'!$A$7:$H$333,MATCH('Payment by Source'!$A192,'Payment Total'!$A$7:$A$333,0),5)-I192</f>
        <v>0</v>
      </c>
      <c r="P192" s="157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2</v>
      </c>
      <c r="Q192" s="157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0</v>
      </c>
      <c r="R192" s="157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-5</v>
      </c>
      <c r="S192" s="157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7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-1</v>
      </c>
      <c r="U192" s="158">
        <f>INDEX('Budget by Source'!$A$6:$I$332,MATCH('Payment by Source'!$A192,'Budget by Source'!$A$6:$A$332,0),MATCH(U$3,'Budget by Source'!$A$5:$I$5,0))</f>
        <v>2312131</v>
      </c>
      <c r="V192" s="155">
        <f t="shared" si="7"/>
        <v>231213</v>
      </c>
      <c r="W192" s="155">
        <f t="shared" si="8"/>
        <v>2312130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22308</v>
      </c>
      <c r="D193" s="22">
        <f>IF(Notes!$B$2="June",ROUND('Budget by Source'!D193/10,0)+Q193,ROUND('Budget by Source'!D193/10,0))</f>
        <v>81244</v>
      </c>
      <c r="E193" s="22">
        <f>IF(Notes!$B$2="June",ROUND('Budget by Source'!E193/10,0)+R193,ROUND('Budget by Source'!E193/10,0))</f>
        <v>9159</v>
      </c>
      <c r="F193" s="22">
        <f>IF(Notes!$B$2="June",ROUND('Budget by Source'!F193/10,0)+S193,ROUND('Budget by Source'!F193/10,0))</f>
        <v>8868</v>
      </c>
      <c r="G193" s="22">
        <f>IF(Notes!$B$2="June",ROUND('Budget by Source'!G193/10,0)+T193,ROUND('Budget by Source'!G193/10,0))</f>
        <v>44513</v>
      </c>
      <c r="H193" s="22">
        <f t="shared" si="6"/>
        <v>643475</v>
      </c>
      <c r="I193" s="22">
        <f>INDEX(Data[],MATCH($A193,Data[Dist],0),MATCH(I$5,Data[#Headers],0))</f>
        <v>809567</v>
      </c>
      <c r="K193" s="69">
        <f>INDEX('Payment Total'!$A$7:$H$333,MATCH('Payment by Source'!$A193,'Payment Total'!$A$7:$A$333,0),5)-I193</f>
        <v>0</v>
      </c>
      <c r="P193" s="157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2</v>
      </c>
      <c r="Q193" s="157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3</v>
      </c>
      <c r="R193" s="157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-5</v>
      </c>
      <c r="S193" s="157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-3</v>
      </c>
      <c r="T193" s="157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4</v>
      </c>
      <c r="U193" s="158">
        <f>INDEX('Budget by Source'!$A$6:$I$332,MATCH('Payment by Source'!$A193,'Budget by Source'!$A$6:$A$332,0),MATCH(U$3,'Budget by Source'!$A$5:$I$5,0))</f>
        <v>6454933</v>
      </c>
      <c r="V193" s="155">
        <f t="shared" si="7"/>
        <v>645493</v>
      </c>
      <c r="W193" s="155">
        <f t="shared" si="8"/>
        <v>6454930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15107</v>
      </c>
      <c r="D194" s="22">
        <f>IF(Notes!$B$2="June",ROUND('Budget by Source'!D194/10,0)+Q194,ROUND('Budget by Source'!D194/10,0))</f>
        <v>46740</v>
      </c>
      <c r="E194" s="22">
        <f>IF(Notes!$B$2="June",ROUND('Budget by Source'!E194/10,0)+R194,ROUND('Budget by Source'!E194/10,0))</f>
        <v>5509</v>
      </c>
      <c r="F194" s="22">
        <f>IF(Notes!$B$2="June",ROUND('Budget by Source'!F194/10,0)+S194,ROUND('Budget by Source'!F194/10,0))</f>
        <v>4689</v>
      </c>
      <c r="G194" s="22">
        <f>IF(Notes!$B$2="June",ROUND('Budget by Source'!G194/10,0)+T194,ROUND('Budget by Source'!G194/10,0))</f>
        <v>27391</v>
      </c>
      <c r="H194" s="22">
        <f t="shared" si="6"/>
        <v>391463</v>
      </c>
      <c r="I194" s="22">
        <f>INDEX(Data[],MATCH($A194,Data[Dist],0),MATCH(I$5,Data[#Headers],0))</f>
        <v>490899</v>
      </c>
      <c r="K194" s="69">
        <f>INDEX('Payment Total'!$A$7:$H$333,MATCH('Payment by Source'!$A194,'Payment Total'!$A$7:$A$333,0),5)-I194</f>
        <v>0</v>
      </c>
      <c r="P194" s="157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0</v>
      </c>
      <c r="Q194" s="157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-4</v>
      </c>
      <c r="R194" s="157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-2</v>
      </c>
      <c r="S194" s="157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2</v>
      </c>
      <c r="T194" s="157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-5</v>
      </c>
      <c r="U194" s="158">
        <f>INDEX('Budget by Source'!$A$6:$I$332,MATCH('Payment by Source'!$A194,'Budget by Source'!$A$6:$A$332,0),MATCH(U$3,'Budget by Source'!$A$5:$I$5,0))</f>
        <v>3926863</v>
      </c>
      <c r="V194" s="155">
        <f t="shared" si="7"/>
        <v>392686</v>
      </c>
      <c r="W194" s="155">
        <f t="shared" si="8"/>
        <v>3926860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15467</v>
      </c>
      <c r="D195" s="22">
        <f>IF(Notes!$B$2="June",ROUND('Budget by Source'!D195/10,0)+Q195,ROUND('Budget by Source'!D195/10,0))</f>
        <v>50516</v>
      </c>
      <c r="E195" s="22">
        <f>IF(Notes!$B$2="June",ROUND('Budget by Source'!E195/10,0)+R195,ROUND('Budget by Source'!E195/10,0))</f>
        <v>6217</v>
      </c>
      <c r="F195" s="22">
        <f>IF(Notes!$B$2="June",ROUND('Budget by Source'!F195/10,0)+S195,ROUND('Budget by Source'!F195/10,0))</f>
        <v>6103</v>
      </c>
      <c r="G195" s="22">
        <f>IF(Notes!$B$2="June",ROUND('Budget by Source'!G195/10,0)+T195,ROUND('Budget by Source'!G195/10,0))</f>
        <v>27706</v>
      </c>
      <c r="H195" s="22">
        <f t="shared" si="6"/>
        <v>422830</v>
      </c>
      <c r="I195" s="22">
        <f>INDEX(Data[],MATCH($A195,Data[Dist],0),MATCH(I$5,Data[#Headers],0))</f>
        <v>528839</v>
      </c>
      <c r="K195" s="69">
        <f>INDEX('Payment Total'!$A$7:$H$333,MATCH('Payment by Source'!$A195,'Payment Total'!$A$7:$A$333,0),5)-I195</f>
        <v>0</v>
      </c>
      <c r="P195" s="157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-2</v>
      </c>
      <c r="Q195" s="157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-2</v>
      </c>
      <c r="R195" s="157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1</v>
      </c>
      <c r="S195" s="157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-2</v>
      </c>
      <c r="T195" s="157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-3</v>
      </c>
      <c r="U195" s="158">
        <f>INDEX('Budget by Source'!$A$6:$I$332,MATCH('Payment by Source'!$A195,'Budget by Source'!$A$6:$A$332,0),MATCH(U$3,'Budget by Source'!$A$5:$I$5,0))</f>
        <v>4240868</v>
      </c>
      <c r="V195" s="155">
        <f t="shared" si="7"/>
        <v>424087</v>
      </c>
      <c r="W195" s="155">
        <f t="shared" si="8"/>
        <v>4240870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13668</v>
      </c>
      <c r="D196" s="22">
        <f>IF(Notes!$B$2="June",ROUND('Budget by Source'!D196/10,0)+Q196,ROUND('Budget by Source'!D196/10,0))</f>
        <v>27919</v>
      </c>
      <c r="E196" s="22">
        <f>IF(Notes!$B$2="June",ROUND('Budget by Source'!E196/10,0)+R196,ROUND('Budget by Source'!E196/10,0))</f>
        <v>3585</v>
      </c>
      <c r="F196" s="22">
        <f>IF(Notes!$B$2="June",ROUND('Budget by Source'!F196/10,0)+S196,ROUND('Budget by Source'!F196/10,0))</f>
        <v>2751</v>
      </c>
      <c r="G196" s="22">
        <f>IF(Notes!$B$2="June",ROUND('Budget by Source'!G196/10,0)+T196,ROUND('Budget by Source'!G196/10,0))</f>
        <v>16550</v>
      </c>
      <c r="H196" s="22">
        <f t="shared" si="6"/>
        <v>170192</v>
      </c>
      <c r="I196" s="22">
        <f>INDEX(Data[],MATCH($A196,Data[Dist],0),MATCH(I$5,Data[#Headers],0))</f>
        <v>234665</v>
      </c>
      <c r="K196" s="69">
        <f>INDEX('Payment Total'!$A$7:$H$333,MATCH('Payment by Source'!$A196,'Payment Total'!$A$7:$A$333,0),5)-I196</f>
        <v>0</v>
      </c>
      <c r="P196" s="157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3</v>
      </c>
      <c r="Q196" s="157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7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-1</v>
      </c>
      <c r="S196" s="157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-2</v>
      </c>
      <c r="T196" s="157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2</v>
      </c>
      <c r="U196" s="158">
        <f>INDEX('Budget by Source'!$A$6:$I$332,MATCH('Payment by Source'!$A196,'Budget by Source'!$A$6:$A$332,0),MATCH(U$3,'Budget by Source'!$A$5:$I$5,0))</f>
        <v>1711340</v>
      </c>
      <c r="V196" s="155">
        <f t="shared" si="7"/>
        <v>171134</v>
      </c>
      <c r="W196" s="155">
        <f t="shared" si="8"/>
        <v>1711340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19064</v>
      </c>
      <c r="D197" s="22">
        <f>IF(Notes!$B$2="June",ROUND('Budget by Source'!D197/10,0)+Q197,ROUND('Budget by Source'!D197/10,0))</f>
        <v>59726</v>
      </c>
      <c r="E197" s="22">
        <f>IF(Notes!$B$2="June",ROUND('Budget by Source'!E197/10,0)+R197,ROUND('Budget by Source'!E197/10,0))</f>
        <v>6374</v>
      </c>
      <c r="F197" s="22">
        <f>IF(Notes!$B$2="June",ROUND('Budget by Source'!F197/10,0)+S197,ROUND('Budget by Source'!F197/10,0))</f>
        <v>5888</v>
      </c>
      <c r="G197" s="22">
        <f>IF(Notes!$B$2="June",ROUND('Budget by Source'!G197/10,0)+T197,ROUND('Budget by Source'!G197/10,0))</f>
        <v>33291</v>
      </c>
      <c r="H197" s="22">
        <f t="shared" si="6"/>
        <v>475939</v>
      </c>
      <c r="I197" s="22">
        <f>INDEX(Data[],MATCH($A197,Data[Dist],0),MATCH(I$5,Data[#Headers],0))</f>
        <v>600282</v>
      </c>
      <c r="K197" s="69">
        <f>INDEX('Payment Total'!$A$7:$H$333,MATCH('Payment by Source'!$A197,'Payment Total'!$A$7:$A$333,0),5)-I197</f>
        <v>0</v>
      </c>
      <c r="P197" s="157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-3</v>
      </c>
      <c r="Q197" s="157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4</v>
      </c>
      <c r="R197" s="157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-4</v>
      </c>
      <c r="S197" s="157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1</v>
      </c>
      <c r="T197" s="157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-2</v>
      </c>
      <c r="U197" s="158">
        <f>INDEX('Budget by Source'!$A$6:$I$332,MATCH('Payment by Source'!$A197,'Budget by Source'!$A$6:$A$332,0),MATCH(U$3,'Budget by Source'!$A$5:$I$5,0))</f>
        <v>4774497</v>
      </c>
      <c r="V197" s="155">
        <f t="shared" si="7"/>
        <v>477450</v>
      </c>
      <c r="W197" s="155">
        <f t="shared" si="8"/>
        <v>4774500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5755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182175</v>
      </c>
      <c r="I198" s="22">
        <f>INDEX(Data[],MATCH($A198,Data[Dist],0),MATCH(I$5,Data[#Headers],0))</f>
        <v>230740</v>
      </c>
      <c r="K198" s="69">
        <f>INDEX('Payment Total'!$A$7:$H$333,MATCH('Payment by Source'!$A198,'Payment Total'!$A$7:$A$333,0),5)-I198</f>
        <v>0</v>
      </c>
      <c r="P198" s="157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1</v>
      </c>
      <c r="Q198" s="157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7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7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7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8">
        <f>INDEX('Budget by Source'!$A$6:$I$332,MATCH('Payment by Source'!$A198,'Budget by Source'!$A$6:$A$332,0),MATCH(U$3,'Budget by Source'!$A$5:$I$5,0))</f>
        <v>1827288</v>
      </c>
      <c r="V198" s="155">
        <f t="shared" si="7"/>
        <v>182729</v>
      </c>
      <c r="W198" s="155">
        <f t="shared" si="8"/>
        <v>1827290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2518</v>
      </c>
      <c r="D199" s="22">
        <f>IF(Notes!$B$2="June",ROUND('Budget by Source'!D199/10,0)+Q199,ROUND('Budget by Source'!D199/10,0))</f>
        <v>14285</v>
      </c>
      <c r="E199" s="22">
        <f>IF(Notes!$B$2="June",ROUND('Budget by Source'!E199/10,0)+R199,ROUND('Budget by Source'!E199/10,0))</f>
        <v>1670</v>
      </c>
      <c r="F199" s="22">
        <f>IF(Notes!$B$2="June",ROUND('Budget by Source'!F199/10,0)+S199,ROUND('Budget by Source'!F199/10,0))</f>
        <v>1319</v>
      </c>
      <c r="G199" s="22">
        <f>IF(Notes!$B$2="June",ROUND('Budget by Source'!G199/10,0)+T199,ROUND('Budget by Source'!G199/10,0))</f>
        <v>7830</v>
      </c>
      <c r="H199" s="22">
        <f t="shared" ref="H199:H262" si="9">I199-SUM(C199:G199)</f>
        <v>130151</v>
      </c>
      <c r="I199" s="22">
        <f>INDEX(Data[],MATCH($A199,Data[Dist],0),MATCH(I$5,Data[#Headers],0))</f>
        <v>157773</v>
      </c>
      <c r="K199" s="69">
        <f>INDEX('Payment Total'!$A$7:$H$333,MATCH('Payment by Source'!$A199,'Payment Total'!$A$7:$A$333,0),5)-I199</f>
        <v>0</v>
      </c>
      <c r="P199" s="157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-1</v>
      </c>
      <c r="Q199" s="157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3</v>
      </c>
      <c r="R199" s="157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-1</v>
      </c>
      <c r="S199" s="157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7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2</v>
      </c>
      <c r="U199" s="158">
        <f>INDEX('Budget by Source'!$A$6:$I$332,MATCH('Payment by Source'!$A199,'Budget by Source'!$A$6:$A$332,0),MATCH(U$3,'Budget by Source'!$A$5:$I$5,0))</f>
        <v>1305032</v>
      </c>
      <c r="V199" s="155">
        <f t="shared" ref="V199:V262" si="10">ROUND(U199/10,0)</f>
        <v>130503</v>
      </c>
      <c r="W199" s="155">
        <f t="shared" ref="W199:W262" si="11">V199*10</f>
        <v>1305030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2878</v>
      </c>
      <c r="D200" s="22">
        <f>IF(Notes!$B$2="June",ROUND('Budget by Source'!D200/10,0)+Q200,ROUND('Budget by Source'!D200/10,0))</f>
        <v>13019</v>
      </c>
      <c r="E200" s="22">
        <f>IF(Notes!$B$2="June",ROUND('Budget by Source'!E200/10,0)+R200,ROUND('Budget by Source'!E200/10,0))</f>
        <v>1885</v>
      </c>
      <c r="F200" s="22">
        <f>IF(Notes!$B$2="June",ROUND('Budget by Source'!F200/10,0)+S200,ROUND('Budget by Source'!F200/10,0))</f>
        <v>1426</v>
      </c>
      <c r="G200" s="22">
        <f>IF(Notes!$B$2="June",ROUND('Budget by Source'!G200/10,0)+T200,ROUND('Budget by Source'!G200/10,0))</f>
        <v>7125</v>
      </c>
      <c r="H200" s="22">
        <f t="shared" si="9"/>
        <v>101252</v>
      </c>
      <c r="I200" s="22">
        <f>INDEX(Data[],MATCH($A200,Data[Dist],0),MATCH(I$5,Data[#Headers],0))</f>
        <v>127585</v>
      </c>
      <c r="K200" s="69">
        <f>INDEX('Payment Total'!$A$7:$H$333,MATCH('Payment by Source'!$A200,'Payment Total'!$A$7:$A$333,0),5)-I200</f>
        <v>0</v>
      </c>
      <c r="P200" s="157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-5</v>
      </c>
      <c r="Q200" s="157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-4</v>
      </c>
      <c r="R200" s="157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2</v>
      </c>
      <c r="S200" s="157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2</v>
      </c>
      <c r="T200" s="157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-4</v>
      </c>
      <c r="U200" s="158">
        <f>INDEX('Budget by Source'!$A$6:$I$332,MATCH('Payment by Source'!$A200,'Budget by Source'!$A$6:$A$332,0),MATCH(U$3,'Budget by Source'!$A$5:$I$5,0))</f>
        <v>1015538</v>
      </c>
      <c r="V200" s="155">
        <f t="shared" si="10"/>
        <v>101554</v>
      </c>
      <c r="W200" s="155">
        <f t="shared" si="11"/>
        <v>1015540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6115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86671</v>
      </c>
      <c r="I201" s="22">
        <f>INDEX(Data[],MATCH($A201,Data[Dist],0),MATCH(I$5,Data[#Headers],0))</f>
        <v>117301</v>
      </c>
      <c r="K201" s="69">
        <f>INDEX('Payment Total'!$A$7:$H$333,MATCH('Payment by Source'!$A201,'Payment Total'!$A$7:$A$333,0),5)-I201</f>
        <v>0</v>
      </c>
      <c r="P201" s="157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-2</v>
      </c>
      <c r="Q201" s="157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7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7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7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8">
        <f>INDEX('Budget by Source'!$A$6:$I$332,MATCH('Payment by Source'!$A201,'Budget by Source'!$A$6:$A$332,0),MATCH(U$3,'Budget by Source'!$A$5:$I$5,0))</f>
        <v>970824</v>
      </c>
      <c r="V201" s="155">
        <f t="shared" si="10"/>
        <v>97082</v>
      </c>
      <c r="W201" s="155">
        <f t="shared" si="11"/>
        <v>970820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15826</v>
      </c>
      <c r="D202" s="22">
        <f>IF(Notes!$B$2="June",ROUND('Budget by Source'!D202/10,0)+Q202,ROUND('Budget by Source'!D202/10,0))</f>
        <v>41568</v>
      </c>
      <c r="E202" s="22">
        <f>IF(Notes!$B$2="June",ROUND('Budget by Source'!E202/10,0)+R202,ROUND('Budget by Source'!E202/10,0))</f>
        <v>4821</v>
      </c>
      <c r="F202" s="22">
        <f>IF(Notes!$B$2="June",ROUND('Budget by Source'!F202/10,0)+S202,ROUND('Budget by Source'!F202/10,0))</f>
        <v>5152</v>
      </c>
      <c r="G202" s="22">
        <f>IF(Notes!$B$2="June",ROUND('Budget by Source'!G202/10,0)+T202,ROUND('Budget by Source'!G202/10,0))</f>
        <v>20692</v>
      </c>
      <c r="H202" s="22">
        <f t="shared" si="9"/>
        <v>242581</v>
      </c>
      <c r="I202" s="22">
        <f>INDEX(Data[],MATCH($A202,Data[Dist],0),MATCH(I$5,Data[#Headers],0))</f>
        <v>330640</v>
      </c>
      <c r="K202" s="69">
        <f>INDEX('Payment Total'!$A$7:$H$333,MATCH('Payment by Source'!$A202,'Payment Total'!$A$7:$A$333,0),5)-I202</f>
        <v>0</v>
      </c>
      <c r="P202" s="157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4</v>
      </c>
      <c r="Q202" s="157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0</v>
      </c>
      <c r="R202" s="157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-2</v>
      </c>
      <c r="S202" s="157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-4</v>
      </c>
      <c r="T202" s="157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0</v>
      </c>
      <c r="U202" s="158">
        <f>INDEX('Budget by Source'!$A$6:$I$332,MATCH('Payment by Source'!$A202,'Budget by Source'!$A$6:$A$332,0),MATCH(U$3,'Budget by Source'!$A$5:$I$5,0))</f>
        <v>2434936</v>
      </c>
      <c r="V202" s="155">
        <f t="shared" si="10"/>
        <v>243494</v>
      </c>
      <c r="W202" s="155">
        <f t="shared" si="11"/>
        <v>2434940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26977</v>
      </c>
      <c r="D203" s="22">
        <f>IF(Notes!$B$2="June",ROUND('Budget by Source'!D203/10,0)+Q203,ROUND('Budget by Source'!D203/10,0))</f>
        <v>113463</v>
      </c>
      <c r="E203" s="22">
        <f>IF(Notes!$B$2="June",ROUND('Budget by Source'!E203/10,0)+R203,ROUND('Budget by Source'!E203/10,0))</f>
        <v>15063</v>
      </c>
      <c r="F203" s="22">
        <f>IF(Notes!$B$2="June",ROUND('Budget by Source'!F203/10,0)+S203,ROUND('Budget by Source'!F203/10,0))</f>
        <v>13508</v>
      </c>
      <c r="G203" s="22">
        <f>IF(Notes!$B$2="June",ROUND('Budget by Source'!G203/10,0)+T203,ROUND('Budget by Source'!G203/10,0))</f>
        <v>64871</v>
      </c>
      <c r="H203" s="22">
        <f t="shared" si="9"/>
        <v>1016610</v>
      </c>
      <c r="I203" s="22">
        <f>INDEX(Data[],MATCH($A203,Data[Dist],0),MATCH(I$5,Data[#Headers],0))</f>
        <v>1250492</v>
      </c>
      <c r="K203" s="69">
        <f>INDEX('Payment Total'!$A$7:$H$333,MATCH('Payment by Source'!$A203,'Payment Total'!$A$7:$A$333,0),5)-I203</f>
        <v>0</v>
      </c>
      <c r="P203" s="157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-1</v>
      </c>
      <c r="Q203" s="157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-2</v>
      </c>
      <c r="R203" s="157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-4</v>
      </c>
      <c r="S203" s="157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0</v>
      </c>
      <c r="T203" s="157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2</v>
      </c>
      <c r="U203" s="158">
        <f>INDEX('Budget by Source'!$A$6:$I$332,MATCH('Payment by Source'!$A203,'Budget by Source'!$A$6:$A$332,0),MATCH(U$3,'Budget by Source'!$A$5:$I$5,0))</f>
        <v>10195534</v>
      </c>
      <c r="V203" s="155">
        <f t="shared" si="10"/>
        <v>1019553</v>
      </c>
      <c r="W203" s="155">
        <f t="shared" si="11"/>
        <v>10195530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16906</v>
      </c>
      <c r="D204" s="22">
        <f>IF(Notes!$B$2="June",ROUND('Budget by Source'!D204/10,0)+Q204,ROUND('Budget by Source'!D204/10,0))</f>
        <v>70260</v>
      </c>
      <c r="E204" s="22">
        <f>IF(Notes!$B$2="June",ROUND('Budget by Source'!E204/10,0)+R204,ROUND('Budget by Source'!E204/10,0))</f>
        <v>8626</v>
      </c>
      <c r="F204" s="22">
        <f>IF(Notes!$B$2="June",ROUND('Budget by Source'!F204/10,0)+S204,ROUND('Budget by Source'!F204/10,0))</f>
        <v>7937</v>
      </c>
      <c r="G204" s="22">
        <f>IF(Notes!$B$2="June",ROUND('Budget by Source'!G204/10,0)+T204,ROUND('Budget by Source'!G204/10,0))</f>
        <v>39180</v>
      </c>
      <c r="H204" s="22">
        <f t="shared" si="9"/>
        <v>587397</v>
      </c>
      <c r="I204" s="22">
        <f>INDEX(Data[],MATCH($A204,Data[Dist],0),MATCH(I$5,Data[#Headers],0))</f>
        <v>730306</v>
      </c>
      <c r="K204" s="69">
        <f>INDEX('Payment Total'!$A$7:$H$333,MATCH('Payment by Source'!$A204,'Payment Total'!$A$7:$A$333,0),5)-I204</f>
        <v>0</v>
      </c>
      <c r="P204" s="157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7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0</v>
      </c>
      <c r="R204" s="157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-4</v>
      </c>
      <c r="S204" s="157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-5</v>
      </c>
      <c r="T204" s="157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-4</v>
      </c>
      <c r="U204" s="158">
        <f>INDEX('Budget by Source'!$A$6:$I$332,MATCH('Payment by Source'!$A204,'Budget by Source'!$A$6:$A$332,0),MATCH(U$3,'Budget by Source'!$A$5:$I$5,0))</f>
        <v>5891759</v>
      </c>
      <c r="V204" s="155">
        <f t="shared" si="10"/>
        <v>589176</v>
      </c>
      <c r="W204" s="155">
        <f t="shared" si="11"/>
        <v>5891760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4316</v>
      </c>
      <c r="D205" s="22">
        <f>IF(Notes!$B$2="June",ROUND('Budget by Source'!D205/10,0)+Q205,ROUND('Budget by Source'!D205/10,0))</f>
        <v>16386</v>
      </c>
      <c r="E205" s="22">
        <f>IF(Notes!$B$2="June",ROUND('Budget by Source'!E205/10,0)+R205,ROUND('Budget by Source'!E205/10,0))</f>
        <v>2003</v>
      </c>
      <c r="F205" s="22">
        <f>IF(Notes!$B$2="June",ROUND('Budget by Source'!F205/10,0)+S205,ROUND('Budget by Source'!F205/10,0))</f>
        <v>1643</v>
      </c>
      <c r="G205" s="22">
        <f>IF(Notes!$B$2="June",ROUND('Budget by Source'!G205/10,0)+T205,ROUND('Budget by Source'!G205/10,0))</f>
        <v>7858</v>
      </c>
      <c r="H205" s="22">
        <f t="shared" si="9"/>
        <v>115965</v>
      </c>
      <c r="I205" s="22">
        <f>INDEX(Data[],MATCH($A205,Data[Dist],0),MATCH(I$5,Data[#Headers],0))</f>
        <v>148171</v>
      </c>
      <c r="K205" s="69">
        <f>INDEX('Payment Total'!$A$7:$H$333,MATCH('Payment by Source'!$A205,'Payment Total'!$A$7:$A$333,0),5)-I205</f>
        <v>0</v>
      </c>
      <c r="P205" s="157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3</v>
      </c>
      <c r="Q205" s="157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2</v>
      </c>
      <c r="R205" s="157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-2</v>
      </c>
      <c r="S205" s="157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-2</v>
      </c>
      <c r="T205" s="157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-5</v>
      </c>
      <c r="U205" s="158">
        <f>INDEX('Budget by Source'!$A$6:$I$332,MATCH('Payment by Source'!$A205,'Budget by Source'!$A$6:$A$332,0),MATCH(U$3,'Budget by Source'!$A$5:$I$5,0))</f>
        <v>1247846</v>
      </c>
      <c r="V205" s="155">
        <f t="shared" si="10"/>
        <v>124785</v>
      </c>
      <c r="W205" s="155">
        <f t="shared" si="11"/>
        <v>1247850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93146</v>
      </c>
      <c r="D206" s="22">
        <f>IF(Notes!$B$2="June",ROUND('Budget by Source'!D206/10,0)+Q206,ROUND('Budget by Source'!D206/10,0))</f>
        <v>285426</v>
      </c>
      <c r="E206" s="22">
        <f>IF(Notes!$B$2="June",ROUND('Budget by Source'!E206/10,0)+R206,ROUND('Budget by Source'!E206/10,0))</f>
        <v>38129</v>
      </c>
      <c r="F206" s="22">
        <f>IF(Notes!$B$2="June",ROUND('Budget by Source'!F206/10,0)+S206,ROUND('Budget by Source'!F206/10,0))</f>
        <v>31243</v>
      </c>
      <c r="G206" s="22">
        <f>IF(Notes!$B$2="June",ROUND('Budget by Source'!G206/10,0)+T206,ROUND('Budget by Source'!G206/10,0))</f>
        <v>164030</v>
      </c>
      <c r="H206" s="22">
        <f t="shared" si="9"/>
        <v>2693389</v>
      </c>
      <c r="I206" s="22">
        <f>INDEX(Data[],MATCH($A206,Data[Dist],0),MATCH(I$5,Data[#Headers],0))</f>
        <v>3305363</v>
      </c>
      <c r="K206" s="69">
        <f>INDEX('Payment Total'!$A$7:$H$333,MATCH('Payment by Source'!$A206,'Payment Total'!$A$7:$A$333,0),5)-I206</f>
        <v>0</v>
      </c>
      <c r="P206" s="157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-4</v>
      </c>
      <c r="Q206" s="157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4</v>
      </c>
      <c r="R206" s="157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7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0</v>
      </c>
      <c r="T206" s="157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-5</v>
      </c>
      <c r="U206" s="158">
        <f>INDEX('Budget by Source'!$A$6:$I$332,MATCH('Payment by Source'!$A206,'Budget by Source'!$A$6:$A$332,0),MATCH(U$3,'Budget by Source'!$A$5:$I$5,0))</f>
        <v>27008170</v>
      </c>
      <c r="V206" s="155">
        <f t="shared" si="10"/>
        <v>2700817</v>
      </c>
      <c r="W206" s="155">
        <f t="shared" si="11"/>
        <v>27008170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13668</v>
      </c>
      <c r="D207" s="22">
        <f>IF(Notes!$B$2="June",ROUND('Budget by Source'!D207/10,0)+Q207,ROUND('Budget by Source'!D207/10,0))</f>
        <v>36168</v>
      </c>
      <c r="E207" s="22">
        <f>IF(Notes!$B$2="June",ROUND('Budget by Source'!E207/10,0)+R207,ROUND('Budget by Source'!E207/10,0))</f>
        <v>3665</v>
      </c>
      <c r="F207" s="22">
        <f>IF(Notes!$B$2="June",ROUND('Budget by Source'!F207/10,0)+S207,ROUND('Budget by Source'!F207/10,0))</f>
        <v>4107</v>
      </c>
      <c r="G207" s="22">
        <f>IF(Notes!$B$2="June",ROUND('Budget by Source'!G207/10,0)+T207,ROUND('Budget by Source'!G207/10,0))</f>
        <v>20791</v>
      </c>
      <c r="H207" s="22">
        <f t="shared" si="9"/>
        <v>297029</v>
      </c>
      <c r="I207" s="22">
        <f>INDEX(Data[],MATCH($A207,Data[Dist],0),MATCH(I$5,Data[#Headers],0))</f>
        <v>375428</v>
      </c>
      <c r="K207" s="69">
        <f>INDEX('Payment Total'!$A$7:$H$333,MATCH('Payment by Source'!$A207,'Payment Total'!$A$7:$A$333,0),5)-I207</f>
        <v>0</v>
      </c>
      <c r="P207" s="157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3</v>
      </c>
      <c r="Q207" s="157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-2</v>
      </c>
      <c r="R207" s="157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-3</v>
      </c>
      <c r="S207" s="157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3</v>
      </c>
      <c r="T207" s="157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-4</v>
      </c>
      <c r="U207" s="158">
        <f>INDEX('Budget by Source'!$A$6:$I$332,MATCH('Payment by Source'!$A207,'Budget by Source'!$A$6:$A$332,0),MATCH(U$3,'Budget by Source'!$A$5:$I$5,0))</f>
        <v>2979728</v>
      </c>
      <c r="V207" s="155">
        <f t="shared" si="10"/>
        <v>297973</v>
      </c>
      <c r="W207" s="155">
        <f t="shared" si="11"/>
        <v>2979730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24819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779970</v>
      </c>
      <c r="I208" s="22">
        <f>INDEX(Data[],MATCH($A208,Data[Dist],0),MATCH(I$5,Data[#Headers],0))</f>
        <v>970122</v>
      </c>
      <c r="K208" s="69">
        <f>INDEX('Payment Total'!$A$7:$H$333,MATCH('Payment by Source'!$A208,'Payment Total'!$A$7:$A$333,0),5)-I208</f>
        <v>0</v>
      </c>
      <c r="P208" s="157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-2</v>
      </c>
      <c r="Q208" s="157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7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7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7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8">
        <f>INDEX('Budget by Source'!$A$6:$I$332,MATCH('Payment by Source'!$A208,'Budget by Source'!$A$6:$A$332,0),MATCH(U$3,'Budget by Source'!$A$5:$I$5,0))</f>
        <v>7823003</v>
      </c>
      <c r="V208" s="155">
        <f t="shared" si="10"/>
        <v>782300</v>
      </c>
      <c r="W208" s="155">
        <f t="shared" si="11"/>
        <v>7823000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13668</v>
      </c>
      <c r="D209" s="22">
        <f>IF(Notes!$B$2="June",ROUND('Budget by Source'!D209/10,0)+Q209,ROUND('Budget by Source'!D209/10,0))</f>
        <v>29574</v>
      </c>
      <c r="E209" s="22">
        <f>IF(Notes!$B$2="June",ROUND('Budget by Source'!E209/10,0)+R209,ROUND('Budget by Source'!E209/10,0))</f>
        <v>3793</v>
      </c>
      <c r="F209" s="22">
        <f>IF(Notes!$B$2="June",ROUND('Budget by Source'!F209/10,0)+S209,ROUND('Budget by Source'!F209/10,0))</f>
        <v>3172</v>
      </c>
      <c r="G209" s="22">
        <f>IF(Notes!$B$2="June",ROUND('Budget by Source'!G209/10,0)+T209,ROUND('Budget by Source'!G209/10,0))</f>
        <v>16378</v>
      </c>
      <c r="H209" s="22">
        <f t="shared" si="9"/>
        <v>170370</v>
      </c>
      <c r="I209" s="22">
        <f>INDEX(Data[],MATCH($A209,Data[Dist],0),MATCH(I$5,Data[#Headers],0))</f>
        <v>236955</v>
      </c>
      <c r="K209" s="69">
        <f>INDEX('Payment Total'!$A$7:$H$333,MATCH('Payment by Source'!$A209,'Payment Total'!$A$7:$A$333,0),5)-I209</f>
        <v>0</v>
      </c>
      <c r="P209" s="157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3</v>
      </c>
      <c r="Q209" s="157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1</v>
      </c>
      <c r="R209" s="157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-5</v>
      </c>
      <c r="S209" s="157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-2</v>
      </c>
      <c r="T209" s="157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8">
        <f>INDEX('Budget by Source'!$A$6:$I$332,MATCH('Payment by Source'!$A209,'Budget by Source'!$A$6:$A$332,0),MATCH(U$3,'Budget by Source'!$A$5:$I$5,0))</f>
        <v>1711132</v>
      </c>
      <c r="V209" s="155">
        <f t="shared" si="10"/>
        <v>171113</v>
      </c>
      <c r="W209" s="155">
        <f t="shared" si="11"/>
        <v>1711130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16906</v>
      </c>
      <c r="D210" s="22">
        <f>IF(Notes!$B$2="June",ROUND('Budget by Source'!D210/10,0)+Q210,ROUND('Budget by Source'!D210/10,0))</f>
        <v>58019</v>
      </c>
      <c r="E210" s="22">
        <f>IF(Notes!$B$2="June",ROUND('Budget by Source'!E210/10,0)+R210,ROUND('Budget by Source'!E210/10,0))</f>
        <v>5386</v>
      </c>
      <c r="F210" s="22">
        <f>IF(Notes!$B$2="June",ROUND('Budget by Source'!F210/10,0)+S210,ROUND('Budget by Source'!F210/10,0))</f>
        <v>6442</v>
      </c>
      <c r="G210" s="22">
        <f>IF(Notes!$B$2="June",ROUND('Budget by Source'!G210/10,0)+T210,ROUND('Budget by Source'!G210/10,0))</f>
        <v>32397</v>
      </c>
      <c r="H210" s="22">
        <f t="shared" si="9"/>
        <v>380020</v>
      </c>
      <c r="I210" s="22">
        <f>INDEX(Data[],MATCH($A210,Data[Dist],0),MATCH(I$5,Data[#Headers],0))</f>
        <v>499170</v>
      </c>
      <c r="K210" s="69">
        <f>INDEX('Payment Total'!$A$7:$H$333,MATCH('Payment by Source'!$A210,'Payment Total'!$A$7:$A$333,0),5)-I210</f>
        <v>0</v>
      </c>
      <c r="P210" s="157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-4</v>
      </c>
      <c r="Q210" s="157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2</v>
      </c>
      <c r="R210" s="157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-2</v>
      </c>
      <c r="S210" s="157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-1</v>
      </c>
      <c r="T210" s="157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2</v>
      </c>
      <c r="U210" s="158">
        <f>INDEX('Budget by Source'!$A$6:$I$332,MATCH('Payment by Source'!$A210,'Budget by Source'!$A$6:$A$332,0),MATCH(U$3,'Budget by Source'!$A$5:$I$5,0))</f>
        <v>3814906</v>
      </c>
      <c r="V210" s="155">
        <f t="shared" si="10"/>
        <v>381491</v>
      </c>
      <c r="W210" s="155">
        <f t="shared" si="11"/>
        <v>3814910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7194</v>
      </c>
      <c r="D211" s="22">
        <f>IF(Notes!$B$2="June",ROUND('Budget by Source'!D211/10,0)+Q211,ROUND('Budget by Source'!D211/10,0))</f>
        <v>32195</v>
      </c>
      <c r="E211" s="22">
        <f>IF(Notes!$B$2="June",ROUND('Budget by Source'!E211/10,0)+R211,ROUND('Budget by Source'!E211/10,0))</f>
        <v>3845</v>
      </c>
      <c r="F211" s="22">
        <f>IF(Notes!$B$2="June",ROUND('Budget by Source'!F211/10,0)+S211,ROUND('Budget by Source'!F211/10,0))</f>
        <v>3405</v>
      </c>
      <c r="G211" s="22">
        <f>IF(Notes!$B$2="June",ROUND('Budget by Source'!G211/10,0)+T211,ROUND('Budget by Source'!G211/10,0))</f>
        <v>17527</v>
      </c>
      <c r="H211" s="22">
        <f t="shared" si="9"/>
        <v>294790</v>
      </c>
      <c r="I211" s="22">
        <f>INDEX(Data[],MATCH($A211,Data[Dist],0),MATCH(I$5,Data[#Headers],0))</f>
        <v>358956</v>
      </c>
      <c r="K211" s="69">
        <f>INDEX('Payment Total'!$A$7:$H$333,MATCH('Payment by Source'!$A211,'Payment Total'!$A$7:$A$333,0),5)-I211</f>
        <v>0</v>
      </c>
      <c r="P211" s="157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-2</v>
      </c>
      <c r="Q211" s="157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2</v>
      </c>
      <c r="R211" s="157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1</v>
      </c>
      <c r="S211" s="157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2</v>
      </c>
      <c r="T211" s="157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-2</v>
      </c>
      <c r="U211" s="158">
        <f>INDEX('Budget by Source'!$A$6:$I$332,MATCH('Payment by Source'!$A211,'Budget by Source'!$A$6:$A$332,0),MATCH(U$3,'Budget by Source'!$A$5:$I$5,0))</f>
        <v>2955849</v>
      </c>
      <c r="V211" s="155">
        <f t="shared" si="10"/>
        <v>295585</v>
      </c>
      <c r="W211" s="155">
        <f t="shared" si="11"/>
        <v>2955850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25898</v>
      </c>
      <c r="D212" s="22">
        <f>IF(Notes!$B$2="June",ROUND('Budget by Source'!D212/10,0)+Q212,ROUND('Budget by Source'!D212/10,0))</f>
        <v>179619</v>
      </c>
      <c r="E212" s="22">
        <f>IF(Notes!$B$2="June",ROUND('Budget by Source'!E212/10,0)+R212,ROUND('Budget by Source'!E212/10,0))</f>
        <v>23312</v>
      </c>
      <c r="F212" s="22">
        <f>IF(Notes!$B$2="June",ROUND('Budget by Source'!F212/10,0)+S212,ROUND('Budget by Source'!F212/10,0))</f>
        <v>20007</v>
      </c>
      <c r="G212" s="22">
        <f>IF(Notes!$B$2="June",ROUND('Budget by Source'!G212/10,0)+T212,ROUND('Budget by Source'!G212/10,0))</f>
        <v>102902</v>
      </c>
      <c r="H212" s="22">
        <f t="shared" si="9"/>
        <v>1766350</v>
      </c>
      <c r="I212" s="22">
        <f>INDEX(Data[],MATCH($A212,Data[Dist],0),MATCH(I$5,Data[#Headers],0))</f>
        <v>2118088</v>
      </c>
      <c r="K212" s="69">
        <f>INDEX('Payment Total'!$A$7:$H$333,MATCH('Payment by Source'!$A212,'Payment Total'!$A$7:$A$333,0),5)-I212</f>
        <v>0</v>
      </c>
      <c r="P212" s="157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-2</v>
      </c>
      <c r="Q212" s="157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-5</v>
      </c>
      <c r="R212" s="157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0</v>
      </c>
      <c r="S212" s="157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4</v>
      </c>
      <c r="T212" s="157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3</v>
      </c>
      <c r="U212" s="158">
        <f>INDEX('Budget by Source'!$A$6:$I$332,MATCH('Payment by Source'!$A212,'Budget by Source'!$A$6:$A$332,0),MATCH(U$3,'Budget by Source'!$A$5:$I$5,0))</f>
        <v>17710183</v>
      </c>
      <c r="V212" s="155">
        <f t="shared" si="10"/>
        <v>1771018</v>
      </c>
      <c r="W212" s="155">
        <f t="shared" si="11"/>
        <v>17710180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19423</v>
      </c>
      <c r="D213" s="22">
        <f>IF(Notes!$B$2="June",ROUND('Budget by Source'!D213/10,0)+Q213,ROUND('Budget by Source'!D213/10,0))</f>
        <v>50342</v>
      </c>
      <c r="E213" s="22">
        <f>IF(Notes!$B$2="June",ROUND('Budget by Source'!E213/10,0)+R213,ROUND('Budget by Source'!E213/10,0))</f>
        <v>5215</v>
      </c>
      <c r="F213" s="22">
        <f>IF(Notes!$B$2="June",ROUND('Budget by Source'!F213/10,0)+S213,ROUND('Budget by Source'!F213/10,0))</f>
        <v>5652</v>
      </c>
      <c r="G213" s="22">
        <f>IF(Notes!$B$2="June",ROUND('Budget by Source'!G213/10,0)+T213,ROUND('Budget by Source'!G213/10,0))</f>
        <v>26971</v>
      </c>
      <c r="H213" s="22">
        <f t="shared" si="9"/>
        <v>352334</v>
      </c>
      <c r="I213" s="22">
        <f>INDEX(Data[],MATCH($A213,Data[Dist],0),MATCH(I$5,Data[#Headers],0))</f>
        <v>459937</v>
      </c>
      <c r="K213" s="69">
        <f>INDEX('Payment Total'!$A$7:$H$333,MATCH('Payment by Source'!$A213,'Payment Total'!$A$7:$A$333,0),5)-I213</f>
        <v>0</v>
      </c>
      <c r="P213" s="157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3</v>
      </c>
      <c r="Q213" s="157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-3</v>
      </c>
      <c r="R213" s="157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7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3</v>
      </c>
      <c r="T213" s="157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2</v>
      </c>
      <c r="U213" s="158">
        <f>INDEX('Budget by Source'!$A$6:$I$332,MATCH('Payment by Source'!$A213,'Budget by Source'!$A$6:$A$332,0),MATCH(U$3,'Budget by Source'!$A$5:$I$5,0))</f>
        <v>3535546</v>
      </c>
      <c r="V213" s="155">
        <f t="shared" si="10"/>
        <v>353555</v>
      </c>
      <c r="W213" s="155">
        <f t="shared" si="11"/>
        <v>3535550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16546</v>
      </c>
      <c r="D214" s="22">
        <f>IF(Notes!$B$2="June",ROUND('Budget by Source'!D214/10,0)+Q214,ROUND('Budget by Source'!D214/10,0))</f>
        <v>35010</v>
      </c>
      <c r="E214" s="22">
        <f>IF(Notes!$B$2="June",ROUND('Budget by Source'!E214/10,0)+R214,ROUND('Budget by Source'!E214/10,0))</f>
        <v>4236</v>
      </c>
      <c r="F214" s="22">
        <f>IF(Notes!$B$2="June",ROUND('Budget by Source'!F214/10,0)+S214,ROUND('Budget by Source'!F214/10,0))</f>
        <v>3948</v>
      </c>
      <c r="G214" s="22">
        <f>IF(Notes!$B$2="June",ROUND('Budget by Source'!G214/10,0)+T214,ROUND('Budget by Source'!G214/10,0))</f>
        <v>18274</v>
      </c>
      <c r="H214" s="22">
        <f t="shared" si="9"/>
        <v>247068</v>
      </c>
      <c r="I214" s="22">
        <f>INDEX(Data[],MATCH($A214,Data[Dist],0),MATCH(I$5,Data[#Headers],0))</f>
        <v>325082</v>
      </c>
      <c r="K214" s="69">
        <f>INDEX('Payment Total'!$A$7:$H$333,MATCH('Payment by Source'!$A214,'Payment Total'!$A$7:$A$333,0),5)-I214</f>
        <v>0</v>
      </c>
      <c r="P214" s="157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-2</v>
      </c>
      <c r="Q214" s="157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-4</v>
      </c>
      <c r="R214" s="157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2</v>
      </c>
      <c r="S214" s="157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2</v>
      </c>
      <c r="T214" s="157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-2</v>
      </c>
      <c r="U214" s="158">
        <f>INDEX('Budget by Source'!$A$6:$I$332,MATCH('Payment by Source'!$A214,'Budget by Source'!$A$6:$A$332,0),MATCH(U$3,'Budget by Source'!$A$5:$I$5,0))</f>
        <v>2478973</v>
      </c>
      <c r="V214" s="155">
        <f t="shared" si="10"/>
        <v>247897</v>
      </c>
      <c r="W214" s="155">
        <f t="shared" si="11"/>
        <v>2478970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19717</v>
      </c>
      <c r="D215" s="22">
        <f>IF(Notes!$B$2="June",ROUND('Budget by Source'!D215/10,0)+Q215,ROUND('Budget by Source'!D215/10,0))</f>
        <v>69267</v>
      </c>
      <c r="E215" s="22">
        <f>IF(Notes!$B$2="June",ROUND('Budget by Source'!E215/10,0)+R215,ROUND('Budget by Source'!E215/10,0))</f>
        <v>7614</v>
      </c>
      <c r="F215" s="22">
        <f>IF(Notes!$B$2="June",ROUND('Budget by Source'!F215/10,0)+S215,ROUND('Budget by Source'!F215/10,0))</f>
        <v>7589</v>
      </c>
      <c r="G215" s="22">
        <f>IF(Notes!$B$2="June",ROUND('Budget by Source'!G215/10,0)+T215,ROUND('Budget by Source'!G215/10,0))</f>
        <v>38342</v>
      </c>
      <c r="H215" s="22">
        <f t="shared" si="9"/>
        <v>606106</v>
      </c>
      <c r="I215" s="22">
        <f>INDEX(Data[],MATCH($A215,Data[Dist],0),MATCH(I$5,Data[#Headers],0))</f>
        <v>748635</v>
      </c>
      <c r="K215" s="69">
        <f>INDEX('Payment Total'!$A$7:$H$333,MATCH('Payment by Source'!$A215,'Payment Total'!$A$7:$A$333,0),5)-I215</f>
        <v>0</v>
      </c>
      <c r="P215" s="157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4</v>
      </c>
      <c r="Q215" s="157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3</v>
      </c>
      <c r="R215" s="157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1</v>
      </c>
      <c r="S215" s="157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-2</v>
      </c>
      <c r="T215" s="157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-2</v>
      </c>
      <c r="U215" s="158">
        <f>INDEX('Budget by Source'!$A$6:$I$332,MATCH('Payment by Source'!$A215,'Budget by Source'!$A$6:$A$332,0),MATCH(U$3,'Budget by Source'!$A$5:$I$5,0))</f>
        <v>6078444</v>
      </c>
      <c r="V215" s="155">
        <f t="shared" si="10"/>
        <v>607844</v>
      </c>
      <c r="W215" s="155">
        <f t="shared" si="11"/>
        <v>6078440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11151</v>
      </c>
      <c r="D216" s="22">
        <f>IF(Notes!$B$2="June",ROUND('Budget by Source'!D216/10,0)+Q216,ROUND('Budget by Source'!D216/10,0))</f>
        <v>31619</v>
      </c>
      <c r="E216" s="22">
        <f>IF(Notes!$B$2="June",ROUND('Budget by Source'!E216/10,0)+R216,ROUND('Budget by Source'!E216/10,0))</f>
        <v>3971</v>
      </c>
      <c r="F216" s="22">
        <f>IF(Notes!$B$2="June",ROUND('Budget by Source'!F216/10,0)+S216,ROUND('Budget by Source'!F216/10,0))</f>
        <v>3407</v>
      </c>
      <c r="G216" s="22">
        <f>IF(Notes!$B$2="June",ROUND('Budget by Source'!G216/10,0)+T216,ROUND('Budget by Source'!G216/10,0))</f>
        <v>16993</v>
      </c>
      <c r="H216" s="22">
        <f t="shared" si="9"/>
        <v>208454</v>
      </c>
      <c r="I216" s="22">
        <f>INDEX(Data[],MATCH($A216,Data[Dist],0),MATCH(I$5,Data[#Headers],0))</f>
        <v>275595</v>
      </c>
      <c r="K216" s="69">
        <f>INDEX('Payment Total'!$A$7:$H$333,MATCH('Payment by Source'!$A216,'Payment Total'!$A$7:$A$333,0),5)-I216</f>
        <v>0</v>
      </c>
      <c r="P216" s="157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-5</v>
      </c>
      <c r="Q216" s="157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-4</v>
      </c>
      <c r="R216" s="157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-2</v>
      </c>
      <c r="S216" s="157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1</v>
      </c>
      <c r="T216" s="157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-3</v>
      </c>
      <c r="U216" s="158">
        <f>INDEX('Budget by Source'!$A$6:$I$332,MATCH('Payment by Source'!$A216,'Budget by Source'!$A$6:$A$332,0),MATCH(U$3,'Budget by Source'!$A$5:$I$5,0))</f>
        <v>2092265</v>
      </c>
      <c r="V216" s="155">
        <f t="shared" si="10"/>
        <v>209227</v>
      </c>
      <c r="W216" s="155">
        <f t="shared" si="11"/>
        <v>2092270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11510</v>
      </c>
      <c r="D217" s="22">
        <f>IF(Notes!$B$2="June",ROUND('Budget by Source'!D217/10,0)+Q217,ROUND('Budget by Source'!D217/10,0))</f>
        <v>35816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20467</v>
      </c>
      <c r="H217" s="22">
        <f t="shared" si="9"/>
        <v>277222</v>
      </c>
      <c r="I217" s="22">
        <f>INDEX(Data[],MATCH($A217,Data[Dist],0),MATCH(I$5,Data[#Headers],0))</f>
        <v>352531</v>
      </c>
      <c r="K217" s="69">
        <f>INDEX('Payment Total'!$A$7:$H$333,MATCH('Payment by Source'!$A217,'Payment Total'!$A$7:$A$333,0),5)-I217</f>
        <v>0</v>
      </c>
      <c r="P217" s="157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1</v>
      </c>
      <c r="Q217" s="157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3</v>
      </c>
      <c r="R217" s="157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7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7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0</v>
      </c>
      <c r="U217" s="158">
        <f>INDEX('Budget by Source'!$A$6:$I$332,MATCH('Payment by Source'!$A217,'Budget by Source'!$A$6:$A$332,0),MATCH(U$3,'Budget by Source'!$A$5:$I$5,0))</f>
        <v>2781490</v>
      </c>
      <c r="V217" s="155">
        <f t="shared" si="10"/>
        <v>278149</v>
      </c>
      <c r="W217" s="155">
        <f t="shared" si="11"/>
        <v>2781490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7913</v>
      </c>
      <c r="D218" s="22">
        <f>IF(Notes!$B$2="June",ROUND('Budget by Source'!D218/10,0)+Q218,ROUND('Budget by Source'!D218/10,0))</f>
        <v>16968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58481</v>
      </c>
      <c r="I218" s="22">
        <f>INDEX(Data[],MATCH($A218,Data[Dist],0),MATCH(I$5,Data[#Headers],0))</f>
        <v>96258</v>
      </c>
      <c r="K218" s="69">
        <f>INDEX('Payment Total'!$A$7:$H$333,MATCH('Payment by Source'!$A218,'Payment Total'!$A$7:$A$333,0),5)-I218</f>
        <v>0</v>
      </c>
      <c r="P218" s="157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2</v>
      </c>
      <c r="Q218" s="157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-4</v>
      </c>
      <c r="R218" s="157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7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0</v>
      </c>
      <c r="T218" s="157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8">
        <f>INDEX('Budget by Source'!$A$6:$I$332,MATCH('Payment by Source'!$A218,'Budget by Source'!$A$6:$A$332,0),MATCH(U$3,'Budget by Source'!$A$5:$I$5,0))</f>
        <v>589018</v>
      </c>
      <c r="V218" s="155">
        <f t="shared" si="10"/>
        <v>58902</v>
      </c>
      <c r="W218" s="155">
        <f t="shared" si="11"/>
        <v>589020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32732</v>
      </c>
      <c r="D219" s="22">
        <f>IF(Notes!$B$2="June",ROUND('Budget by Source'!D219/10,0)+Q219,ROUND('Budget by Source'!D219/10,0))</f>
        <v>110016</v>
      </c>
      <c r="E219" s="22">
        <f>IF(Notes!$B$2="June",ROUND('Budget by Source'!E219/10,0)+R219,ROUND('Budget by Source'!E219/10,0))</f>
        <v>11429</v>
      </c>
      <c r="F219" s="22">
        <f>IF(Notes!$B$2="June",ROUND('Budget by Source'!F219/10,0)+S219,ROUND('Budget by Source'!F219/10,0))</f>
        <v>11509</v>
      </c>
      <c r="G219" s="22">
        <f>IF(Notes!$B$2="June",ROUND('Budget by Source'!G219/10,0)+T219,ROUND('Budget by Source'!G219/10,0))</f>
        <v>66215</v>
      </c>
      <c r="H219" s="22">
        <f t="shared" si="9"/>
        <v>1025355</v>
      </c>
      <c r="I219" s="22">
        <f>INDEX(Data[],MATCH($A219,Data[Dist],0),MATCH(I$5,Data[#Headers],0))</f>
        <v>1257256</v>
      </c>
      <c r="K219" s="69">
        <f>INDEX('Payment Total'!$A$7:$H$333,MATCH('Payment by Source'!$A219,'Payment Total'!$A$7:$A$333,0),5)-I219</f>
        <v>0</v>
      </c>
      <c r="P219" s="157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7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7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-2</v>
      </c>
      <c r="S219" s="157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-5</v>
      </c>
      <c r="T219" s="157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1</v>
      </c>
      <c r="U219" s="158">
        <f>INDEX('Budget by Source'!$A$6:$I$332,MATCH('Payment by Source'!$A219,'Budget by Source'!$A$6:$A$332,0),MATCH(U$3,'Budget by Source'!$A$5:$I$5,0))</f>
        <v>10283587</v>
      </c>
      <c r="V219" s="155">
        <f t="shared" si="10"/>
        <v>1028359</v>
      </c>
      <c r="W219" s="155">
        <f t="shared" si="11"/>
        <v>10283590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55018</v>
      </c>
      <c r="D220" s="22">
        <f>IF(Notes!$B$2="June",ROUND('Budget by Source'!D220/10,0)+Q220,ROUND('Budget by Source'!D220/10,0))</f>
        <v>187580</v>
      </c>
      <c r="E220" s="22">
        <f>IF(Notes!$B$2="June",ROUND('Budget by Source'!E220/10,0)+R220,ROUND('Budget by Source'!E220/10,0))</f>
        <v>20462</v>
      </c>
      <c r="F220" s="22">
        <f>IF(Notes!$B$2="June",ROUND('Budget by Source'!F220/10,0)+S220,ROUND('Budget by Source'!F220/10,0))</f>
        <v>21046</v>
      </c>
      <c r="G220" s="22">
        <f>IF(Notes!$B$2="June",ROUND('Budget by Source'!G220/10,0)+T220,ROUND('Budget by Source'!G220/10,0))</f>
        <v>107199</v>
      </c>
      <c r="H220" s="22">
        <f t="shared" si="9"/>
        <v>1466960</v>
      </c>
      <c r="I220" s="22">
        <f>INDEX(Data[],MATCH($A220,Data[Dist],0),MATCH(I$5,Data[#Headers],0))</f>
        <v>1858265</v>
      </c>
      <c r="K220" s="69">
        <f>INDEX('Payment Total'!$A$7:$H$333,MATCH('Payment by Source'!$A220,'Payment Total'!$A$7:$A$333,0),5)-I220</f>
        <v>0</v>
      </c>
      <c r="P220" s="157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3</v>
      </c>
      <c r="Q220" s="157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-2</v>
      </c>
      <c r="R220" s="157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7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-4</v>
      </c>
      <c r="T220" s="157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4</v>
      </c>
      <c r="U220" s="158">
        <f>INDEX('Budget by Source'!$A$6:$I$332,MATCH('Payment by Source'!$A220,'Budget by Source'!$A$6:$A$332,0),MATCH(U$3,'Budget by Source'!$A$5:$I$5,0))</f>
        <v>14718228</v>
      </c>
      <c r="V220" s="155">
        <f t="shared" si="10"/>
        <v>1471823</v>
      </c>
      <c r="W220" s="155">
        <f t="shared" si="11"/>
        <v>14718230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12230</v>
      </c>
      <c r="D221" s="22">
        <f>IF(Notes!$B$2="June",ROUND('Budget by Source'!D221/10,0)+Q221,ROUND('Budget by Source'!D221/10,0))</f>
        <v>29796</v>
      </c>
      <c r="E221" s="22">
        <f>IF(Notes!$B$2="June",ROUND('Budget by Source'!E221/10,0)+R221,ROUND('Budget by Source'!E221/10,0))</f>
        <v>3042</v>
      </c>
      <c r="F221" s="22">
        <f>IF(Notes!$B$2="June",ROUND('Budget by Source'!F221/10,0)+S221,ROUND('Budget by Source'!F221/10,0))</f>
        <v>3193</v>
      </c>
      <c r="G221" s="22">
        <f>IF(Notes!$B$2="June",ROUND('Budget by Source'!G221/10,0)+T221,ROUND('Budget by Source'!G221/10,0))</f>
        <v>15204</v>
      </c>
      <c r="H221" s="22">
        <f t="shared" si="9"/>
        <v>191060</v>
      </c>
      <c r="I221" s="22">
        <f>INDEX(Data[],MATCH($A221,Data[Dist],0),MATCH(I$5,Data[#Headers],0))</f>
        <v>254525</v>
      </c>
      <c r="K221" s="69">
        <f>INDEX('Payment Total'!$A$7:$H$333,MATCH('Payment by Source'!$A221,'Payment Total'!$A$7:$A$333,0),5)-I221</f>
        <v>0</v>
      </c>
      <c r="P221" s="157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-5</v>
      </c>
      <c r="Q221" s="157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-1</v>
      </c>
      <c r="R221" s="157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2</v>
      </c>
      <c r="S221" s="157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-1</v>
      </c>
      <c r="T221" s="157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-3</v>
      </c>
      <c r="U221" s="158">
        <f>INDEX('Budget by Source'!$A$6:$I$332,MATCH('Payment by Source'!$A221,'Budget by Source'!$A$6:$A$332,0),MATCH(U$3,'Budget by Source'!$A$5:$I$5,0))</f>
        <v>1917499</v>
      </c>
      <c r="V221" s="155">
        <f t="shared" si="10"/>
        <v>191750</v>
      </c>
      <c r="W221" s="155">
        <f t="shared" si="11"/>
        <v>1917500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14747</v>
      </c>
      <c r="D222" s="22">
        <f>IF(Notes!$B$2="June",ROUND('Budget by Source'!D222/10,0)+Q222,ROUND('Budget by Source'!D222/10,0))</f>
        <v>30982</v>
      </c>
      <c r="E222" s="22">
        <f>IF(Notes!$B$2="June",ROUND('Budget by Source'!E222/10,0)+R222,ROUND('Budget by Source'!E222/10,0))</f>
        <v>3109</v>
      </c>
      <c r="F222" s="22">
        <f>IF(Notes!$B$2="June",ROUND('Budget by Source'!F222/10,0)+S222,ROUND('Budget by Source'!F222/10,0))</f>
        <v>3547</v>
      </c>
      <c r="G222" s="22">
        <f>IF(Notes!$B$2="June",ROUND('Budget by Source'!G222/10,0)+T222,ROUND('Budget by Source'!G222/10,0))</f>
        <v>17586</v>
      </c>
      <c r="H222" s="22">
        <f t="shared" si="9"/>
        <v>215367</v>
      </c>
      <c r="I222" s="22">
        <f>INDEX(Data[],MATCH($A222,Data[Dist],0),MATCH(I$5,Data[#Headers],0))</f>
        <v>285338</v>
      </c>
      <c r="K222" s="69">
        <f>INDEX('Payment Total'!$A$7:$H$333,MATCH('Payment by Source'!$A222,'Payment Total'!$A$7:$A$333,0),5)-I222</f>
        <v>0</v>
      </c>
      <c r="P222" s="157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4</v>
      </c>
      <c r="Q222" s="157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2</v>
      </c>
      <c r="R222" s="157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-1</v>
      </c>
      <c r="S222" s="157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-2</v>
      </c>
      <c r="T222" s="157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1</v>
      </c>
      <c r="U222" s="158">
        <f>INDEX('Budget by Source'!$A$6:$I$332,MATCH('Payment by Source'!$A222,'Budget by Source'!$A$6:$A$332,0),MATCH(U$3,'Budget by Source'!$A$5:$I$5,0))</f>
        <v>2247167</v>
      </c>
      <c r="V222" s="155">
        <f t="shared" si="10"/>
        <v>224717</v>
      </c>
      <c r="W222" s="155">
        <f t="shared" si="11"/>
        <v>2247170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44602</v>
      </c>
      <c r="D223" s="22">
        <f>IF(Notes!$B$2="June",ROUND('Budget by Source'!D223/10,0)+Q223,ROUND('Budget by Source'!D223/10,0))</f>
        <v>199608</v>
      </c>
      <c r="E223" s="22">
        <f>IF(Notes!$B$2="June",ROUND('Budget by Source'!E223/10,0)+R223,ROUND('Budget by Source'!E223/10,0))</f>
        <v>21092</v>
      </c>
      <c r="F223" s="22">
        <f>IF(Notes!$B$2="June",ROUND('Budget by Source'!F223/10,0)+S223,ROUND('Budget by Source'!F223/10,0))</f>
        <v>21013</v>
      </c>
      <c r="G223" s="22">
        <f>IF(Notes!$B$2="June",ROUND('Budget by Source'!G223/10,0)+T223,ROUND('Budget by Source'!G223/10,0))</f>
        <v>111353</v>
      </c>
      <c r="H223" s="22">
        <f t="shared" si="9"/>
        <v>1960579</v>
      </c>
      <c r="I223" s="22">
        <f>INDEX(Data[],MATCH($A223,Data[Dist],0),MATCH(I$5,Data[#Headers],0))</f>
        <v>2358247</v>
      </c>
      <c r="K223" s="69">
        <f>INDEX('Payment Total'!$A$7:$H$333,MATCH('Payment by Source'!$A223,'Payment Total'!$A$7:$A$333,0),5)-I223</f>
        <v>0</v>
      </c>
      <c r="P223" s="157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7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-1</v>
      </c>
      <c r="R223" s="157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3</v>
      </c>
      <c r="S223" s="157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-5</v>
      </c>
      <c r="T223" s="157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3</v>
      </c>
      <c r="U223" s="158">
        <f>INDEX('Budget by Source'!$A$6:$I$332,MATCH('Payment by Source'!$A223,'Budget by Source'!$A$6:$A$332,0),MATCH(U$3,'Budget by Source'!$A$5:$I$5,0))</f>
        <v>19656308</v>
      </c>
      <c r="V223" s="155">
        <f t="shared" si="10"/>
        <v>1965631</v>
      </c>
      <c r="W223" s="155">
        <f t="shared" si="11"/>
        <v>19656310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13309</v>
      </c>
      <c r="D224" s="22">
        <f>IF(Notes!$B$2="June",ROUND('Budget by Source'!D224/10,0)+Q224,ROUND('Budget by Source'!D224/10,0))</f>
        <v>42844</v>
      </c>
      <c r="E224" s="22">
        <f>IF(Notes!$B$2="June",ROUND('Budget by Source'!E224/10,0)+R224,ROUND('Budget by Source'!E224/10,0))</f>
        <v>4399</v>
      </c>
      <c r="F224" s="22">
        <f>IF(Notes!$B$2="June",ROUND('Budget by Source'!F224/10,0)+S224,ROUND('Budget by Source'!F224/10,0))</f>
        <v>4648</v>
      </c>
      <c r="G224" s="22">
        <f>IF(Notes!$B$2="June",ROUND('Budget by Source'!G224/10,0)+T224,ROUND('Budget by Source'!G224/10,0))</f>
        <v>24033</v>
      </c>
      <c r="H224" s="22">
        <f t="shared" si="9"/>
        <v>299427</v>
      </c>
      <c r="I224" s="22">
        <f>INDEX(Data[],MATCH($A224,Data[Dist],0),MATCH(I$5,Data[#Headers],0))</f>
        <v>388660</v>
      </c>
      <c r="K224" s="69">
        <f>INDEX('Payment Total'!$A$7:$H$333,MATCH('Payment by Source'!$A224,'Payment Total'!$A$7:$A$333,0),5)-I224</f>
        <v>0</v>
      </c>
      <c r="P224" s="157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-4</v>
      </c>
      <c r="Q224" s="157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-4</v>
      </c>
      <c r="R224" s="157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2</v>
      </c>
      <c r="S224" s="157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1</v>
      </c>
      <c r="T224" s="157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-3</v>
      </c>
      <c r="U224" s="158">
        <f>INDEX('Budget by Source'!$A$6:$I$332,MATCH('Payment by Source'!$A224,'Budget by Source'!$A$6:$A$332,0),MATCH(U$3,'Budget by Source'!$A$5:$I$5,0))</f>
        <v>3005125</v>
      </c>
      <c r="V224" s="155">
        <f t="shared" si="10"/>
        <v>300513</v>
      </c>
      <c r="W224" s="155">
        <f t="shared" si="11"/>
        <v>3005130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14388</v>
      </c>
      <c r="D225" s="22">
        <f>IF(Notes!$B$2="June",ROUND('Budget by Source'!D225/10,0)+Q225,ROUND('Budget by Source'!D225/10,0))</f>
        <v>64253</v>
      </c>
      <c r="E225" s="22">
        <f>IF(Notes!$B$2="June",ROUND('Budget by Source'!E225/10,0)+R225,ROUND('Budget by Source'!E225/10,0))</f>
        <v>6906</v>
      </c>
      <c r="F225" s="22">
        <f>IF(Notes!$B$2="June",ROUND('Budget by Source'!F225/10,0)+S225,ROUND('Budget by Source'!F225/10,0))</f>
        <v>7437</v>
      </c>
      <c r="G225" s="22">
        <f>IF(Notes!$B$2="June",ROUND('Budget by Source'!G225/10,0)+T225,ROUND('Budget by Source'!G225/10,0))</f>
        <v>33912</v>
      </c>
      <c r="H225" s="22">
        <f t="shared" si="9"/>
        <v>425789</v>
      </c>
      <c r="I225" s="22">
        <f>INDEX(Data[],MATCH($A225,Data[Dist],0),MATCH(I$5,Data[#Headers],0))</f>
        <v>552685</v>
      </c>
      <c r="K225" s="69">
        <f>INDEX('Payment Total'!$A$7:$H$333,MATCH('Payment by Source'!$A225,'Payment Total'!$A$7:$A$333,0),5)-I225</f>
        <v>0</v>
      </c>
      <c r="P225" s="157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-3</v>
      </c>
      <c r="Q225" s="157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1</v>
      </c>
      <c r="R225" s="157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-1</v>
      </c>
      <c r="S225" s="157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1</v>
      </c>
      <c r="T225" s="157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-3</v>
      </c>
      <c r="U225" s="158">
        <f>INDEX('Budget by Source'!$A$6:$I$332,MATCH('Payment by Source'!$A225,'Budget by Source'!$A$6:$A$332,0),MATCH(U$3,'Budget by Source'!$A$5:$I$5,0))</f>
        <v>4273197</v>
      </c>
      <c r="V225" s="155">
        <f t="shared" si="10"/>
        <v>427320</v>
      </c>
      <c r="W225" s="155">
        <f t="shared" si="11"/>
        <v>4273200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10431</v>
      </c>
      <c r="D226" s="22">
        <f>IF(Notes!$B$2="June",ROUND('Budget by Source'!D226/10,0)+Q226,ROUND('Budget by Source'!D226/10,0))</f>
        <v>83377</v>
      </c>
      <c r="E226" s="22">
        <f>IF(Notes!$B$2="June",ROUND('Budget by Source'!E226/10,0)+R226,ROUND('Budget by Source'!E226/10,0))</f>
        <v>9764</v>
      </c>
      <c r="F226" s="22">
        <f>IF(Notes!$B$2="June",ROUND('Budget by Source'!F226/10,0)+S226,ROUND('Budget by Source'!F226/10,0))</f>
        <v>9567</v>
      </c>
      <c r="G226" s="22">
        <f>IF(Notes!$B$2="June",ROUND('Budget by Source'!G226/10,0)+T226,ROUND('Budget by Source'!G226/10,0))</f>
        <v>46304</v>
      </c>
      <c r="H226" s="22">
        <f t="shared" si="9"/>
        <v>837055</v>
      </c>
      <c r="I226" s="22">
        <f>INDEX(Data[],MATCH($A226,Data[Dist],0),MATCH(I$5,Data[#Headers],0))</f>
        <v>996498</v>
      </c>
      <c r="K226" s="69">
        <f>INDEX('Payment Total'!$A$7:$H$333,MATCH('Payment by Source'!$A226,'Payment Total'!$A$7:$A$333,0),5)-I226</f>
        <v>0</v>
      </c>
      <c r="P226" s="157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1</v>
      </c>
      <c r="Q226" s="157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2</v>
      </c>
      <c r="R226" s="157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4</v>
      </c>
      <c r="S226" s="157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-3</v>
      </c>
      <c r="T226" s="157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1</v>
      </c>
      <c r="U226" s="158">
        <f>INDEX('Budget by Source'!$A$6:$I$332,MATCH('Payment by Source'!$A226,'Budget by Source'!$A$6:$A$332,0),MATCH(U$3,'Budget by Source'!$A$5:$I$5,0))</f>
        <v>8391554</v>
      </c>
      <c r="V226" s="155">
        <f t="shared" si="10"/>
        <v>839155</v>
      </c>
      <c r="W226" s="155">
        <f t="shared" si="11"/>
        <v>8391550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12949</v>
      </c>
      <c r="D227" s="22">
        <f>IF(Notes!$B$2="June",ROUND('Budget by Source'!D227/10,0)+Q227,ROUND('Budget by Source'!D227/10,0))</f>
        <v>39376</v>
      </c>
      <c r="E227" s="22">
        <f>IF(Notes!$B$2="June",ROUND('Budget by Source'!E227/10,0)+R227,ROUND('Budget by Source'!E227/10,0))</f>
        <v>4239</v>
      </c>
      <c r="F227" s="22">
        <f>IF(Notes!$B$2="June",ROUND('Budget by Source'!F227/10,0)+S227,ROUND('Budget by Source'!F227/10,0))</f>
        <v>4286</v>
      </c>
      <c r="G227" s="22">
        <f>IF(Notes!$B$2="June",ROUND('Budget by Source'!G227/10,0)+T227,ROUND('Budget by Source'!G227/10,0))</f>
        <v>21350</v>
      </c>
      <c r="H227" s="22">
        <f t="shared" si="9"/>
        <v>252273</v>
      </c>
      <c r="I227" s="22">
        <f>INDEX(Data[],MATCH($A227,Data[Dist],0),MATCH(I$5,Data[#Headers],0))</f>
        <v>334473</v>
      </c>
      <c r="K227" s="69">
        <f>INDEX('Payment Total'!$A$7:$H$333,MATCH('Payment by Source'!$A227,'Payment Total'!$A$7:$A$333,0),5)-I227</f>
        <v>0</v>
      </c>
      <c r="P227" s="157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-1</v>
      </c>
      <c r="Q227" s="157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-5</v>
      </c>
      <c r="R227" s="157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4</v>
      </c>
      <c r="S227" s="157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4</v>
      </c>
      <c r="T227" s="157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-1</v>
      </c>
      <c r="U227" s="158">
        <f>INDEX('Budget by Source'!$A$6:$I$332,MATCH('Payment by Source'!$A227,'Budget by Source'!$A$6:$A$332,0),MATCH(U$3,'Budget by Source'!$A$5:$I$5,0))</f>
        <v>2532358</v>
      </c>
      <c r="V227" s="155">
        <f t="shared" si="10"/>
        <v>253236</v>
      </c>
      <c r="W227" s="155">
        <f t="shared" si="11"/>
        <v>2532360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26199</v>
      </c>
      <c r="D228" s="22">
        <f>IF(Notes!$B$2="June",ROUND('Budget by Source'!D228/10,0)+Q228,ROUND('Budget by Source'!D228/10,0))</f>
        <v>65192</v>
      </c>
      <c r="E228" s="22">
        <f>IF(Notes!$B$2="June",ROUND('Budget by Source'!E228/10,0)+R228,ROUND('Budget by Source'!E228/10,0))</f>
        <v>7267</v>
      </c>
      <c r="F228" s="22">
        <f>IF(Notes!$B$2="June",ROUND('Budget by Source'!F228/10,0)+S228,ROUND('Budget by Source'!F228/10,0))</f>
        <v>7420</v>
      </c>
      <c r="G228" s="22">
        <f>IF(Notes!$B$2="June",ROUND('Budget by Source'!G228/10,0)+T228,ROUND('Budget by Source'!G228/10,0))</f>
        <v>36059</v>
      </c>
      <c r="H228" s="22">
        <f t="shared" si="9"/>
        <v>-109324</v>
      </c>
      <c r="I228" s="22">
        <f>INDEX(Data[],MATCH($A228,Data[Dist],0),MATCH(I$5,Data[#Headers],0))</f>
        <v>32813</v>
      </c>
      <c r="K228" s="69">
        <f>INDEX('Payment Total'!$A$7:$H$333,MATCH('Payment by Source'!$A228,'Payment Total'!$A$7:$A$333,0),5)-I228</f>
        <v>0</v>
      </c>
      <c r="P228" s="157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2</v>
      </c>
      <c r="Q228" s="157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-4</v>
      </c>
      <c r="R228" s="157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7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0</v>
      </c>
      <c r="T228" s="157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-1</v>
      </c>
      <c r="U228" s="158">
        <f>INDEX('Budget by Source'!$A$6:$I$332,MATCH('Payment by Source'!$A228,'Budget by Source'!$A$6:$A$332,0),MATCH(U$3,'Budget by Source'!$A$5:$I$5,0))</f>
        <v>-1076880</v>
      </c>
      <c r="V228" s="155">
        <f t="shared" si="10"/>
        <v>-107688</v>
      </c>
      <c r="W228" s="155">
        <f t="shared" si="11"/>
        <v>-1076880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4676</v>
      </c>
      <c r="D229" s="22">
        <f>IF(Notes!$B$2="June",ROUND('Budget by Source'!D229/10,0)+Q229,ROUND('Budget by Source'!D229/10,0))</f>
        <v>16664</v>
      </c>
      <c r="E229" s="22">
        <f>IF(Notes!$B$2="June",ROUND('Budget by Source'!E229/10,0)+R229,ROUND('Budget by Source'!E229/10,0))</f>
        <v>1685</v>
      </c>
      <c r="F229" s="22">
        <f>IF(Notes!$B$2="June",ROUND('Budget by Source'!F229/10,0)+S229,ROUND('Budget by Source'!F229/10,0))</f>
        <v>1721</v>
      </c>
      <c r="G229" s="22">
        <f>IF(Notes!$B$2="June",ROUND('Budget by Source'!G229/10,0)+T229,ROUND('Budget by Source'!G229/10,0))</f>
        <v>7670</v>
      </c>
      <c r="H229" s="22">
        <f t="shared" si="9"/>
        <v>109279</v>
      </c>
      <c r="I229" s="22">
        <f>INDEX(Data[],MATCH($A229,Data[Dist],0),MATCH(I$5,Data[#Headers],0))</f>
        <v>141695</v>
      </c>
      <c r="K229" s="69">
        <f>INDEX('Payment Total'!$A$7:$H$333,MATCH('Payment by Source'!$A229,'Payment Total'!$A$7:$A$333,0),5)-I229</f>
        <v>0</v>
      </c>
      <c r="P229" s="157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7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0</v>
      </c>
      <c r="R229" s="157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-4</v>
      </c>
      <c r="S229" s="157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-4</v>
      </c>
      <c r="T229" s="157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0</v>
      </c>
      <c r="U229" s="158">
        <f>INDEX('Budget by Source'!$A$6:$I$332,MATCH('Payment by Source'!$A229,'Budget by Source'!$A$6:$A$332,0),MATCH(U$3,'Budget by Source'!$A$5:$I$5,0))</f>
        <v>1096248</v>
      </c>
      <c r="V229" s="155">
        <f t="shared" si="10"/>
        <v>109625</v>
      </c>
      <c r="W229" s="155">
        <f t="shared" si="11"/>
        <v>1096250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4683</v>
      </c>
      <c r="D230" s="22">
        <f>IF(Notes!$B$2="June",ROUND('Budget by Source'!D230/10,0)+Q230,ROUND('Budget by Source'!D230/10,0))</f>
        <v>13064</v>
      </c>
      <c r="E230" s="22">
        <f>IF(Notes!$B$2="June",ROUND('Budget by Source'!E230/10,0)+R230,ROUND('Budget by Source'!E230/10,0))</f>
        <v>1026</v>
      </c>
      <c r="F230" s="22">
        <f>IF(Notes!$B$2="June",ROUND('Budget by Source'!F230/10,0)+S230,ROUND('Budget by Source'!F230/10,0))</f>
        <v>1454</v>
      </c>
      <c r="G230" s="22">
        <f>IF(Notes!$B$2="June",ROUND('Budget by Source'!G230/10,0)+T230,ROUND('Budget by Source'!G230/10,0))</f>
        <v>5938</v>
      </c>
      <c r="H230" s="22">
        <f t="shared" si="9"/>
        <v>54812</v>
      </c>
      <c r="I230" s="22">
        <f>INDEX(Data[],MATCH($A230,Data[Dist],0),MATCH(I$5,Data[#Headers],0))</f>
        <v>80977</v>
      </c>
      <c r="K230" s="69">
        <f>INDEX('Payment Total'!$A$7:$H$333,MATCH('Payment by Source'!$A230,'Payment Total'!$A$7:$A$333,0),5)-I230</f>
        <v>0</v>
      </c>
      <c r="P230" s="157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3</v>
      </c>
      <c r="Q230" s="157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-1</v>
      </c>
      <c r="R230" s="157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0</v>
      </c>
      <c r="S230" s="157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4</v>
      </c>
      <c r="T230" s="157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-3</v>
      </c>
      <c r="U230" s="158">
        <f>INDEX('Budget by Source'!$A$6:$I$332,MATCH('Payment by Source'!$A230,'Budget by Source'!$A$6:$A$332,0),MATCH(U$3,'Budget by Source'!$A$5:$I$5,0))</f>
        <v>550807</v>
      </c>
      <c r="V230" s="155">
        <f t="shared" si="10"/>
        <v>55081</v>
      </c>
      <c r="W230" s="155">
        <f t="shared" si="11"/>
        <v>550810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23020</v>
      </c>
      <c r="D231" s="22">
        <f>IF(Notes!$B$2="June",ROUND('Budget by Source'!D231/10,0)+Q231,ROUND('Budget by Source'!D231/10,0))</f>
        <v>55043</v>
      </c>
      <c r="E231" s="22">
        <f>IF(Notes!$B$2="June",ROUND('Budget by Source'!E231/10,0)+R231,ROUND('Budget by Source'!E231/10,0))</f>
        <v>5930</v>
      </c>
      <c r="F231" s="22">
        <f>IF(Notes!$B$2="June",ROUND('Budget by Source'!F231/10,0)+S231,ROUND('Budget by Source'!F231/10,0))</f>
        <v>6255</v>
      </c>
      <c r="G231" s="22">
        <f>IF(Notes!$B$2="June",ROUND('Budget by Source'!G231/10,0)+T231,ROUND('Budget by Source'!G231/10,0))</f>
        <v>30966</v>
      </c>
      <c r="H231" s="22">
        <f t="shared" si="9"/>
        <v>425586</v>
      </c>
      <c r="I231" s="22">
        <f>INDEX(Data[],MATCH($A231,Data[Dist],0),MATCH(I$5,Data[#Headers],0))</f>
        <v>546800</v>
      </c>
      <c r="K231" s="69">
        <f>INDEX('Payment Total'!$A$7:$H$333,MATCH('Payment by Source'!$A231,'Payment Total'!$A$7:$A$333,0),5)-I231</f>
        <v>0</v>
      </c>
      <c r="P231" s="157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3</v>
      </c>
      <c r="Q231" s="157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-2</v>
      </c>
      <c r="R231" s="157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3</v>
      </c>
      <c r="S231" s="157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-1</v>
      </c>
      <c r="T231" s="157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0</v>
      </c>
      <c r="U231" s="158">
        <f>INDEX('Budget by Source'!$A$6:$I$332,MATCH('Payment by Source'!$A231,'Budget by Source'!$A$6:$A$332,0),MATCH(U$3,'Budget by Source'!$A$5:$I$5,0))</f>
        <v>4269904</v>
      </c>
      <c r="V231" s="155">
        <f t="shared" si="10"/>
        <v>426990</v>
      </c>
      <c r="W231" s="155">
        <f t="shared" si="11"/>
        <v>4269900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46041</v>
      </c>
      <c r="D232" s="22">
        <f>IF(Notes!$B$2="June",ROUND('Budget by Source'!D232/10,0)+Q232,ROUND('Budget by Source'!D232/10,0))</f>
        <v>136325</v>
      </c>
      <c r="E232" s="22">
        <f>IF(Notes!$B$2="June",ROUND('Budget by Source'!E232/10,0)+R232,ROUND('Budget by Source'!E232/10,0))</f>
        <v>17747</v>
      </c>
      <c r="F232" s="22">
        <f>IF(Notes!$B$2="June",ROUND('Budget by Source'!F232/10,0)+S232,ROUND('Budget by Source'!F232/10,0))</f>
        <v>15969</v>
      </c>
      <c r="G232" s="22">
        <f>IF(Notes!$B$2="June",ROUND('Budget by Source'!G232/10,0)+T232,ROUND('Budget by Source'!G232/10,0))</f>
        <v>78366</v>
      </c>
      <c r="H232" s="22">
        <f t="shared" si="9"/>
        <v>1258067</v>
      </c>
      <c r="I232" s="22">
        <f>INDEX(Data[],MATCH($A232,Data[Dist],0),MATCH(I$5,Data[#Headers],0))</f>
        <v>1552515</v>
      </c>
      <c r="K232" s="69">
        <f>INDEX('Payment Total'!$A$7:$H$333,MATCH('Payment by Source'!$A232,'Payment Total'!$A$7:$A$333,0),5)-I232</f>
        <v>0</v>
      </c>
      <c r="P232" s="157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-5</v>
      </c>
      <c r="Q232" s="157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7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-3</v>
      </c>
      <c r="S232" s="157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-3</v>
      </c>
      <c r="T232" s="157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2</v>
      </c>
      <c r="U232" s="158">
        <f>INDEX('Budget by Source'!$A$6:$I$332,MATCH('Payment by Source'!$A232,'Budget by Source'!$A$6:$A$332,0),MATCH(U$3,'Budget by Source'!$A$5:$I$5,0))</f>
        <v>12616228</v>
      </c>
      <c r="V232" s="155">
        <f t="shared" si="10"/>
        <v>1261623</v>
      </c>
      <c r="W232" s="155">
        <f t="shared" si="11"/>
        <v>12616230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82729</v>
      </c>
      <c r="D233" s="22">
        <f>IF(Notes!$B$2="June",ROUND('Budget by Source'!D233/10,0)+Q233,ROUND('Budget by Source'!D233/10,0))</f>
        <v>287035</v>
      </c>
      <c r="E233" s="22">
        <f>IF(Notes!$B$2="June",ROUND('Budget by Source'!E233/10,0)+R233,ROUND('Budget by Source'!E233/10,0))</f>
        <v>40937</v>
      </c>
      <c r="F233" s="22">
        <f>IF(Notes!$B$2="June",ROUND('Budget by Source'!F233/10,0)+S233,ROUND('Budget by Source'!F233/10,0))</f>
        <v>32541</v>
      </c>
      <c r="G233" s="22">
        <f>IF(Notes!$B$2="June",ROUND('Budget by Source'!G233/10,0)+T233,ROUND('Budget by Source'!G233/10,0))</f>
        <v>166995</v>
      </c>
      <c r="H233" s="22">
        <f t="shared" si="9"/>
        <v>3139225</v>
      </c>
      <c r="I233" s="22">
        <f>INDEX(Data[],MATCH($A233,Data[Dist],0),MATCH(I$5,Data[#Headers],0))</f>
        <v>3749462</v>
      </c>
      <c r="K233" s="69">
        <f>INDEX('Payment Total'!$A$7:$H$333,MATCH('Payment by Source'!$A233,'Payment Total'!$A$7:$A$333,0),5)-I233</f>
        <v>0</v>
      </c>
      <c r="P233" s="157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0</v>
      </c>
      <c r="Q233" s="157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2</v>
      </c>
      <c r="R233" s="157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-3</v>
      </c>
      <c r="S233" s="157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-2</v>
      </c>
      <c r="T233" s="157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1</v>
      </c>
      <c r="U233" s="158">
        <f>INDEX('Budget by Source'!$A$6:$I$332,MATCH('Payment by Source'!$A233,'Budget by Source'!$A$6:$A$332,0),MATCH(U$3,'Budget by Source'!$A$5:$I$5,0))</f>
        <v>32088017</v>
      </c>
      <c r="V233" s="155">
        <f t="shared" si="10"/>
        <v>3208802</v>
      </c>
      <c r="W233" s="155">
        <f t="shared" si="11"/>
        <v>32088020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15107</v>
      </c>
      <c r="D234" s="22">
        <f>IF(Notes!$B$2="June",ROUND('Budget by Source'!D234/10,0)+Q234,ROUND('Budget by Source'!D234/10,0))</f>
        <v>42015</v>
      </c>
      <c r="E234" s="22">
        <f>IF(Notes!$B$2="June",ROUND('Budget by Source'!E234/10,0)+R234,ROUND('Budget by Source'!E234/10,0))</f>
        <v>4445</v>
      </c>
      <c r="F234" s="22">
        <f>IF(Notes!$B$2="June",ROUND('Budget by Source'!F234/10,0)+S234,ROUND('Budget by Source'!F234/10,0))</f>
        <v>4193</v>
      </c>
      <c r="G234" s="22">
        <f>IF(Notes!$B$2="June",ROUND('Budget by Source'!G234/10,0)+T234,ROUND('Budget by Source'!G234/10,0))</f>
        <v>24166</v>
      </c>
      <c r="H234" s="22">
        <f t="shared" si="9"/>
        <v>267655</v>
      </c>
      <c r="I234" s="22">
        <f>INDEX(Data[],MATCH($A234,Data[Dist],0),MATCH(I$5,Data[#Headers],0))</f>
        <v>357581</v>
      </c>
      <c r="K234" s="69">
        <f>INDEX('Payment Total'!$A$7:$H$333,MATCH('Payment by Source'!$A234,'Payment Total'!$A$7:$A$333,0),5)-I234</f>
        <v>0</v>
      </c>
      <c r="P234" s="157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0</v>
      </c>
      <c r="Q234" s="157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0</v>
      </c>
      <c r="R234" s="157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-4</v>
      </c>
      <c r="S234" s="157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3</v>
      </c>
      <c r="T234" s="157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1</v>
      </c>
      <c r="U234" s="158">
        <f>INDEX('Budget by Source'!$A$6:$I$332,MATCH('Payment by Source'!$A234,'Budget by Source'!$A$6:$A$332,0),MATCH(U$3,'Budget by Source'!$A$5:$I$5,0))</f>
        <v>2687508</v>
      </c>
      <c r="V234" s="155">
        <f t="shared" si="10"/>
        <v>268751</v>
      </c>
      <c r="W234" s="155">
        <f t="shared" si="11"/>
        <v>2687510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3597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87607</v>
      </c>
      <c r="I235" s="22">
        <f>INDEX(Data[],MATCH($A235,Data[Dist],0),MATCH(I$5,Data[#Headers],0))</f>
        <v>114092</v>
      </c>
      <c r="K235" s="69">
        <f>INDEX('Payment Total'!$A$7:$H$333,MATCH('Payment by Source'!$A235,'Payment Total'!$A$7:$A$333,0),5)-I235</f>
        <v>0</v>
      </c>
      <c r="P235" s="157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-1</v>
      </c>
      <c r="Q235" s="157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7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7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7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8">
        <f>INDEX('Budget by Source'!$A$6:$I$332,MATCH('Payment by Source'!$A235,'Budget by Source'!$A$6:$A$332,0),MATCH(U$3,'Budget by Source'!$A$5:$I$5,0))</f>
        <v>879299</v>
      </c>
      <c r="V235" s="155">
        <f t="shared" si="10"/>
        <v>87930</v>
      </c>
      <c r="W235" s="155">
        <f t="shared" si="11"/>
        <v>879300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10071</v>
      </c>
      <c r="D236" s="22">
        <f>IF(Notes!$B$2="June",ROUND('Budget by Source'!D236/10,0)+Q236,ROUND('Budget by Source'!D236/10,0))</f>
        <v>37752</v>
      </c>
      <c r="E236" s="22">
        <f>IF(Notes!$B$2="June",ROUND('Budget by Source'!E236/10,0)+R236,ROUND('Budget by Source'!E236/10,0))</f>
        <v>3822</v>
      </c>
      <c r="F236" s="22">
        <f>IF(Notes!$B$2="June",ROUND('Budget by Source'!F236/10,0)+S236,ROUND('Budget by Source'!F236/10,0))</f>
        <v>4434</v>
      </c>
      <c r="G236" s="22">
        <f>IF(Notes!$B$2="June",ROUND('Budget by Source'!G236/10,0)+T236,ROUND('Budget by Source'!G236/10,0))</f>
        <v>20661</v>
      </c>
      <c r="H236" s="22">
        <f t="shared" si="9"/>
        <v>108022</v>
      </c>
      <c r="I236" s="22">
        <f>INDEX(Data[],MATCH($A236,Data[Dist],0),MATCH(I$5,Data[#Headers],0))</f>
        <v>184762</v>
      </c>
      <c r="K236" s="69">
        <f>INDEX('Payment Total'!$A$7:$H$333,MATCH('Payment by Source'!$A236,'Payment Total'!$A$7:$A$333,0),5)-I236</f>
        <v>0</v>
      </c>
      <c r="P236" s="157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4</v>
      </c>
      <c r="Q236" s="157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2</v>
      </c>
      <c r="R236" s="157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-5</v>
      </c>
      <c r="S236" s="157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2</v>
      </c>
      <c r="T236" s="157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3</v>
      </c>
      <c r="U236" s="158">
        <f>INDEX('Budget by Source'!$A$6:$I$332,MATCH('Payment by Source'!$A236,'Budget by Source'!$A$6:$A$332,0),MATCH(U$3,'Budget by Source'!$A$5:$I$5,0))</f>
        <v>1089458</v>
      </c>
      <c r="V236" s="155">
        <f t="shared" si="10"/>
        <v>108946</v>
      </c>
      <c r="W236" s="155">
        <f t="shared" si="11"/>
        <v>1089460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13668</v>
      </c>
      <c r="D237" s="22">
        <f>IF(Notes!$B$2="June",ROUND('Budget by Source'!D237/10,0)+Q237,ROUND('Budget by Source'!D237/10,0))</f>
        <v>36840</v>
      </c>
      <c r="E237" s="22">
        <f>IF(Notes!$B$2="June",ROUND('Budget by Source'!E237/10,0)+R237,ROUND('Budget by Source'!E237/10,0))</f>
        <v>4281</v>
      </c>
      <c r="F237" s="22">
        <f>IF(Notes!$B$2="June",ROUND('Budget by Source'!F237/10,0)+S237,ROUND('Budget by Source'!F237/10,0))</f>
        <v>4142</v>
      </c>
      <c r="G237" s="22">
        <f>IF(Notes!$B$2="June",ROUND('Budget by Source'!G237/10,0)+T237,ROUND('Budget by Source'!G237/10,0))</f>
        <v>20811</v>
      </c>
      <c r="H237" s="22">
        <f t="shared" si="9"/>
        <v>262384</v>
      </c>
      <c r="I237" s="22">
        <f>INDEX(Data[],MATCH($A237,Data[Dist],0),MATCH(I$5,Data[#Headers],0))</f>
        <v>342126</v>
      </c>
      <c r="K237" s="69">
        <f>INDEX('Payment Total'!$A$7:$H$333,MATCH('Payment by Source'!$A237,'Payment Total'!$A$7:$A$333,0),5)-I237</f>
        <v>0</v>
      </c>
      <c r="P237" s="157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3</v>
      </c>
      <c r="Q237" s="157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0</v>
      </c>
      <c r="R237" s="157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7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-4</v>
      </c>
      <c r="T237" s="157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3</v>
      </c>
      <c r="U237" s="158">
        <f>INDEX('Budget by Source'!$A$6:$I$332,MATCH('Payment by Source'!$A237,'Budget by Source'!$A$6:$A$332,0),MATCH(U$3,'Budget by Source'!$A$5:$I$5,0))</f>
        <v>2633174</v>
      </c>
      <c r="V237" s="155">
        <f t="shared" si="10"/>
        <v>263317</v>
      </c>
      <c r="W237" s="155">
        <f t="shared" si="11"/>
        <v>2633170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42451</v>
      </c>
      <c r="D238" s="22">
        <f>IF(Notes!$B$2="June",ROUND('Budget by Source'!D238/10,0)+Q238,ROUND('Budget by Source'!D238/10,0))</f>
        <v>126553</v>
      </c>
      <c r="E238" s="22">
        <f>IF(Notes!$B$2="June",ROUND('Budget by Source'!E238/10,0)+R238,ROUND('Budget by Source'!E238/10,0))</f>
        <v>14705</v>
      </c>
      <c r="F238" s="22">
        <f>IF(Notes!$B$2="June",ROUND('Budget by Source'!F238/10,0)+S238,ROUND('Budget by Source'!F238/10,0))</f>
        <v>13650</v>
      </c>
      <c r="G238" s="22">
        <f>IF(Notes!$B$2="June",ROUND('Budget by Source'!G238/10,0)+T238,ROUND('Budget by Source'!G238/10,0))</f>
        <v>74673</v>
      </c>
      <c r="H238" s="22">
        <f t="shared" si="9"/>
        <v>959474</v>
      </c>
      <c r="I238" s="22">
        <f>INDEX(Data[],MATCH($A238,Data[Dist],0),MATCH(I$5,Data[#Headers],0))</f>
        <v>1231506</v>
      </c>
      <c r="K238" s="69">
        <f>INDEX('Payment Total'!$A$7:$H$333,MATCH('Payment by Source'!$A238,'Payment Total'!$A$7:$A$333,0),5)-I238</f>
        <v>0</v>
      </c>
      <c r="P238" s="157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7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-1</v>
      </c>
      <c r="R238" s="157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-1</v>
      </c>
      <c r="S238" s="157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7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1</v>
      </c>
      <c r="U238" s="158">
        <f>INDEX('Budget by Source'!$A$6:$I$332,MATCH('Payment by Source'!$A238,'Budget by Source'!$A$6:$A$332,0),MATCH(U$3,'Budget by Source'!$A$5:$I$5,0))</f>
        <v>9628617</v>
      </c>
      <c r="V238" s="155">
        <f t="shared" si="10"/>
        <v>962862</v>
      </c>
      <c r="W238" s="155">
        <f t="shared" si="11"/>
        <v>9628620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29854</v>
      </c>
      <c r="D239" s="22">
        <f>IF(Notes!$B$2="June",ROUND('Budget by Source'!D239/10,0)+Q239,ROUND('Budget by Source'!D239/10,0))</f>
        <v>114932</v>
      </c>
      <c r="E239" s="22">
        <f>IF(Notes!$B$2="June",ROUND('Budget by Source'!E239/10,0)+R239,ROUND('Budget by Source'!E239/10,0))</f>
        <v>16851</v>
      </c>
      <c r="F239" s="22">
        <f>IF(Notes!$B$2="June",ROUND('Budget by Source'!F239/10,0)+S239,ROUND('Budget by Source'!F239/10,0))</f>
        <v>12536</v>
      </c>
      <c r="G239" s="22">
        <f>IF(Notes!$B$2="June",ROUND('Budget by Source'!G239/10,0)+T239,ROUND('Budget by Source'!G239/10,0))</f>
        <v>63475</v>
      </c>
      <c r="H239" s="22">
        <f t="shared" si="9"/>
        <v>1191310</v>
      </c>
      <c r="I239" s="22">
        <f>INDEX(Data[],MATCH($A239,Data[Dist],0),MATCH(I$5,Data[#Headers],0))</f>
        <v>1428958</v>
      </c>
      <c r="K239" s="69">
        <f>INDEX('Payment Total'!$A$7:$H$333,MATCH('Payment by Source'!$A239,'Payment Total'!$A$7:$A$333,0),5)-I239</f>
        <v>0</v>
      </c>
      <c r="P239" s="157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4</v>
      </c>
      <c r="Q239" s="157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0</v>
      </c>
      <c r="R239" s="157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1</v>
      </c>
      <c r="S239" s="157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0</v>
      </c>
      <c r="T239" s="157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-1</v>
      </c>
      <c r="U239" s="158">
        <f>INDEX('Budget by Source'!$A$6:$I$332,MATCH('Payment by Source'!$A239,'Budget by Source'!$A$6:$A$332,0),MATCH(U$3,'Budget by Source'!$A$5:$I$5,0))</f>
        <v>11941887</v>
      </c>
      <c r="V239" s="155">
        <f t="shared" si="10"/>
        <v>1194189</v>
      </c>
      <c r="W239" s="155">
        <f t="shared" si="11"/>
        <v>11941890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64378</v>
      </c>
      <c r="D240" s="22">
        <f>IF(Notes!$B$2="June",ROUND('Budget by Source'!D240/10,0)+Q240,ROUND('Budget by Source'!D240/10,0))</f>
        <v>304473</v>
      </c>
      <c r="E240" s="22">
        <f>IF(Notes!$B$2="June",ROUND('Budget by Source'!E240/10,0)+R240,ROUND('Budget by Source'!E240/10,0))</f>
        <v>32362</v>
      </c>
      <c r="F240" s="22">
        <f>IF(Notes!$B$2="June",ROUND('Budget by Source'!F240/10,0)+S240,ROUND('Budget by Source'!F240/10,0))</f>
        <v>35089</v>
      </c>
      <c r="G240" s="22">
        <f>IF(Notes!$B$2="June",ROUND('Budget by Source'!G240/10,0)+T240,ROUND('Budget by Source'!G240/10,0))</f>
        <v>183059</v>
      </c>
      <c r="H240" s="22">
        <f t="shared" si="9"/>
        <v>2533846</v>
      </c>
      <c r="I240" s="22">
        <f>INDEX(Data[],MATCH($A240,Data[Dist],0),MATCH(I$5,Data[#Headers],0))</f>
        <v>3153207</v>
      </c>
      <c r="K240" s="69">
        <f>INDEX('Payment Total'!$A$7:$H$333,MATCH('Payment by Source'!$A240,'Payment Total'!$A$7:$A$333,0),5)-I240</f>
        <v>0</v>
      </c>
      <c r="P240" s="157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7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0</v>
      </c>
      <c r="R240" s="157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0</v>
      </c>
      <c r="S240" s="157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7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3</v>
      </c>
      <c r="U240" s="158">
        <f>INDEX('Budget by Source'!$A$6:$I$332,MATCH('Payment by Source'!$A240,'Budget by Source'!$A$6:$A$332,0),MATCH(U$3,'Budget by Source'!$A$5:$I$5,0))</f>
        <v>25421510</v>
      </c>
      <c r="V240" s="155">
        <f t="shared" si="10"/>
        <v>2542151</v>
      </c>
      <c r="W240" s="155">
        <f t="shared" si="11"/>
        <v>25421510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10791</v>
      </c>
      <c r="D241" s="22">
        <f>IF(Notes!$B$2="June",ROUND('Budget by Source'!D241/10,0)+Q241,ROUND('Budget by Source'!D241/10,0))</f>
        <v>40465</v>
      </c>
      <c r="E241" s="22">
        <f>IF(Notes!$B$2="June",ROUND('Budget by Source'!E241/10,0)+R241,ROUND('Budget by Source'!E241/10,0))</f>
        <v>5330</v>
      </c>
      <c r="F241" s="22">
        <f>IF(Notes!$B$2="June",ROUND('Budget by Source'!F241/10,0)+S241,ROUND('Budget by Source'!F241/10,0))</f>
        <v>4270</v>
      </c>
      <c r="G241" s="22">
        <f>IF(Notes!$B$2="June",ROUND('Budget by Source'!G241/10,0)+T241,ROUND('Budget by Source'!G241/10,0))</f>
        <v>22806</v>
      </c>
      <c r="H241" s="22">
        <f t="shared" si="9"/>
        <v>360507</v>
      </c>
      <c r="I241" s="22">
        <f>INDEX(Data[],MATCH($A241,Data[Dist],0),MATCH(I$5,Data[#Headers],0))</f>
        <v>444169</v>
      </c>
      <c r="K241" s="69">
        <f>INDEX('Payment Total'!$A$7:$H$333,MATCH('Payment by Source'!$A241,'Payment Total'!$A$7:$A$333,0),5)-I241</f>
        <v>0</v>
      </c>
      <c r="P241" s="157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-3</v>
      </c>
      <c r="Q241" s="157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-5</v>
      </c>
      <c r="R241" s="157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-1</v>
      </c>
      <c r="S241" s="157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-4</v>
      </c>
      <c r="T241" s="157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-5</v>
      </c>
      <c r="U241" s="158">
        <f>INDEX('Budget by Source'!$A$6:$I$332,MATCH('Payment by Source'!$A241,'Budget by Source'!$A$6:$A$332,0),MATCH(U$3,'Budget by Source'!$A$5:$I$5,0))</f>
        <v>3615379</v>
      </c>
      <c r="V241" s="155">
        <f t="shared" si="10"/>
        <v>361538</v>
      </c>
      <c r="W241" s="155">
        <f t="shared" si="11"/>
        <v>3615380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15107</v>
      </c>
      <c r="D242" s="22">
        <f>IF(Notes!$B$2="June",ROUND('Budget by Source'!D242/10,0)+Q242,ROUND('Budget by Source'!D242/10,0))</f>
        <v>47685</v>
      </c>
      <c r="E242" s="22">
        <f>IF(Notes!$B$2="June",ROUND('Budget by Source'!E242/10,0)+R242,ROUND('Budget by Source'!E242/10,0))</f>
        <v>4466</v>
      </c>
      <c r="F242" s="22">
        <f>IF(Notes!$B$2="June",ROUND('Budget by Source'!F242/10,0)+S242,ROUND('Budget by Source'!F242/10,0))</f>
        <v>5938</v>
      </c>
      <c r="G242" s="22">
        <f>IF(Notes!$B$2="June",ROUND('Budget by Source'!G242/10,0)+T242,ROUND('Budget by Source'!G242/10,0))</f>
        <v>23042</v>
      </c>
      <c r="H242" s="22">
        <f t="shared" si="9"/>
        <v>127792</v>
      </c>
      <c r="I242" s="22">
        <f>INDEX(Data[],MATCH($A242,Data[Dist],0),MATCH(I$5,Data[#Headers],0))</f>
        <v>224030</v>
      </c>
      <c r="K242" s="69">
        <f>INDEX('Payment Total'!$A$7:$H$333,MATCH('Payment by Source'!$A242,'Payment Total'!$A$7:$A$333,0),5)-I242</f>
        <v>0</v>
      </c>
      <c r="P242" s="157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0</v>
      </c>
      <c r="Q242" s="157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0</v>
      </c>
      <c r="R242" s="157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7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3</v>
      </c>
      <c r="T242" s="157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1</v>
      </c>
      <c r="U242" s="158">
        <f>INDEX('Budget by Source'!$A$6:$I$332,MATCH('Payment by Source'!$A242,'Budget by Source'!$A$6:$A$332,0),MATCH(U$3,'Budget by Source'!$A$5:$I$5,0))</f>
        <v>1288371</v>
      </c>
      <c r="V242" s="155">
        <f t="shared" si="10"/>
        <v>128837</v>
      </c>
      <c r="W242" s="155">
        <f t="shared" si="11"/>
        <v>1288370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6115</v>
      </c>
      <c r="D243" s="22">
        <f>IF(Notes!$B$2="June",ROUND('Budget by Source'!D243/10,0)+Q243,ROUND('Budget by Source'!D243/10,0))</f>
        <v>47342</v>
      </c>
      <c r="E243" s="22">
        <f>IF(Notes!$B$2="June",ROUND('Budget by Source'!E243/10,0)+R243,ROUND('Budget by Source'!E243/10,0))</f>
        <v>7200</v>
      </c>
      <c r="F243" s="22">
        <f>IF(Notes!$B$2="June",ROUND('Budget by Source'!F243/10,0)+S243,ROUND('Budget by Source'!F243/10,0))</f>
        <v>4691</v>
      </c>
      <c r="G243" s="22">
        <f>IF(Notes!$B$2="June",ROUND('Budget by Source'!G243/10,0)+T243,ROUND('Budget by Source'!G243/10,0))</f>
        <v>25840</v>
      </c>
      <c r="H243" s="22">
        <f t="shared" si="9"/>
        <v>458039</v>
      </c>
      <c r="I243" s="22">
        <f>INDEX(Data[],MATCH($A243,Data[Dist],0),MATCH(I$5,Data[#Headers],0))</f>
        <v>549227</v>
      </c>
      <c r="K243" s="69">
        <f>INDEX('Payment Total'!$A$7:$H$333,MATCH('Payment by Source'!$A243,'Payment Total'!$A$7:$A$333,0),5)-I243</f>
        <v>0</v>
      </c>
      <c r="P243" s="157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7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-4</v>
      </c>
      <c r="R243" s="157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-5</v>
      </c>
      <c r="S243" s="157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-5</v>
      </c>
      <c r="T243" s="157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-5</v>
      </c>
      <c r="U243" s="158">
        <f>INDEX('Budget by Source'!$A$6:$I$332,MATCH('Payment by Source'!$A243,'Budget by Source'!$A$6:$A$332,0),MATCH(U$3,'Budget by Source'!$A$5:$I$5,0))</f>
        <v>4591938</v>
      </c>
      <c r="V243" s="155">
        <f t="shared" si="10"/>
        <v>459194</v>
      </c>
      <c r="W243" s="155">
        <f t="shared" si="11"/>
        <v>4591940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19064</v>
      </c>
      <c r="D244" s="22">
        <f>IF(Notes!$B$2="June",ROUND('Budget by Source'!D244/10,0)+Q244,ROUND('Budget by Source'!D244/10,0))</f>
        <v>62867</v>
      </c>
      <c r="E244" s="22">
        <f>IF(Notes!$B$2="June",ROUND('Budget by Source'!E244/10,0)+R244,ROUND('Budget by Source'!E244/10,0))</f>
        <v>6966</v>
      </c>
      <c r="F244" s="22">
        <f>IF(Notes!$B$2="June",ROUND('Budget by Source'!F244/10,0)+S244,ROUND('Budget by Source'!F244/10,0))</f>
        <v>6778</v>
      </c>
      <c r="G244" s="22">
        <f>IF(Notes!$B$2="June",ROUND('Budget by Source'!G244/10,0)+T244,ROUND('Budget by Source'!G244/10,0))</f>
        <v>36250</v>
      </c>
      <c r="H244" s="22">
        <f t="shared" si="9"/>
        <v>532624</v>
      </c>
      <c r="I244" s="22">
        <f>INDEX(Data[],MATCH($A244,Data[Dist],0),MATCH(I$5,Data[#Headers],0))</f>
        <v>664549</v>
      </c>
      <c r="K244" s="69">
        <f>INDEX('Payment Total'!$A$7:$H$333,MATCH('Payment by Source'!$A244,'Payment Total'!$A$7:$A$333,0),5)-I244</f>
        <v>0</v>
      </c>
      <c r="P244" s="157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-3</v>
      </c>
      <c r="Q244" s="157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1</v>
      </c>
      <c r="R244" s="157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3</v>
      </c>
      <c r="S244" s="157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1</v>
      </c>
      <c r="T244" s="157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2</v>
      </c>
      <c r="U244" s="158">
        <f>INDEX('Budget by Source'!$A$6:$I$332,MATCH('Payment by Source'!$A244,'Budget by Source'!$A$6:$A$332,0),MATCH(U$3,'Budget by Source'!$A$5:$I$5,0))</f>
        <v>5342447</v>
      </c>
      <c r="V244" s="155">
        <f t="shared" si="10"/>
        <v>534245</v>
      </c>
      <c r="W244" s="155">
        <f t="shared" si="11"/>
        <v>5342450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10071</v>
      </c>
      <c r="D245" s="22">
        <f>IF(Notes!$B$2="June",ROUND('Budget by Source'!D245/10,0)+Q245,ROUND('Budget by Source'!D245/10,0))</f>
        <v>39224</v>
      </c>
      <c r="E245" s="22">
        <f>IF(Notes!$B$2="June",ROUND('Budget by Source'!E245/10,0)+R245,ROUND('Budget by Source'!E245/10,0))</f>
        <v>4186</v>
      </c>
      <c r="F245" s="22">
        <f>IF(Notes!$B$2="June",ROUND('Budget by Source'!F245/10,0)+S245,ROUND('Budget by Source'!F245/10,0))</f>
        <v>4695</v>
      </c>
      <c r="G245" s="22">
        <f>IF(Notes!$B$2="June",ROUND('Budget by Source'!G245/10,0)+T245,ROUND('Budget by Source'!G245/10,0))</f>
        <v>20096</v>
      </c>
      <c r="H245" s="22">
        <f t="shared" si="9"/>
        <v>162499</v>
      </c>
      <c r="I245" s="22">
        <f>INDEX(Data[],MATCH($A245,Data[Dist],0),MATCH(I$5,Data[#Headers],0))</f>
        <v>240771</v>
      </c>
      <c r="K245" s="69">
        <f>INDEX('Payment Total'!$A$7:$H$333,MATCH('Payment by Source'!$A245,'Payment Total'!$A$7:$A$333,0),5)-I245</f>
        <v>0</v>
      </c>
      <c r="P245" s="157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7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7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-1</v>
      </c>
      <c r="S245" s="157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4</v>
      </c>
      <c r="T245" s="157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0</v>
      </c>
      <c r="U245" s="158">
        <f>INDEX('Budget by Source'!$A$6:$I$332,MATCH('Payment by Source'!$A245,'Budget by Source'!$A$6:$A$332,0),MATCH(U$3,'Budget by Source'!$A$5:$I$5,0))</f>
        <v>1634095</v>
      </c>
      <c r="V245" s="155">
        <f t="shared" si="10"/>
        <v>163410</v>
      </c>
      <c r="W245" s="155">
        <f t="shared" si="11"/>
        <v>1634100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20143</v>
      </c>
      <c r="D246" s="22">
        <f>IF(Notes!$B$2="June",ROUND('Budget by Source'!D246/10,0)+Q246,ROUND('Budget by Source'!D246/10,0))</f>
        <v>65701</v>
      </c>
      <c r="E246" s="22">
        <f>IF(Notes!$B$2="June",ROUND('Budget by Source'!E246/10,0)+R246,ROUND('Budget by Source'!E246/10,0))</f>
        <v>8761</v>
      </c>
      <c r="F246" s="22">
        <f>IF(Notes!$B$2="June",ROUND('Budget by Source'!F246/10,0)+S246,ROUND('Budget by Source'!F246/10,0))</f>
        <v>7282</v>
      </c>
      <c r="G246" s="22">
        <f>IF(Notes!$B$2="June",ROUND('Budget by Source'!G246/10,0)+T246,ROUND('Budget by Source'!G246/10,0))</f>
        <v>36185</v>
      </c>
      <c r="H246" s="22">
        <f t="shared" si="9"/>
        <v>533474</v>
      </c>
      <c r="I246" s="22">
        <f>INDEX(Data[],MATCH($A246,Data[Dist],0),MATCH(I$5,Data[#Headers],0))</f>
        <v>671546</v>
      </c>
      <c r="K246" s="69">
        <f>INDEX('Payment Total'!$A$7:$H$333,MATCH('Payment by Source'!$A246,'Payment Total'!$A$7:$A$333,0),5)-I246</f>
        <v>0</v>
      </c>
      <c r="P246" s="157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-3</v>
      </c>
      <c r="Q246" s="157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-3</v>
      </c>
      <c r="R246" s="157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3</v>
      </c>
      <c r="S246" s="157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1</v>
      </c>
      <c r="T246" s="157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-4</v>
      </c>
      <c r="U246" s="158">
        <f>INDEX('Budget by Source'!$A$6:$I$332,MATCH('Payment by Source'!$A246,'Budget by Source'!$A$6:$A$332,0),MATCH(U$3,'Budget by Source'!$A$5:$I$5,0))</f>
        <v>5423561</v>
      </c>
      <c r="V246" s="155">
        <f t="shared" si="10"/>
        <v>542356</v>
      </c>
      <c r="W246" s="155">
        <f t="shared" si="11"/>
        <v>5423560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9712</v>
      </c>
      <c r="D247" s="22">
        <f>IF(Notes!$B$2="June",ROUND('Budget by Source'!D247/10,0)+Q247,ROUND('Budget by Source'!D247/10,0))</f>
        <v>20476</v>
      </c>
      <c r="E247" s="22">
        <f>IF(Notes!$B$2="June",ROUND('Budget by Source'!E247/10,0)+R247,ROUND('Budget by Source'!E247/10,0))</f>
        <v>1961</v>
      </c>
      <c r="F247" s="22">
        <f>IF(Notes!$B$2="June",ROUND('Budget by Source'!F247/10,0)+S247,ROUND('Budget by Source'!F247/10,0))</f>
        <v>2087</v>
      </c>
      <c r="G247" s="22">
        <f>IF(Notes!$B$2="June",ROUND('Budget by Source'!G247/10,0)+T247,ROUND('Budget by Source'!G247/10,0))</f>
        <v>10898</v>
      </c>
      <c r="H247" s="22">
        <f t="shared" si="9"/>
        <v>75801</v>
      </c>
      <c r="I247" s="22">
        <f>INDEX(Data[],MATCH($A247,Data[Dist],0),MATCH(I$5,Data[#Headers],0))</f>
        <v>120935</v>
      </c>
      <c r="K247" s="69">
        <f>INDEX('Payment Total'!$A$7:$H$333,MATCH('Payment by Source'!$A247,'Payment Total'!$A$7:$A$333,0),5)-I247</f>
        <v>0</v>
      </c>
      <c r="P247" s="157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-3</v>
      </c>
      <c r="Q247" s="157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1</v>
      </c>
      <c r="R247" s="157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4</v>
      </c>
      <c r="S247" s="157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3</v>
      </c>
      <c r="T247" s="157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3</v>
      </c>
      <c r="U247" s="158">
        <f>INDEX('Budget by Source'!$A$6:$I$332,MATCH('Payment by Source'!$A247,'Budget by Source'!$A$6:$A$332,0),MATCH(U$3,'Budget by Source'!$A$5:$I$5,0))</f>
        <v>762870</v>
      </c>
      <c r="V247" s="155">
        <f t="shared" si="10"/>
        <v>76287</v>
      </c>
      <c r="W247" s="155">
        <f t="shared" si="11"/>
        <v>762870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7554</v>
      </c>
      <c r="D248" s="22">
        <f>IF(Notes!$B$2="June",ROUND('Budget by Source'!D248/10,0)+Q248,ROUND('Budget by Source'!D248/10,0))</f>
        <v>26169</v>
      </c>
      <c r="E248" s="22">
        <f>IF(Notes!$B$2="June",ROUND('Budget by Source'!E248/10,0)+R248,ROUND('Budget by Source'!E248/10,0))</f>
        <v>2329</v>
      </c>
      <c r="F248" s="22">
        <f>IF(Notes!$B$2="June",ROUND('Budget by Source'!F248/10,0)+S248,ROUND('Budget by Source'!F248/10,0))</f>
        <v>3183</v>
      </c>
      <c r="G248" s="22">
        <f>IF(Notes!$B$2="June",ROUND('Budget by Source'!G248/10,0)+T248,ROUND('Budget by Source'!G248/10,0))</f>
        <v>11645</v>
      </c>
      <c r="H248" s="22">
        <f t="shared" si="9"/>
        <v>75129</v>
      </c>
      <c r="I248" s="22">
        <f>INDEX(Data[],MATCH($A248,Data[Dist],0),MATCH(I$5,Data[#Headers],0))</f>
        <v>126009</v>
      </c>
      <c r="K248" s="69">
        <f>INDEX('Payment Total'!$A$7:$H$333,MATCH('Payment by Source'!$A248,'Payment Total'!$A$7:$A$333,0),5)-I248</f>
        <v>0</v>
      </c>
      <c r="P248" s="157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-4</v>
      </c>
      <c r="Q248" s="157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-1</v>
      </c>
      <c r="R248" s="157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-5</v>
      </c>
      <c r="S248" s="157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7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0</v>
      </c>
      <c r="U248" s="158">
        <f>INDEX('Budget by Source'!$A$6:$I$332,MATCH('Payment by Source'!$A248,'Budget by Source'!$A$6:$A$332,0),MATCH(U$3,'Budget by Source'!$A$5:$I$5,0))</f>
        <v>756583</v>
      </c>
      <c r="V248" s="155">
        <f t="shared" si="10"/>
        <v>75658</v>
      </c>
      <c r="W248" s="155">
        <f t="shared" si="11"/>
        <v>756580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28416</v>
      </c>
      <c r="D249" s="22">
        <f>IF(Notes!$B$2="June",ROUND('Budget by Source'!D249/10,0)+Q249,ROUND('Budget by Source'!D249/10,0))</f>
        <v>52477</v>
      </c>
      <c r="E249" s="22">
        <f>IF(Notes!$B$2="June",ROUND('Budget by Source'!E249/10,0)+R249,ROUND('Budget by Source'!E249/10,0))</f>
        <v>7280</v>
      </c>
      <c r="F249" s="22">
        <f>IF(Notes!$B$2="June",ROUND('Budget by Source'!F249/10,0)+S249,ROUND('Budget by Source'!F249/10,0))</f>
        <v>5572</v>
      </c>
      <c r="G249" s="22">
        <f>IF(Notes!$B$2="June",ROUND('Budget by Source'!G249/10,0)+T249,ROUND('Budget by Source'!G249/10,0))</f>
        <v>28894</v>
      </c>
      <c r="H249" s="22">
        <f t="shared" si="9"/>
        <v>426790</v>
      </c>
      <c r="I249" s="22">
        <f>INDEX(Data[],MATCH($A249,Data[Dist],0),MATCH(I$5,Data[#Headers],0))</f>
        <v>549429</v>
      </c>
      <c r="K249" s="69">
        <f>INDEX('Payment Total'!$A$7:$H$333,MATCH('Payment by Source'!$A249,'Payment Total'!$A$7:$A$333,0),5)-I249</f>
        <v>0</v>
      </c>
      <c r="P249" s="157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-3</v>
      </c>
      <c r="Q249" s="157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-4</v>
      </c>
      <c r="R249" s="157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0</v>
      </c>
      <c r="S249" s="157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1</v>
      </c>
      <c r="T249" s="157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-2</v>
      </c>
      <c r="U249" s="158">
        <f>INDEX('Budget by Source'!$A$6:$I$332,MATCH('Payment by Source'!$A249,'Budget by Source'!$A$6:$A$332,0),MATCH(U$3,'Budget by Source'!$A$5:$I$5,0))</f>
        <v>4280948</v>
      </c>
      <c r="V249" s="155">
        <f t="shared" si="10"/>
        <v>428095</v>
      </c>
      <c r="W249" s="155">
        <f t="shared" si="11"/>
        <v>4280950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21222</v>
      </c>
      <c r="D250" s="22">
        <f>IF(Notes!$B$2="June",ROUND('Budget by Source'!D250/10,0)+Q250,ROUND('Budget by Source'!D250/10,0))</f>
        <v>59500</v>
      </c>
      <c r="E250" s="22">
        <f>IF(Notes!$B$2="June",ROUND('Budget by Source'!E250/10,0)+R250,ROUND('Budget by Source'!E250/10,0))</f>
        <v>6823</v>
      </c>
      <c r="F250" s="22">
        <f>IF(Notes!$B$2="June",ROUND('Budget by Source'!F250/10,0)+S250,ROUND('Budget by Source'!F250/10,0))</f>
        <v>7371</v>
      </c>
      <c r="G250" s="22">
        <f>IF(Notes!$B$2="June",ROUND('Budget by Source'!G250/10,0)+T250,ROUND('Budget by Source'!G250/10,0))</f>
        <v>34256</v>
      </c>
      <c r="H250" s="22">
        <f t="shared" si="9"/>
        <v>466543</v>
      </c>
      <c r="I250" s="22">
        <f>INDEX(Data[],MATCH($A250,Data[Dist],0),MATCH(I$5,Data[#Headers],0))</f>
        <v>595715</v>
      </c>
      <c r="K250" s="69">
        <f>INDEX('Payment Total'!$A$7:$H$333,MATCH('Payment by Source'!$A250,'Payment Total'!$A$7:$A$333,0),5)-I250</f>
        <v>0</v>
      </c>
      <c r="P250" s="157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-2</v>
      </c>
      <c r="Q250" s="157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1</v>
      </c>
      <c r="R250" s="157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3</v>
      </c>
      <c r="S250" s="157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-1</v>
      </c>
      <c r="T250" s="157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0</v>
      </c>
      <c r="U250" s="158">
        <f>INDEX('Budget by Source'!$A$6:$I$332,MATCH('Payment by Source'!$A250,'Budget by Source'!$A$6:$A$332,0),MATCH(U$3,'Budget by Source'!$A$5:$I$5,0))</f>
        <v>4680778</v>
      </c>
      <c r="V250" s="155">
        <f t="shared" si="10"/>
        <v>468078</v>
      </c>
      <c r="W250" s="155">
        <f t="shared" si="11"/>
        <v>4680780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8633</v>
      </c>
      <c r="D251" s="22">
        <f>IF(Notes!$B$2="June",ROUND('Budget by Source'!D251/10,0)+Q251,ROUND('Budget by Source'!D251/10,0))</f>
        <v>25970</v>
      </c>
      <c r="E251" s="22">
        <f>IF(Notes!$B$2="June",ROUND('Budget by Source'!E251/10,0)+R251,ROUND('Budget by Source'!E251/10,0))</f>
        <v>2773</v>
      </c>
      <c r="F251" s="22">
        <f>IF(Notes!$B$2="June",ROUND('Budget by Source'!F251/10,0)+S251,ROUND('Budget by Source'!F251/10,0))</f>
        <v>2932</v>
      </c>
      <c r="G251" s="22">
        <f>IF(Notes!$B$2="June",ROUND('Budget by Source'!G251/10,0)+T251,ROUND('Budget by Source'!G251/10,0))</f>
        <v>14033</v>
      </c>
      <c r="H251" s="22">
        <f t="shared" si="9"/>
        <v>169638</v>
      </c>
      <c r="I251" s="22">
        <f>INDEX(Data[],MATCH($A251,Data[Dist],0),MATCH(I$5,Data[#Headers],0))</f>
        <v>223979</v>
      </c>
      <c r="K251" s="69">
        <f>INDEX('Payment Total'!$A$7:$H$333,MATCH('Payment by Source'!$A251,'Payment Total'!$A$7:$A$333,0),5)-I251</f>
        <v>0</v>
      </c>
      <c r="P251" s="157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-4</v>
      </c>
      <c r="Q251" s="157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0</v>
      </c>
      <c r="R251" s="157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4</v>
      </c>
      <c r="S251" s="157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7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-4</v>
      </c>
      <c r="U251" s="158">
        <f>INDEX('Budget by Source'!$A$6:$I$332,MATCH('Payment by Source'!$A251,'Budget by Source'!$A$6:$A$332,0),MATCH(U$3,'Budget by Source'!$A$5:$I$5,0))</f>
        <v>1702749</v>
      </c>
      <c r="V251" s="155">
        <f t="shared" si="10"/>
        <v>170275</v>
      </c>
      <c r="W251" s="155">
        <f t="shared" si="11"/>
        <v>1702750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1439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109864</v>
      </c>
      <c r="I252" s="22">
        <f>INDEX(Data[],MATCH($A252,Data[Dist],0),MATCH(I$5,Data[#Headers],0))</f>
        <v>137983</v>
      </c>
      <c r="K252" s="69">
        <f>INDEX('Payment Total'!$A$7:$H$333,MATCH('Payment by Source'!$A252,'Payment Total'!$A$7:$A$333,0),5)-I252</f>
        <v>0</v>
      </c>
      <c r="P252" s="157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-2</v>
      </c>
      <c r="Q252" s="157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7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7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7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8">
        <f>INDEX('Budget by Source'!$A$6:$I$332,MATCH('Payment by Source'!$A252,'Budget by Source'!$A$6:$A$332,0),MATCH(U$3,'Budget by Source'!$A$5:$I$5,0))</f>
        <v>1102193</v>
      </c>
      <c r="V252" s="155">
        <f t="shared" si="10"/>
        <v>110219</v>
      </c>
      <c r="W252" s="155">
        <f t="shared" si="11"/>
        <v>1102190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12949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225886</v>
      </c>
      <c r="I253" s="22">
        <f>INDEX(Data[],MATCH($A253,Data[Dist],0),MATCH(I$5,Data[#Headers],0))</f>
        <v>303131</v>
      </c>
      <c r="K253" s="69">
        <f>INDEX('Payment Total'!$A$7:$H$333,MATCH('Payment by Source'!$A253,'Payment Total'!$A$7:$A$333,0),5)-I253</f>
        <v>0</v>
      </c>
      <c r="P253" s="157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-1</v>
      </c>
      <c r="Q253" s="157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7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7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7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8">
        <f>INDEX('Budget by Source'!$A$6:$I$332,MATCH('Payment by Source'!$A253,'Budget by Source'!$A$6:$A$332,0),MATCH(U$3,'Budget by Source'!$A$5:$I$5,0))</f>
        <v>2268129</v>
      </c>
      <c r="V253" s="155">
        <f t="shared" si="10"/>
        <v>226813</v>
      </c>
      <c r="W253" s="155">
        <f t="shared" si="11"/>
        <v>2268130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19056</v>
      </c>
      <c r="D254" s="22">
        <f>IF(Notes!$B$2="June",ROUND('Budget by Source'!D254/10,0)+Q254,ROUND('Budget by Source'!D254/10,0))</f>
        <v>73960</v>
      </c>
      <c r="E254" s="22">
        <f>IF(Notes!$B$2="June",ROUND('Budget by Source'!E254/10,0)+R254,ROUND('Budget by Source'!E254/10,0))</f>
        <v>9488</v>
      </c>
      <c r="F254" s="22">
        <f>IF(Notes!$B$2="June",ROUND('Budget by Source'!F254/10,0)+S254,ROUND('Budget by Source'!F254/10,0))</f>
        <v>7944</v>
      </c>
      <c r="G254" s="22">
        <f>IF(Notes!$B$2="June",ROUND('Budget by Source'!G254/10,0)+T254,ROUND('Budget by Source'!G254/10,0))</f>
        <v>38882</v>
      </c>
      <c r="H254" s="22">
        <f t="shared" si="9"/>
        <v>213746</v>
      </c>
      <c r="I254" s="22">
        <f>INDEX(Data[],MATCH($A254,Data[Dist],0),MATCH(I$5,Data[#Headers],0))</f>
        <v>363076</v>
      </c>
      <c r="K254" s="69">
        <f>INDEX('Payment Total'!$A$7:$H$333,MATCH('Payment by Source'!$A254,'Payment Total'!$A$7:$A$333,0),5)-I254</f>
        <v>0</v>
      </c>
      <c r="P254" s="157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4</v>
      </c>
      <c r="Q254" s="157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-1</v>
      </c>
      <c r="R254" s="157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-5</v>
      </c>
      <c r="S254" s="157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3</v>
      </c>
      <c r="T254" s="157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-1</v>
      </c>
      <c r="U254" s="158">
        <f>INDEX('Budget by Source'!$A$6:$I$332,MATCH('Payment by Source'!$A254,'Budget by Source'!$A$6:$A$332,0),MATCH(U$3,'Budget by Source'!$A$5:$I$5,0))</f>
        <v>2154489</v>
      </c>
      <c r="V254" s="155">
        <f t="shared" si="10"/>
        <v>215449</v>
      </c>
      <c r="W254" s="155">
        <f t="shared" si="11"/>
        <v>2154490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7554</v>
      </c>
      <c r="D255" s="22">
        <f>IF(Notes!$B$2="June",ROUND('Budget by Source'!D255/10,0)+Q255,ROUND('Budget by Source'!D255/10,0))</f>
        <v>24402</v>
      </c>
      <c r="E255" s="22">
        <f>IF(Notes!$B$2="June",ROUND('Budget by Source'!E255/10,0)+R255,ROUND('Budget by Source'!E255/10,0))</f>
        <v>2421</v>
      </c>
      <c r="F255" s="22">
        <f>IF(Notes!$B$2="June",ROUND('Budget by Source'!F255/10,0)+S255,ROUND('Budget by Source'!F255/10,0))</f>
        <v>2747</v>
      </c>
      <c r="G255" s="22">
        <f>IF(Notes!$B$2="June",ROUND('Budget by Source'!G255/10,0)+T255,ROUND('Budget by Source'!G255/10,0))</f>
        <v>12916</v>
      </c>
      <c r="H255" s="22">
        <f t="shared" si="9"/>
        <v>151092</v>
      </c>
      <c r="I255" s="22">
        <f>INDEX(Data[],MATCH($A255,Data[Dist],0),MATCH(I$5,Data[#Headers],0))</f>
        <v>201132</v>
      </c>
      <c r="K255" s="69">
        <f>INDEX('Payment Total'!$A$7:$H$333,MATCH('Payment by Source'!$A255,'Payment Total'!$A$7:$A$333,0),5)-I255</f>
        <v>0</v>
      </c>
      <c r="P255" s="157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-4</v>
      </c>
      <c r="Q255" s="157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-1</v>
      </c>
      <c r="R255" s="157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3</v>
      </c>
      <c r="S255" s="157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3</v>
      </c>
      <c r="T255" s="157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-4</v>
      </c>
      <c r="U255" s="158">
        <f>INDEX('Budget by Source'!$A$6:$I$332,MATCH('Payment by Source'!$A255,'Budget by Source'!$A$6:$A$332,0),MATCH(U$3,'Budget by Source'!$A$5:$I$5,0))</f>
        <v>1516781</v>
      </c>
      <c r="V255" s="155">
        <f t="shared" si="10"/>
        <v>151678</v>
      </c>
      <c r="W255" s="155">
        <f t="shared" si="11"/>
        <v>1516780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4316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89568</v>
      </c>
      <c r="I256" s="22">
        <f>INDEX(Data[],MATCH($A256,Data[Dist],0),MATCH(I$5,Data[#Headers],0))</f>
        <v>119234</v>
      </c>
      <c r="K256" s="69">
        <f>INDEX('Payment Total'!$A$7:$H$333,MATCH('Payment by Source'!$A256,'Payment Total'!$A$7:$A$333,0),5)-I256</f>
        <v>0</v>
      </c>
      <c r="P256" s="157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3</v>
      </c>
      <c r="Q256" s="157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7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7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7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8">
        <f>INDEX('Budget by Source'!$A$6:$I$332,MATCH('Payment by Source'!$A256,'Budget by Source'!$A$6:$A$332,0),MATCH(U$3,'Budget by Source'!$A$5:$I$5,0))</f>
        <v>899622</v>
      </c>
      <c r="V256" s="155">
        <f t="shared" si="10"/>
        <v>89962</v>
      </c>
      <c r="W256" s="155">
        <f t="shared" si="11"/>
        <v>899620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24819</v>
      </c>
      <c r="D257" s="22">
        <f>IF(Notes!$B$2="June",ROUND('Budget by Source'!D257/10,0)+Q257,ROUND('Budget by Source'!D257/10,0))</f>
        <v>87280</v>
      </c>
      <c r="E257" s="22">
        <f>IF(Notes!$B$2="June",ROUND('Budget by Source'!E257/10,0)+R257,ROUND('Budget by Source'!E257/10,0))</f>
        <v>10303</v>
      </c>
      <c r="F257" s="22">
        <f>IF(Notes!$B$2="June",ROUND('Budget by Source'!F257/10,0)+S257,ROUND('Budget by Source'!F257/10,0))</f>
        <v>10535</v>
      </c>
      <c r="G257" s="22">
        <f>IF(Notes!$B$2="June",ROUND('Budget by Source'!G257/10,0)+T257,ROUND('Budget by Source'!G257/10,0))</f>
        <v>48498</v>
      </c>
      <c r="H257" s="22">
        <f t="shared" si="9"/>
        <v>557366</v>
      </c>
      <c r="I257" s="22">
        <f>INDEX(Data[],MATCH($A257,Data[Dist],0),MATCH(I$5,Data[#Headers],0))</f>
        <v>738801</v>
      </c>
      <c r="K257" s="69">
        <f>INDEX('Payment Total'!$A$7:$H$333,MATCH('Payment by Source'!$A257,'Payment Total'!$A$7:$A$333,0),5)-I257</f>
        <v>0</v>
      </c>
      <c r="P257" s="157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-2</v>
      </c>
      <c r="Q257" s="157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-2</v>
      </c>
      <c r="R257" s="157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2</v>
      </c>
      <c r="S257" s="157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1</v>
      </c>
      <c r="T257" s="157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4</v>
      </c>
      <c r="U257" s="158">
        <f>INDEX('Budget by Source'!$A$6:$I$332,MATCH('Payment by Source'!$A257,'Budget by Source'!$A$6:$A$332,0),MATCH(U$3,'Budget by Source'!$A$5:$I$5,0))</f>
        <v>5595589</v>
      </c>
      <c r="V257" s="155">
        <f t="shared" si="10"/>
        <v>559559</v>
      </c>
      <c r="W257" s="155">
        <f t="shared" si="11"/>
        <v>5595590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3964</v>
      </c>
      <c r="D258" s="22">
        <f>IF(Notes!$B$2="June",ROUND('Budget by Source'!D258/10,0)+Q258,ROUND('Budget by Source'!D258/10,0))</f>
        <v>19772</v>
      </c>
      <c r="E258" s="22">
        <f>IF(Notes!$B$2="June",ROUND('Budget by Source'!E258/10,0)+R258,ROUND('Budget by Source'!E258/10,0))</f>
        <v>2235</v>
      </c>
      <c r="F258" s="22">
        <f>IF(Notes!$B$2="June",ROUND('Budget by Source'!F258/10,0)+S258,ROUND('Budget by Source'!F258/10,0))</f>
        <v>2181</v>
      </c>
      <c r="G258" s="22">
        <f>IF(Notes!$B$2="June",ROUND('Budget by Source'!G258/10,0)+T258,ROUND('Budget by Source'!G258/10,0))</f>
        <v>9095</v>
      </c>
      <c r="H258" s="22">
        <f t="shared" si="9"/>
        <v>113299</v>
      </c>
      <c r="I258" s="22">
        <f>INDEX(Data[],MATCH($A258,Data[Dist],0),MATCH(I$5,Data[#Headers],0))</f>
        <v>150546</v>
      </c>
      <c r="K258" s="69">
        <f>INDEX('Payment Total'!$A$7:$H$333,MATCH('Payment by Source'!$A258,'Payment Total'!$A$7:$A$333,0),5)-I258</f>
        <v>0</v>
      </c>
      <c r="P258" s="157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7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0</v>
      </c>
      <c r="R258" s="157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3</v>
      </c>
      <c r="S258" s="157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-2</v>
      </c>
      <c r="T258" s="157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-1</v>
      </c>
      <c r="U258" s="158">
        <f>INDEX('Budget by Source'!$A$6:$I$332,MATCH('Payment by Source'!$A258,'Budget by Source'!$A$6:$A$332,0),MATCH(U$3,'Budget by Source'!$A$5:$I$5,0))</f>
        <v>1137040</v>
      </c>
      <c r="V258" s="155">
        <f t="shared" si="10"/>
        <v>113704</v>
      </c>
      <c r="W258" s="155">
        <f t="shared" si="11"/>
        <v>1137040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18704</v>
      </c>
      <c r="D259" s="22">
        <f>IF(Notes!$B$2="June",ROUND('Budget by Source'!D259/10,0)+Q259,ROUND('Budget by Source'!D259/10,0))</f>
        <v>49490</v>
      </c>
      <c r="E259" s="22">
        <f>IF(Notes!$B$2="June",ROUND('Budget by Source'!E259/10,0)+R259,ROUND('Budget by Source'!E259/10,0))</f>
        <v>4678</v>
      </c>
      <c r="F259" s="22">
        <f>IF(Notes!$B$2="June",ROUND('Budget by Source'!F259/10,0)+S259,ROUND('Budget by Source'!F259/10,0))</f>
        <v>5673</v>
      </c>
      <c r="G259" s="22">
        <f>IF(Notes!$B$2="June",ROUND('Budget by Source'!G259/10,0)+T259,ROUND('Budget by Source'!G259/10,0))</f>
        <v>25367</v>
      </c>
      <c r="H259" s="22">
        <f t="shared" si="9"/>
        <v>300685</v>
      </c>
      <c r="I259" s="22">
        <f>INDEX(Data[],MATCH($A259,Data[Dist],0),MATCH(I$5,Data[#Headers],0))</f>
        <v>404597</v>
      </c>
      <c r="K259" s="69">
        <f>INDEX('Payment Total'!$A$7:$H$333,MATCH('Payment by Source'!$A259,'Payment Total'!$A$7:$A$333,0),5)-I259</f>
        <v>0</v>
      </c>
      <c r="P259" s="157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0</v>
      </c>
      <c r="Q259" s="157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-3</v>
      </c>
      <c r="R259" s="157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-2</v>
      </c>
      <c r="S259" s="157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3</v>
      </c>
      <c r="T259" s="157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-1</v>
      </c>
      <c r="U259" s="158">
        <f>INDEX('Budget by Source'!$A$6:$I$332,MATCH('Payment by Source'!$A259,'Budget by Source'!$A$6:$A$332,0),MATCH(U$3,'Budget by Source'!$A$5:$I$5,0))</f>
        <v>3018353</v>
      </c>
      <c r="V259" s="155">
        <f t="shared" si="10"/>
        <v>301835</v>
      </c>
      <c r="W259" s="155">
        <f t="shared" si="11"/>
        <v>3018350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28416</v>
      </c>
      <c r="D260" s="22">
        <f>IF(Notes!$B$2="June",ROUND('Budget by Source'!D260/10,0)+Q260,ROUND('Budget by Source'!D260/10,0))</f>
        <v>65736</v>
      </c>
      <c r="E260" s="22">
        <f>IF(Notes!$B$2="June",ROUND('Budget by Source'!E260/10,0)+R260,ROUND('Budget by Source'!E260/10,0))</f>
        <v>8146</v>
      </c>
      <c r="F260" s="22">
        <f>IF(Notes!$B$2="June",ROUND('Budget by Source'!F260/10,0)+S260,ROUND('Budget by Source'!F260/10,0))</f>
        <v>6984</v>
      </c>
      <c r="G260" s="22">
        <f>IF(Notes!$B$2="June",ROUND('Budget by Source'!G260/10,0)+T260,ROUND('Budget by Source'!G260/10,0))</f>
        <v>38258</v>
      </c>
      <c r="H260" s="22">
        <f t="shared" si="9"/>
        <v>575310</v>
      </c>
      <c r="I260" s="22">
        <f>INDEX(Data[],MATCH($A260,Data[Dist],0),MATCH(I$5,Data[#Headers],0))</f>
        <v>722850</v>
      </c>
      <c r="K260" s="69">
        <f>INDEX('Payment Total'!$A$7:$H$333,MATCH('Payment by Source'!$A260,'Payment Total'!$A$7:$A$333,0),5)-I260</f>
        <v>0</v>
      </c>
      <c r="P260" s="157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-3</v>
      </c>
      <c r="Q260" s="157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7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-5</v>
      </c>
      <c r="S260" s="157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-3</v>
      </c>
      <c r="T260" s="157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1</v>
      </c>
      <c r="U260" s="158">
        <f>INDEX('Budget by Source'!$A$6:$I$332,MATCH('Payment by Source'!$A260,'Budget by Source'!$A$6:$A$332,0),MATCH(U$3,'Budget by Source'!$A$5:$I$5,0))</f>
        <v>5770463</v>
      </c>
      <c r="V260" s="155">
        <f t="shared" si="10"/>
        <v>577046</v>
      </c>
      <c r="W260" s="155">
        <f t="shared" si="11"/>
        <v>5770460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21582</v>
      </c>
      <c r="D261" s="22">
        <f>IF(Notes!$B$2="June",ROUND('Budget by Source'!D261/10,0)+Q261,ROUND('Budget by Source'!D261/10,0))</f>
        <v>67410</v>
      </c>
      <c r="E261" s="22">
        <f>IF(Notes!$B$2="June",ROUND('Budget by Source'!E261/10,0)+R261,ROUND('Budget by Source'!E261/10,0))</f>
        <v>8554</v>
      </c>
      <c r="F261" s="22">
        <f>IF(Notes!$B$2="June",ROUND('Budget by Source'!F261/10,0)+S261,ROUND('Budget by Source'!F261/10,0))</f>
        <v>7306</v>
      </c>
      <c r="G261" s="22">
        <f>IF(Notes!$B$2="June",ROUND('Budget by Source'!G261/10,0)+T261,ROUND('Budget by Source'!G261/10,0))</f>
        <v>36080</v>
      </c>
      <c r="H261" s="22">
        <f t="shared" si="9"/>
        <v>526588</v>
      </c>
      <c r="I261" s="22">
        <f>INDEX(Data[],MATCH($A261,Data[Dist],0),MATCH(I$5,Data[#Headers],0))</f>
        <v>667520</v>
      </c>
      <c r="K261" s="69">
        <f>INDEX('Payment Total'!$A$7:$H$333,MATCH('Payment by Source'!$A261,'Payment Total'!$A$7:$A$333,0),5)-I261</f>
        <v>0</v>
      </c>
      <c r="P261" s="157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7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-5</v>
      </c>
      <c r="R261" s="157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0</v>
      </c>
      <c r="S261" s="157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1</v>
      </c>
      <c r="T261" s="157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-2</v>
      </c>
      <c r="U261" s="158">
        <f>INDEX('Budget by Source'!$A$6:$I$332,MATCH('Payment by Source'!$A261,'Budget by Source'!$A$6:$A$332,0),MATCH(U$3,'Budget by Source'!$A$5:$I$5,0))</f>
        <v>5281990</v>
      </c>
      <c r="V261" s="155">
        <f t="shared" si="10"/>
        <v>528199</v>
      </c>
      <c r="W261" s="155">
        <f t="shared" si="11"/>
        <v>5281990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16906</v>
      </c>
      <c r="D262" s="22">
        <f>IF(Notes!$B$2="June",ROUND('Budget by Source'!D262/10,0)+Q262,ROUND('Budget by Source'!D262/10,0))</f>
        <v>46564</v>
      </c>
      <c r="E262" s="22">
        <f>IF(Notes!$B$2="June",ROUND('Budget by Source'!E262/10,0)+R262,ROUND('Budget by Source'!E262/10,0))</f>
        <v>5451</v>
      </c>
      <c r="F262" s="22">
        <f>IF(Notes!$B$2="June",ROUND('Budget by Source'!F262/10,0)+S262,ROUND('Budget by Source'!F262/10,0))</f>
        <v>4764</v>
      </c>
      <c r="G262" s="22">
        <f>IF(Notes!$B$2="June",ROUND('Budget by Source'!G262/10,0)+T262,ROUND('Budget by Source'!G262/10,0))</f>
        <v>25066</v>
      </c>
      <c r="H262" s="22">
        <f t="shared" si="9"/>
        <v>320073</v>
      </c>
      <c r="I262" s="22">
        <f>INDEX(Data[],MATCH($A262,Data[Dist],0),MATCH(I$5,Data[#Headers],0))</f>
        <v>418824</v>
      </c>
      <c r="K262" s="69">
        <f>INDEX('Payment Total'!$A$7:$H$333,MATCH('Payment by Source'!$A262,'Payment Total'!$A$7:$A$333,0),5)-I262</f>
        <v>0</v>
      </c>
      <c r="P262" s="157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-4</v>
      </c>
      <c r="Q262" s="157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7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-2</v>
      </c>
      <c r="S262" s="157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0</v>
      </c>
      <c r="T262" s="157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-4</v>
      </c>
      <c r="U262" s="158">
        <f>INDEX('Budget by Source'!$A$6:$I$332,MATCH('Payment by Source'!$A262,'Budget by Source'!$A$6:$A$332,0),MATCH(U$3,'Budget by Source'!$A$5:$I$5,0))</f>
        <v>3211960</v>
      </c>
      <c r="V262" s="155">
        <f t="shared" si="10"/>
        <v>321196</v>
      </c>
      <c r="W262" s="155">
        <f t="shared" si="11"/>
        <v>3211960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8273</v>
      </c>
      <c r="D263" s="22">
        <f>IF(Notes!$B$2="June",ROUND('Budget by Source'!D263/10,0)+Q263,ROUND('Budget by Source'!D263/10,0))</f>
        <v>25564</v>
      </c>
      <c r="E263" s="22">
        <f>IF(Notes!$B$2="June",ROUND('Budget by Source'!E263/10,0)+R263,ROUND('Budget by Source'!E263/10,0))</f>
        <v>2885</v>
      </c>
      <c r="F263" s="22">
        <f>IF(Notes!$B$2="June",ROUND('Budget by Source'!F263/10,0)+S263,ROUND('Budget by Source'!F263/10,0))</f>
        <v>2708</v>
      </c>
      <c r="G263" s="22">
        <f>IF(Notes!$B$2="June",ROUND('Budget by Source'!G263/10,0)+T263,ROUND('Budget by Source'!G263/10,0))</f>
        <v>12909</v>
      </c>
      <c r="H263" s="22">
        <f t="shared" ref="H263:H326" si="12">I263-SUM(C263:G263)</f>
        <v>177375</v>
      </c>
      <c r="I263" s="22">
        <f>INDEX(Data[],MATCH($A263,Data[Dist],0),MATCH(I$5,Data[#Headers],0))</f>
        <v>229714</v>
      </c>
      <c r="K263" s="69">
        <f>INDEX('Payment Total'!$A$7:$H$333,MATCH('Payment by Source'!$A263,'Payment Total'!$A$7:$A$333,0),5)-I263</f>
        <v>0</v>
      </c>
      <c r="P263" s="157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0</v>
      </c>
      <c r="Q263" s="157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-5</v>
      </c>
      <c r="R263" s="157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2</v>
      </c>
      <c r="S263" s="157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0</v>
      </c>
      <c r="T263" s="157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-4</v>
      </c>
      <c r="U263" s="158">
        <f>INDEX('Budget by Source'!$A$6:$I$332,MATCH('Payment by Source'!$A263,'Budget by Source'!$A$6:$A$332,0),MATCH(U$3,'Budget by Source'!$A$5:$I$5,0))</f>
        <v>1779620</v>
      </c>
      <c r="V263" s="155">
        <f t="shared" ref="V263:V326" si="13">ROUND(U263/10,0)</f>
        <v>177962</v>
      </c>
      <c r="W263" s="155">
        <f t="shared" ref="W263:W326" si="14">V263*10</f>
        <v>1779620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7913</v>
      </c>
      <c r="D264" s="22">
        <f>IF(Notes!$B$2="June",ROUND('Budget by Source'!D264/10,0)+Q264,ROUND('Budget by Source'!D264/10,0))</f>
        <v>36490</v>
      </c>
      <c r="E264" s="22">
        <f>IF(Notes!$B$2="June",ROUND('Budget by Source'!E264/10,0)+R264,ROUND('Budget by Source'!E264/10,0))</f>
        <v>3999</v>
      </c>
      <c r="F264" s="22">
        <f>IF(Notes!$B$2="June",ROUND('Budget by Source'!F264/10,0)+S264,ROUND('Budget by Source'!F264/10,0))</f>
        <v>3835</v>
      </c>
      <c r="G264" s="22">
        <f>IF(Notes!$B$2="June",ROUND('Budget by Source'!G264/10,0)+T264,ROUND('Budget by Source'!G264/10,0))</f>
        <v>19213</v>
      </c>
      <c r="H264" s="22">
        <f t="shared" si="12"/>
        <v>288148</v>
      </c>
      <c r="I264" s="22">
        <f>INDEX(Data[],MATCH($A264,Data[Dist],0),MATCH(I$5,Data[#Headers],0))</f>
        <v>359598</v>
      </c>
      <c r="K264" s="69">
        <f>INDEX('Payment Total'!$A$7:$H$333,MATCH('Payment by Source'!$A264,'Payment Total'!$A$7:$A$333,0),5)-I264</f>
        <v>0</v>
      </c>
      <c r="P264" s="157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2</v>
      </c>
      <c r="Q264" s="157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4</v>
      </c>
      <c r="R264" s="157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-3</v>
      </c>
      <c r="S264" s="157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2</v>
      </c>
      <c r="T264" s="157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-2</v>
      </c>
      <c r="U264" s="158">
        <f>INDEX('Budget by Source'!$A$6:$I$332,MATCH('Payment by Source'!$A264,'Budget by Source'!$A$6:$A$332,0),MATCH(U$3,'Budget by Source'!$A$5:$I$5,0))</f>
        <v>2890196</v>
      </c>
      <c r="V264" s="155">
        <f t="shared" si="13"/>
        <v>289020</v>
      </c>
      <c r="W264" s="155">
        <f t="shared" si="14"/>
        <v>2890200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42444</v>
      </c>
      <c r="D265" s="22">
        <f>IF(Notes!$B$2="June",ROUND('Budget by Source'!D265/10,0)+Q265,ROUND('Budget by Source'!D265/10,0))</f>
        <v>88762</v>
      </c>
      <c r="E265" s="22">
        <f>IF(Notes!$B$2="June",ROUND('Budget by Source'!E265/10,0)+R265,ROUND('Budget by Source'!E265/10,0))</f>
        <v>11936</v>
      </c>
      <c r="F265" s="22">
        <f>IF(Notes!$B$2="June",ROUND('Budget by Source'!F265/10,0)+S265,ROUND('Budget by Source'!F265/10,0))</f>
        <v>11329</v>
      </c>
      <c r="G265" s="22">
        <f>IF(Notes!$B$2="June",ROUND('Budget by Source'!G265/10,0)+T265,ROUND('Budget by Source'!G265/10,0))</f>
        <v>49526</v>
      </c>
      <c r="H265" s="22">
        <f t="shared" si="12"/>
        <v>723752</v>
      </c>
      <c r="I265" s="22">
        <f>INDEX(Data[],MATCH($A265,Data[Dist],0),MATCH(I$5,Data[#Headers],0))</f>
        <v>927749</v>
      </c>
      <c r="K265" s="69">
        <f>INDEX('Payment Total'!$A$7:$H$333,MATCH('Payment by Source'!$A265,'Payment Total'!$A$7:$A$333,0),5)-I265</f>
        <v>0</v>
      </c>
      <c r="P265" s="157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-4</v>
      </c>
      <c r="Q265" s="157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-5</v>
      </c>
      <c r="R265" s="157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4</v>
      </c>
      <c r="S265" s="157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1</v>
      </c>
      <c r="T265" s="157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1</v>
      </c>
      <c r="U265" s="158">
        <f>INDEX('Budget by Source'!$A$6:$I$332,MATCH('Payment by Source'!$A265,'Budget by Source'!$A$6:$A$332,0),MATCH(U$3,'Budget by Source'!$A$5:$I$5,0))</f>
        <v>7259985</v>
      </c>
      <c r="V265" s="155">
        <f t="shared" si="13"/>
        <v>725999</v>
      </c>
      <c r="W265" s="155">
        <f t="shared" si="14"/>
        <v>7259990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230186</v>
      </c>
      <c r="D266" s="22">
        <f>IF(Notes!$B$2="June",ROUND('Budget by Source'!D266/10,0)+Q266,ROUND('Budget by Source'!D266/10,0))</f>
        <v>894068</v>
      </c>
      <c r="E266" s="22">
        <f>IF(Notes!$B$2="June",ROUND('Budget by Source'!E266/10,0)+R266,ROUND('Budget by Source'!E266/10,0))</f>
        <v>131974</v>
      </c>
      <c r="F266" s="22">
        <f>IF(Notes!$B$2="June",ROUND('Budget by Source'!F266/10,0)+S266,ROUND('Budget by Source'!F266/10,0))</f>
        <v>106255</v>
      </c>
      <c r="G266" s="22">
        <f>IF(Notes!$B$2="June",ROUND('Budget by Source'!G266/10,0)+T266,ROUND('Budget by Source'!G266/10,0))</f>
        <v>517154</v>
      </c>
      <c r="H266" s="22">
        <f t="shared" si="12"/>
        <v>10153302</v>
      </c>
      <c r="I266" s="22">
        <f>INDEX(Data[],MATCH($A266,Data[Dist],0),MATCH(I$5,Data[#Headers],0))</f>
        <v>12032939</v>
      </c>
      <c r="K266" s="69">
        <f>INDEX('Payment Total'!$A$7:$H$333,MATCH('Payment by Source'!$A266,'Payment Total'!$A$7:$A$333,0),5)-I266</f>
        <v>0</v>
      </c>
      <c r="P266" s="157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-3</v>
      </c>
      <c r="Q266" s="157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-3</v>
      </c>
      <c r="R266" s="157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-2</v>
      </c>
      <c r="S266" s="157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-4</v>
      </c>
      <c r="T266" s="157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2</v>
      </c>
      <c r="U266" s="158">
        <f>INDEX('Budget by Source'!$A$6:$I$332,MATCH('Payment by Source'!$A266,'Budget by Source'!$A$6:$A$332,0),MATCH(U$3,'Budget by Source'!$A$5:$I$5,0))</f>
        <v>101767641</v>
      </c>
      <c r="V266" s="155">
        <f t="shared" si="13"/>
        <v>10176764</v>
      </c>
      <c r="W266" s="155">
        <f t="shared" si="14"/>
        <v>101767640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7913</v>
      </c>
      <c r="D267" s="22">
        <f>IF(Notes!$B$2="June",ROUND('Budget by Source'!D267/10,0)+Q267,ROUND('Budget by Source'!D267/10,0))</f>
        <v>34949</v>
      </c>
      <c r="E267" s="22">
        <f>IF(Notes!$B$2="June",ROUND('Budget by Source'!E267/10,0)+R267,ROUND('Budget by Source'!E267/10,0))</f>
        <v>3663</v>
      </c>
      <c r="F267" s="22">
        <f>IF(Notes!$B$2="June",ROUND('Budget by Source'!F267/10,0)+S267,ROUND('Budget by Source'!F267/10,0))</f>
        <v>4001</v>
      </c>
      <c r="G267" s="22">
        <f>IF(Notes!$B$2="June",ROUND('Budget by Source'!G267/10,0)+T267,ROUND('Budget by Source'!G267/10,0))</f>
        <v>16410</v>
      </c>
      <c r="H267" s="22">
        <f t="shared" si="12"/>
        <v>168634</v>
      </c>
      <c r="I267" s="22">
        <f>INDEX(Data[],MATCH($A267,Data[Dist],0),MATCH(I$5,Data[#Headers],0))</f>
        <v>235570</v>
      </c>
      <c r="K267" s="69">
        <f>INDEX('Payment Total'!$A$7:$H$333,MATCH('Payment by Source'!$A267,'Payment Total'!$A$7:$A$333,0),5)-I267</f>
        <v>0</v>
      </c>
      <c r="P267" s="157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2</v>
      </c>
      <c r="Q267" s="157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-3</v>
      </c>
      <c r="R267" s="157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0</v>
      </c>
      <c r="S267" s="157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4</v>
      </c>
      <c r="T267" s="157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8">
        <f>INDEX('Budget by Source'!$A$6:$I$332,MATCH('Payment by Source'!$A267,'Budget by Source'!$A$6:$A$332,0),MATCH(U$3,'Budget by Source'!$A$5:$I$5,0))</f>
        <v>1823269</v>
      </c>
      <c r="V267" s="155">
        <f t="shared" si="13"/>
        <v>182327</v>
      </c>
      <c r="W267" s="155">
        <f t="shared" si="14"/>
        <v>1823270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15826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377125</v>
      </c>
      <c r="I268" s="22">
        <f>INDEX(Data[],MATCH($A268,Data[Dist],0),MATCH(I$5,Data[#Headers],0))</f>
        <v>502590</v>
      </c>
      <c r="K268" s="69">
        <f>INDEX('Payment Total'!$A$7:$H$333,MATCH('Payment by Source'!$A268,'Payment Total'!$A$7:$A$333,0),5)-I268</f>
        <v>0</v>
      </c>
      <c r="P268" s="157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4</v>
      </c>
      <c r="Q268" s="157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7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7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7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8">
        <f>INDEX('Budget by Source'!$A$6:$I$332,MATCH('Payment by Source'!$A268,'Budget by Source'!$A$6:$A$332,0),MATCH(U$3,'Budget by Source'!$A$5:$I$5,0))</f>
        <v>3785981</v>
      </c>
      <c r="V268" s="155">
        <f t="shared" si="13"/>
        <v>378598</v>
      </c>
      <c r="W268" s="155">
        <f t="shared" si="14"/>
        <v>3785980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15467</v>
      </c>
      <c r="D269" s="22">
        <f>IF(Notes!$B$2="June",ROUND('Budget by Source'!D269/10,0)+Q269,ROUND('Budget by Source'!D269/10,0))</f>
        <v>84133</v>
      </c>
      <c r="E269" s="22">
        <f>IF(Notes!$B$2="June",ROUND('Budget by Source'!E269/10,0)+R269,ROUND('Budget by Source'!E269/10,0))</f>
        <v>8107</v>
      </c>
      <c r="F269" s="22">
        <f>IF(Notes!$B$2="June",ROUND('Budget by Source'!F269/10,0)+S269,ROUND('Budget by Source'!F269/10,0))</f>
        <v>8759</v>
      </c>
      <c r="G269" s="22">
        <f>IF(Notes!$B$2="June",ROUND('Budget by Source'!G269/10,0)+T269,ROUND('Budget by Source'!G269/10,0))</f>
        <v>49362</v>
      </c>
      <c r="H269" s="22">
        <f t="shared" si="12"/>
        <v>668878</v>
      </c>
      <c r="I269" s="22">
        <f>INDEX(Data[],MATCH($A269,Data[Dist],0),MATCH(I$5,Data[#Headers],0))</f>
        <v>834706</v>
      </c>
      <c r="K269" s="69">
        <f>INDEX('Payment Total'!$A$7:$H$333,MATCH('Payment by Source'!$A269,'Payment Total'!$A$7:$A$333,0),5)-I269</f>
        <v>0</v>
      </c>
      <c r="P269" s="157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-2</v>
      </c>
      <c r="Q269" s="157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3</v>
      </c>
      <c r="R269" s="157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0</v>
      </c>
      <c r="S269" s="157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-1</v>
      </c>
      <c r="T269" s="157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0</v>
      </c>
      <c r="U269" s="158">
        <f>INDEX('Budget by Source'!$A$6:$I$332,MATCH('Payment by Source'!$A269,'Budget by Source'!$A$6:$A$332,0),MATCH(U$3,'Budget by Source'!$A$5:$I$5,0))</f>
        <v>6711172</v>
      </c>
      <c r="V269" s="155">
        <f t="shared" si="13"/>
        <v>671117</v>
      </c>
      <c r="W269" s="155">
        <f t="shared" si="14"/>
        <v>6711170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7913</v>
      </c>
      <c r="D270" s="22">
        <f>IF(Notes!$B$2="June",ROUND('Budget by Source'!D270/10,0)+Q270,ROUND('Budget by Source'!D270/10,0))</f>
        <v>33917</v>
      </c>
      <c r="E270" s="22">
        <f>IF(Notes!$B$2="June",ROUND('Budget by Source'!E270/10,0)+R270,ROUND('Budget by Source'!E270/10,0))</f>
        <v>3496</v>
      </c>
      <c r="F270" s="22">
        <f>IF(Notes!$B$2="June",ROUND('Budget by Source'!F270/10,0)+S270,ROUND('Budget by Source'!F270/10,0))</f>
        <v>3598</v>
      </c>
      <c r="G270" s="22">
        <f>IF(Notes!$B$2="June",ROUND('Budget by Source'!G270/10,0)+T270,ROUND('Budget by Source'!G270/10,0))</f>
        <v>18738</v>
      </c>
      <c r="H270" s="22">
        <f t="shared" si="12"/>
        <v>312669</v>
      </c>
      <c r="I270" s="22">
        <f>INDEX(Data[],MATCH($A270,Data[Dist],0),MATCH(I$5,Data[#Headers],0))</f>
        <v>380331</v>
      </c>
      <c r="K270" s="69">
        <f>INDEX('Payment Total'!$A$7:$H$333,MATCH('Payment by Source'!$A270,'Payment Total'!$A$7:$A$333,0),5)-I270</f>
        <v>0</v>
      </c>
      <c r="P270" s="157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2</v>
      </c>
      <c r="Q270" s="157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2</v>
      </c>
      <c r="R270" s="157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7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7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8">
        <f>INDEX('Budget by Source'!$A$6:$I$332,MATCH('Payment by Source'!$A270,'Budget by Source'!$A$6:$A$332,0),MATCH(U$3,'Budget by Source'!$A$5:$I$5,0))</f>
        <v>3135185</v>
      </c>
      <c r="V270" s="155">
        <f t="shared" si="13"/>
        <v>313519</v>
      </c>
      <c r="W270" s="155">
        <f t="shared" si="14"/>
        <v>3135190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13668</v>
      </c>
      <c r="D271" s="22">
        <f>IF(Notes!$B$2="June",ROUND('Budget by Source'!D271/10,0)+Q271,ROUND('Budget by Source'!D271/10,0))</f>
        <v>42885</v>
      </c>
      <c r="E271" s="22">
        <f>IF(Notes!$B$2="June",ROUND('Budget by Source'!E271/10,0)+R271,ROUND('Budget by Source'!E271/10,0))</f>
        <v>4845</v>
      </c>
      <c r="F271" s="22">
        <f>IF(Notes!$B$2="June",ROUND('Budget by Source'!F271/10,0)+S271,ROUND('Budget by Source'!F271/10,0))</f>
        <v>5062</v>
      </c>
      <c r="G271" s="22">
        <f>IF(Notes!$B$2="June",ROUND('Budget by Source'!G271/10,0)+T271,ROUND('Budget by Source'!G271/10,0))</f>
        <v>21797</v>
      </c>
      <c r="H271" s="22">
        <f t="shared" si="12"/>
        <v>252715</v>
      </c>
      <c r="I271" s="22">
        <f>INDEX(Data[],MATCH($A271,Data[Dist],0),MATCH(I$5,Data[#Headers],0))</f>
        <v>340972</v>
      </c>
      <c r="K271" s="69">
        <f>INDEX('Payment Total'!$A$7:$H$333,MATCH('Payment by Source'!$A271,'Payment Total'!$A$7:$A$333,0),5)-I271</f>
        <v>0</v>
      </c>
      <c r="P271" s="157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3</v>
      </c>
      <c r="Q271" s="157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2</v>
      </c>
      <c r="R271" s="157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4</v>
      </c>
      <c r="S271" s="157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1</v>
      </c>
      <c r="T271" s="157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-5</v>
      </c>
      <c r="U271" s="158">
        <f>INDEX('Budget by Source'!$A$6:$I$332,MATCH('Payment by Source'!$A271,'Budget by Source'!$A$6:$A$332,0),MATCH(U$3,'Budget by Source'!$A$5:$I$5,0))</f>
        <v>2536972</v>
      </c>
      <c r="V271" s="155">
        <f t="shared" si="13"/>
        <v>253697</v>
      </c>
      <c r="W271" s="155">
        <f t="shared" si="14"/>
        <v>2536970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5755</v>
      </c>
      <c r="D272" s="22">
        <f>IF(Notes!$B$2="June",ROUND('Budget by Source'!D272/10,0)+Q272,ROUND('Budget by Source'!D272/10,0))</f>
        <v>35803</v>
      </c>
      <c r="E272" s="22">
        <f>IF(Notes!$B$2="June",ROUND('Budget by Source'!E272/10,0)+R272,ROUND('Budget by Source'!E272/10,0))</f>
        <v>4339</v>
      </c>
      <c r="F272" s="22">
        <f>IF(Notes!$B$2="June",ROUND('Budget by Source'!F272/10,0)+S272,ROUND('Budget by Source'!F272/10,0))</f>
        <v>4159</v>
      </c>
      <c r="G272" s="22">
        <f>IF(Notes!$B$2="June",ROUND('Budget by Source'!G272/10,0)+T272,ROUND('Budget by Source'!G272/10,0))</f>
        <v>18295</v>
      </c>
      <c r="H272" s="22">
        <f t="shared" si="12"/>
        <v>205791</v>
      </c>
      <c r="I272" s="22">
        <f>INDEX(Data[],MATCH($A272,Data[Dist],0),MATCH(I$5,Data[#Headers],0))</f>
        <v>274142</v>
      </c>
      <c r="K272" s="69">
        <f>INDEX('Payment Total'!$A$7:$H$333,MATCH('Payment by Source'!$A272,'Payment Total'!$A$7:$A$333,0),5)-I272</f>
        <v>0</v>
      </c>
      <c r="P272" s="157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1</v>
      </c>
      <c r="Q272" s="157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3</v>
      </c>
      <c r="R272" s="157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-3</v>
      </c>
      <c r="S272" s="157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-1</v>
      </c>
      <c r="T272" s="157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-2</v>
      </c>
      <c r="U272" s="158">
        <f>INDEX('Budget by Source'!$A$6:$I$332,MATCH('Payment by Source'!$A272,'Budget by Source'!$A$6:$A$332,0),MATCH(U$3,'Budget by Source'!$A$5:$I$5,0))</f>
        <v>2066212</v>
      </c>
      <c r="V272" s="155">
        <f t="shared" si="13"/>
        <v>206621</v>
      </c>
      <c r="W272" s="155">
        <f t="shared" si="14"/>
        <v>2066210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1799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112633</v>
      </c>
      <c r="I273" s="22">
        <f>INDEX(Data[],MATCH($A273,Data[Dist],0),MATCH(I$5,Data[#Headers],0))</f>
        <v>140085</v>
      </c>
      <c r="K273" s="69">
        <f>INDEX('Payment Total'!$A$7:$H$333,MATCH('Payment by Source'!$A273,'Payment Total'!$A$7:$A$333,0),5)-I273</f>
        <v>0</v>
      </c>
      <c r="P273" s="157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-5</v>
      </c>
      <c r="Q273" s="157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7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7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7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8">
        <f>INDEX('Budget by Source'!$A$6:$I$332,MATCH('Payment by Source'!$A273,'Budget by Source'!$A$6:$A$332,0),MATCH(U$3,'Budget by Source'!$A$5:$I$5,0))</f>
        <v>1129722</v>
      </c>
      <c r="V273" s="155">
        <f t="shared" si="13"/>
        <v>112972</v>
      </c>
      <c r="W273" s="155">
        <f t="shared" si="14"/>
        <v>1129720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29135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953612</v>
      </c>
      <c r="I274" s="22">
        <f>INDEX(Data[],MATCH($A274,Data[Dist],0),MATCH(I$5,Data[#Headers],0))</f>
        <v>1154889</v>
      </c>
      <c r="K274" s="69">
        <f>INDEX('Payment Total'!$A$7:$H$333,MATCH('Payment by Source'!$A274,'Payment Total'!$A$7:$A$333,0),5)-I274</f>
        <v>0</v>
      </c>
      <c r="P274" s="157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1</v>
      </c>
      <c r="Q274" s="157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7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7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7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8">
        <f>INDEX('Budget by Source'!$A$6:$I$332,MATCH('Payment by Source'!$A274,'Budget by Source'!$A$6:$A$332,0),MATCH(U$3,'Budget by Source'!$A$5:$I$5,0))</f>
        <v>9560058</v>
      </c>
      <c r="V274" s="155">
        <f t="shared" si="13"/>
        <v>956006</v>
      </c>
      <c r="W274" s="155">
        <f t="shared" si="14"/>
        <v>9560060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16546</v>
      </c>
      <c r="D275" s="22">
        <f>IF(Notes!$B$2="June",ROUND('Budget by Source'!D275/10,0)+Q275,ROUND('Budget by Source'!D275/10,0))</f>
        <v>32762</v>
      </c>
      <c r="E275" s="22">
        <f>IF(Notes!$B$2="June",ROUND('Budget by Source'!E275/10,0)+R275,ROUND('Budget by Source'!E275/10,0))</f>
        <v>2910</v>
      </c>
      <c r="F275" s="22">
        <f>IF(Notes!$B$2="June",ROUND('Budget by Source'!F275/10,0)+S275,ROUND('Budget by Source'!F275/10,0))</f>
        <v>3769</v>
      </c>
      <c r="G275" s="22">
        <f>IF(Notes!$B$2="June",ROUND('Budget by Source'!G275/10,0)+T275,ROUND('Budget by Source'!G275/10,0))</f>
        <v>17852</v>
      </c>
      <c r="H275" s="22">
        <f t="shared" si="12"/>
        <v>254468</v>
      </c>
      <c r="I275" s="22">
        <f>INDEX(Data[],MATCH($A275,Data[Dist],0),MATCH(I$5,Data[#Headers],0))</f>
        <v>328307</v>
      </c>
      <c r="K275" s="69">
        <f>INDEX('Payment Total'!$A$7:$H$333,MATCH('Payment by Source'!$A275,'Payment Total'!$A$7:$A$333,0),5)-I275</f>
        <v>0</v>
      </c>
      <c r="P275" s="157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-2</v>
      </c>
      <c r="Q275" s="157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1</v>
      </c>
      <c r="R275" s="157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7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-5</v>
      </c>
      <c r="T275" s="157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4</v>
      </c>
      <c r="U275" s="158">
        <f>INDEX('Budget by Source'!$A$6:$I$332,MATCH('Payment by Source'!$A275,'Budget by Source'!$A$6:$A$332,0),MATCH(U$3,'Budget by Source'!$A$5:$I$5,0))</f>
        <v>2552709</v>
      </c>
      <c r="V275" s="155">
        <f t="shared" si="13"/>
        <v>255271</v>
      </c>
      <c r="W275" s="155">
        <f t="shared" si="14"/>
        <v>2552710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91017</v>
      </c>
      <c r="D276" s="22">
        <f>IF(Notes!$B$2="June",ROUND('Budget by Source'!D276/10,0)+Q276,ROUND('Budget by Source'!D276/10,0))</f>
        <v>405128</v>
      </c>
      <c r="E276" s="22">
        <f>IF(Notes!$B$2="June",ROUND('Budget by Source'!E276/10,0)+R276,ROUND('Budget by Source'!E276/10,0))</f>
        <v>46287</v>
      </c>
      <c r="F276" s="22">
        <f>IF(Notes!$B$2="June",ROUND('Budget by Source'!F276/10,0)+S276,ROUND('Budget by Source'!F276/10,0))</f>
        <v>46349</v>
      </c>
      <c r="G276" s="22">
        <f>IF(Notes!$B$2="June",ROUND('Budget by Source'!G276/10,0)+T276,ROUND('Budget by Source'!G276/10,0))</f>
        <v>241225</v>
      </c>
      <c r="H276" s="22">
        <f t="shared" si="12"/>
        <v>3906595</v>
      </c>
      <c r="I276" s="22">
        <f>INDEX(Data[],MATCH($A276,Data[Dist],0),MATCH(I$5,Data[#Headers],0))</f>
        <v>4736601</v>
      </c>
      <c r="K276" s="69">
        <f>INDEX('Payment Total'!$A$7:$H$333,MATCH('Payment by Source'!$A276,'Payment Total'!$A$7:$A$333,0),5)-I276</f>
        <v>0</v>
      </c>
      <c r="P276" s="157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7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1</v>
      </c>
      <c r="R276" s="157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-5</v>
      </c>
      <c r="S276" s="157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-3</v>
      </c>
      <c r="T276" s="157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-2</v>
      </c>
      <c r="U276" s="158">
        <f>INDEX('Budget by Source'!$A$6:$I$332,MATCH('Payment by Source'!$A276,'Budget by Source'!$A$6:$A$332,0),MATCH(U$3,'Budget by Source'!$A$5:$I$5,0))</f>
        <v>39175393</v>
      </c>
      <c r="V276" s="155">
        <f t="shared" si="13"/>
        <v>3917539</v>
      </c>
      <c r="W276" s="155">
        <f t="shared" si="14"/>
        <v>39175390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56112</v>
      </c>
      <c r="D277" s="22">
        <f>IF(Notes!$B$2="June",ROUND('Budget by Source'!D277/10,0)+Q277,ROUND('Budget by Source'!D277/10,0))</f>
        <v>123679</v>
      </c>
      <c r="E277" s="22">
        <f>IF(Notes!$B$2="June",ROUND('Budget by Source'!E277/10,0)+R277,ROUND('Budget by Source'!E277/10,0))</f>
        <v>14692</v>
      </c>
      <c r="F277" s="22">
        <f>IF(Notes!$B$2="June",ROUND('Budget by Source'!F277/10,0)+S277,ROUND('Budget by Source'!F277/10,0))</f>
        <v>14885</v>
      </c>
      <c r="G277" s="22">
        <f>IF(Notes!$B$2="June",ROUND('Budget by Source'!G277/10,0)+T277,ROUND('Budget by Source'!G277/10,0))</f>
        <v>68718</v>
      </c>
      <c r="H277" s="22">
        <f t="shared" si="12"/>
        <v>1081418</v>
      </c>
      <c r="I277" s="22">
        <f>INDEX(Data[],MATCH($A277,Data[Dist],0),MATCH(I$5,Data[#Headers],0))</f>
        <v>1359504</v>
      </c>
      <c r="K277" s="69">
        <f>INDEX('Payment Total'!$A$7:$H$333,MATCH('Payment by Source'!$A277,'Payment Total'!$A$7:$A$333,0),5)-I277</f>
        <v>0</v>
      </c>
      <c r="P277" s="157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-1</v>
      </c>
      <c r="Q277" s="157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3</v>
      </c>
      <c r="R277" s="157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-3</v>
      </c>
      <c r="S277" s="157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7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8">
        <f>INDEX('Budget by Source'!$A$6:$I$332,MATCH('Payment by Source'!$A277,'Budget by Source'!$A$6:$A$332,0),MATCH(U$3,'Budget by Source'!$A$5:$I$5,0))</f>
        <v>10845363</v>
      </c>
      <c r="V277" s="155">
        <f t="shared" si="13"/>
        <v>1084536</v>
      </c>
      <c r="W277" s="155">
        <f t="shared" si="14"/>
        <v>10845360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24819</v>
      </c>
      <c r="D278" s="22">
        <f>IF(Notes!$B$2="June",ROUND('Budget by Source'!D278/10,0)+Q278,ROUND('Budget by Source'!D278/10,0))</f>
        <v>72397</v>
      </c>
      <c r="E278" s="22">
        <f>IF(Notes!$B$2="June",ROUND('Budget by Source'!E278/10,0)+R278,ROUND('Budget by Source'!E278/10,0))</f>
        <v>8248</v>
      </c>
      <c r="F278" s="22">
        <f>IF(Notes!$B$2="June",ROUND('Budget by Source'!F278/10,0)+S278,ROUND('Budget by Source'!F278/10,0))</f>
        <v>8565</v>
      </c>
      <c r="G278" s="22">
        <f>IF(Notes!$B$2="June",ROUND('Budget by Source'!G278/10,0)+T278,ROUND('Budget by Source'!G278/10,0))</f>
        <v>40562</v>
      </c>
      <c r="H278" s="22">
        <f t="shared" si="12"/>
        <v>116013</v>
      </c>
      <c r="I278" s="22">
        <f>INDEX(Data[],MATCH($A278,Data[Dist],0),MATCH(I$5,Data[#Headers],0))</f>
        <v>270604</v>
      </c>
      <c r="K278" s="69">
        <f>INDEX('Payment Total'!$A$7:$H$333,MATCH('Payment by Source'!$A278,'Payment Total'!$A$7:$A$333,0),5)-I278</f>
        <v>0</v>
      </c>
      <c r="P278" s="157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-2</v>
      </c>
      <c r="Q278" s="157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2</v>
      </c>
      <c r="R278" s="157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-1</v>
      </c>
      <c r="S278" s="157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7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-1</v>
      </c>
      <c r="U278" s="158">
        <f>INDEX('Budget by Source'!$A$6:$I$332,MATCH('Payment by Source'!$A278,'Budget by Source'!$A$6:$A$332,0),MATCH(U$3,'Budget by Source'!$A$5:$I$5,0))</f>
        <v>1178531</v>
      </c>
      <c r="V278" s="155">
        <f t="shared" si="13"/>
        <v>117853</v>
      </c>
      <c r="W278" s="155">
        <f t="shared" si="14"/>
        <v>1178530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8992</v>
      </c>
      <c r="D279" s="22">
        <f>IF(Notes!$B$2="June",ROUND('Budget by Source'!D279/10,0)+Q279,ROUND('Budget by Source'!D279/10,0))</f>
        <v>26958</v>
      </c>
      <c r="E279" s="22">
        <f>IF(Notes!$B$2="June",ROUND('Budget by Source'!E279/10,0)+R279,ROUND('Budget by Source'!E279/10,0))</f>
        <v>2435</v>
      </c>
      <c r="F279" s="22">
        <f>IF(Notes!$B$2="June",ROUND('Budget by Source'!F279/10,0)+S279,ROUND('Budget by Source'!F279/10,0))</f>
        <v>2608</v>
      </c>
      <c r="G279" s="22">
        <f>IF(Notes!$B$2="June",ROUND('Budget by Source'!G279/10,0)+T279,ROUND('Budget by Source'!G279/10,0))</f>
        <v>14102</v>
      </c>
      <c r="H279" s="22">
        <f t="shared" si="12"/>
        <v>210512</v>
      </c>
      <c r="I279" s="22">
        <f>INDEX(Data[],MATCH($A279,Data[Dist],0),MATCH(I$5,Data[#Headers],0))</f>
        <v>265607</v>
      </c>
      <c r="K279" s="69">
        <f>INDEX('Payment Total'!$A$7:$H$333,MATCH('Payment by Source'!$A279,'Payment Total'!$A$7:$A$333,0),5)-I279</f>
        <v>0</v>
      </c>
      <c r="P279" s="157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3</v>
      </c>
      <c r="Q279" s="157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-3</v>
      </c>
      <c r="R279" s="157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3</v>
      </c>
      <c r="S279" s="157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2</v>
      </c>
      <c r="T279" s="157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8">
        <f>INDEX('Budget by Source'!$A$6:$I$332,MATCH('Payment by Source'!$A279,'Budget by Source'!$A$6:$A$332,0),MATCH(U$3,'Budget by Source'!$A$5:$I$5,0))</f>
        <v>2111503</v>
      </c>
      <c r="V279" s="155">
        <f t="shared" si="13"/>
        <v>211150</v>
      </c>
      <c r="W279" s="155">
        <f t="shared" si="14"/>
        <v>2111500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4676</v>
      </c>
      <c r="D280" s="22">
        <f>IF(Notes!$B$2="June",ROUND('Budget by Source'!D280/10,0)+Q280,ROUND('Budget by Source'!D280/10,0))</f>
        <v>13313</v>
      </c>
      <c r="E280" s="22">
        <f>IF(Notes!$B$2="June",ROUND('Budget by Source'!E280/10,0)+R280,ROUND('Budget by Source'!E280/10,0))</f>
        <v>1347</v>
      </c>
      <c r="F280" s="22">
        <f>IF(Notes!$B$2="June",ROUND('Budget by Source'!F280/10,0)+S280,ROUND('Budget by Source'!F280/10,0))</f>
        <v>1640</v>
      </c>
      <c r="G280" s="22">
        <f>IF(Notes!$B$2="June",ROUND('Budget by Source'!G280/10,0)+T280,ROUND('Budget by Source'!G280/10,0))</f>
        <v>6531</v>
      </c>
      <c r="H280" s="22">
        <f t="shared" si="12"/>
        <v>105924</v>
      </c>
      <c r="I280" s="22">
        <f>INDEX(Data[],MATCH($A280,Data[Dist],0),MATCH(I$5,Data[#Headers],0))</f>
        <v>133431</v>
      </c>
      <c r="K280" s="69">
        <f>INDEX('Payment Total'!$A$7:$H$333,MATCH('Payment by Source'!$A280,'Payment Total'!$A$7:$A$333,0),5)-I280</f>
        <v>0</v>
      </c>
      <c r="P280" s="157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0</v>
      </c>
      <c r="Q280" s="157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7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3</v>
      </c>
      <c r="S280" s="157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-1</v>
      </c>
      <c r="T280" s="157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1</v>
      </c>
      <c r="U280" s="158">
        <f>INDEX('Budget by Source'!$A$6:$I$332,MATCH('Payment by Source'!$A280,'Budget by Source'!$A$6:$A$332,0),MATCH(U$3,'Budget by Source'!$A$5:$I$5,0))</f>
        <v>1062199</v>
      </c>
      <c r="V280" s="155">
        <f t="shared" si="13"/>
        <v>106220</v>
      </c>
      <c r="W280" s="155">
        <f t="shared" si="14"/>
        <v>1062200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12230</v>
      </c>
      <c r="D281" s="22">
        <f>IF(Notes!$B$2="June",ROUND('Budget by Source'!D281/10,0)+Q281,ROUND('Budget by Source'!D281/10,0))</f>
        <v>41190</v>
      </c>
      <c r="E281" s="22">
        <f>IF(Notes!$B$2="June",ROUND('Budget by Source'!E281/10,0)+R281,ROUND('Budget by Source'!E281/10,0))</f>
        <v>5060</v>
      </c>
      <c r="F281" s="22">
        <f>IF(Notes!$B$2="June",ROUND('Budget by Source'!F281/10,0)+S281,ROUND('Budget by Source'!F281/10,0))</f>
        <v>4574</v>
      </c>
      <c r="G281" s="22">
        <f>IF(Notes!$B$2="June",ROUND('Budget by Source'!G281/10,0)+T281,ROUND('Budget by Source'!G281/10,0))</f>
        <v>21272</v>
      </c>
      <c r="H281" s="22">
        <f t="shared" si="12"/>
        <v>314797</v>
      </c>
      <c r="I281" s="22">
        <f>INDEX(Data[],MATCH($A281,Data[Dist],0),MATCH(I$5,Data[#Headers],0))</f>
        <v>399123</v>
      </c>
      <c r="K281" s="69">
        <f>INDEX('Payment Total'!$A$7:$H$333,MATCH('Payment by Source'!$A281,'Payment Total'!$A$7:$A$333,0),5)-I281</f>
        <v>0</v>
      </c>
      <c r="P281" s="157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-5</v>
      </c>
      <c r="Q281" s="157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0</v>
      </c>
      <c r="R281" s="157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-2</v>
      </c>
      <c r="S281" s="157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2</v>
      </c>
      <c r="T281" s="157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3</v>
      </c>
      <c r="U281" s="158">
        <f>INDEX('Budget by Source'!$A$6:$I$332,MATCH('Payment by Source'!$A281,'Budget by Source'!$A$6:$A$332,0),MATCH(U$3,'Budget by Source'!$A$5:$I$5,0))</f>
        <v>3157627</v>
      </c>
      <c r="V281" s="155">
        <f t="shared" si="13"/>
        <v>315763</v>
      </c>
      <c r="W281" s="155">
        <f t="shared" si="14"/>
        <v>3157630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57551</v>
      </c>
      <c r="D282" s="22">
        <f>IF(Notes!$B$2="June",ROUND('Budget by Source'!D282/10,0)+Q282,ROUND('Budget by Source'!D282/10,0))</f>
        <v>157919</v>
      </c>
      <c r="E282" s="22">
        <f>IF(Notes!$B$2="June",ROUND('Budget by Source'!E282/10,0)+R282,ROUND('Budget by Source'!E282/10,0))</f>
        <v>23078</v>
      </c>
      <c r="F282" s="22">
        <f>IF(Notes!$B$2="June",ROUND('Budget by Source'!F282/10,0)+S282,ROUND('Budget by Source'!F282/10,0))</f>
        <v>18186</v>
      </c>
      <c r="G282" s="22">
        <f>IF(Notes!$B$2="June",ROUND('Budget by Source'!G282/10,0)+T282,ROUND('Budget by Source'!G282/10,0))</f>
        <v>90884</v>
      </c>
      <c r="H282" s="22">
        <f t="shared" si="12"/>
        <v>1780246</v>
      </c>
      <c r="I282" s="22">
        <f>INDEX(Data[],MATCH($A282,Data[Dist],0),MATCH(I$5,Data[#Headers],0))</f>
        <v>2127864</v>
      </c>
      <c r="K282" s="69">
        <f>INDEX('Payment Total'!$A$7:$H$333,MATCH('Payment by Source'!$A282,'Payment Total'!$A$7:$A$333,0),5)-I282</f>
        <v>0</v>
      </c>
      <c r="P282" s="157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-4</v>
      </c>
      <c r="Q282" s="157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-2</v>
      </c>
      <c r="R282" s="157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3</v>
      </c>
      <c r="S282" s="157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1</v>
      </c>
      <c r="T282" s="157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-1</v>
      </c>
      <c r="U282" s="158">
        <f>INDEX('Budget by Source'!$A$6:$I$332,MATCH('Payment by Source'!$A282,'Budget by Source'!$A$6:$A$332,0),MATCH(U$3,'Budget by Source'!$A$5:$I$5,0))</f>
        <v>17843687</v>
      </c>
      <c r="V282" s="155">
        <f t="shared" si="13"/>
        <v>1784369</v>
      </c>
      <c r="W282" s="155">
        <f t="shared" si="14"/>
        <v>17843690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2878</v>
      </c>
      <c r="D283" s="22">
        <f>IF(Notes!$B$2="June",ROUND('Budget by Source'!D283/10,0)+Q283,ROUND('Budget by Source'!D283/10,0))</f>
        <v>8059</v>
      </c>
      <c r="E283" s="22">
        <f>IF(Notes!$B$2="June",ROUND('Budget by Source'!E283/10,0)+R283,ROUND('Budget by Source'!E283/10,0))</f>
        <v>900</v>
      </c>
      <c r="F283" s="22">
        <f>IF(Notes!$B$2="June",ROUND('Budget by Source'!F283/10,0)+S283,ROUND('Budget by Source'!F283/10,0))</f>
        <v>791</v>
      </c>
      <c r="G283" s="22">
        <f>IF(Notes!$B$2="June",ROUND('Budget by Source'!G283/10,0)+T283,ROUND('Budget by Source'!G283/10,0))</f>
        <v>4701</v>
      </c>
      <c r="H283" s="22">
        <f t="shared" si="12"/>
        <v>63976</v>
      </c>
      <c r="I283" s="22">
        <f>INDEX(Data[],MATCH($A283,Data[Dist],0),MATCH(I$5,Data[#Headers],0))</f>
        <v>81305</v>
      </c>
      <c r="K283" s="69">
        <f>INDEX('Payment Total'!$A$7:$H$333,MATCH('Payment by Source'!$A283,'Payment Total'!$A$7:$A$333,0),5)-I283</f>
        <v>0</v>
      </c>
      <c r="P283" s="157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-5</v>
      </c>
      <c r="Q283" s="157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-1</v>
      </c>
      <c r="R283" s="157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2</v>
      </c>
      <c r="S283" s="157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4</v>
      </c>
      <c r="T283" s="157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-1</v>
      </c>
      <c r="U283" s="158">
        <f>INDEX('Budget by Source'!$A$6:$I$332,MATCH('Payment by Source'!$A283,'Budget by Source'!$A$6:$A$332,0),MATCH(U$3,'Budget by Source'!$A$5:$I$5,0))</f>
        <v>641798</v>
      </c>
      <c r="V283" s="155">
        <f t="shared" si="13"/>
        <v>64180</v>
      </c>
      <c r="W283" s="155">
        <f t="shared" si="14"/>
        <v>641800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16906</v>
      </c>
      <c r="D284" s="22">
        <f>IF(Notes!$B$2="June",ROUND('Budget by Source'!D284/10,0)+Q284,ROUND('Budget by Source'!D284/10,0))</f>
        <v>60611</v>
      </c>
      <c r="E284" s="22">
        <f>IF(Notes!$B$2="June",ROUND('Budget by Source'!E284/10,0)+R284,ROUND('Budget by Source'!E284/10,0))</f>
        <v>6612</v>
      </c>
      <c r="F284" s="22">
        <f>IF(Notes!$B$2="June",ROUND('Budget by Source'!F284/10,0)+S284,ROUND('Budget by Source'!F284/10,0))</f>
        <v>5990</v>
      </c>
      <c r="G284" s="22">
        <f>IF(Notes!$B$2="June",ROUND('Budget by Source'!G284/10,0)+T284,ROUND('Budget by Source'!G284/10,0))</f>
        <v>33326</v>
      </c>
      <c r="H284" s="22">
        <f t="shared" si="12"/>
        <v>418345</v>
      </c>
      <c r="I284" s="22">
        <f>INDEX(Data[],MATCH($A284,Data[Dist],0),MATCH(I$5,Data[#Headers],0))</f>
        <v>541790</v>
      </c>
      <c r="K284" s="69">
        <f>INDEX('Payment Total'!$A$7:$H$333,MATCH('Payment by Source'!$A284,'Payment Total'!$A$7:$A$333,0),5)-I284</f>
        <v>0</v>
      </c>
      <c r="P284" s="157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-4</v>
      </c>
      <c r="Q284" s="157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0</v>
      </c>
      <c r="R284" s="157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7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7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-3</v>
      </c>
      <c r="U284" s="158">
        <f>INDEX('Budget by Source'!$A$6:$I$332,MATCH('Payment by Source'!$A284,'Budget by Source'!$A$6:$A$332,0),MATCH(U$3,'Budget by Source'!$A$5:$I$5,0))</f>
        <v>4198577</v>
      </c>
      <c r="V284" s="155">
        <f t="shared" si="13"/>
        <v>419858</v>
      </c>
      <c r="W284" s="155">
        <f t="shared" si="14"/>
        <v>4198580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16906</v>
      </c>
      <c r="D285" s="22">
        <f>IF(Notes!$B$2="June",ROUND('Budget by Source'!D285/10,0)+Q285,ROUND('Budget by Source'!D285/10,0))</f>
        <v>49778</v>
      </c>
      <c r="E285" s="22">
        <f>IF(Notes!$B$2="June",ROUND('Budget by Source'!E285/10,0)+R285,ROUND('Budget by Source'!E285/10,0))</f>
        <v>5123</v>
      </c>
      <c r="F285" s="22">
        <f>IF(Notes!$B$2="June",ROUND('Budget by Source'!F285/10,0)+S285,ROUND('Budget by Source'!F285/10,0))</f>
        <v>5485</v>
      </c>
      <c r="G285" s="22">
        <f>IF(Notes!$B$2="June",ROUND('Budget by Source'!G285/10,0)+T285,ROUND('Budget by Source'!G285/10,0))</f>
        <v>27252</v>
      </c>
      <c r="H285" s="22">
        <f t="shared" si="12"/>
        <v>358692</v>
      </c>
      <c r="I285" s="22">
        <f>INDEX(Data[],MATCH($A285,Data[Dist],0),MATCH(I$5,Data[#Headers],0))</f>
        <v>463236</v>
      </c>
      <c r="K285" s="69">
        <f>INDEX('Payment Total'!$A$7:$H$333,MATCH('Payment by Source'!$A285,'Payment Total'!$A$7:$A$333,0),5)-I285</f>
        <v>0</v>
      </c>
      <c r="P285" s="157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-4</v>
      </c>
      <c r="Q285" s="157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2</v>
      </c>
      <c r="R285" s="157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0</v>
      </c>
      <c r="S285" s="157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2</v>
      </c>
      <c r="T285" s="157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-1</v>
      </c>
      <c r="U285" s="158">
        <f>INDEX('Budget by Source'!$A$6:$I$332,MATCH('Payment by Source'!$A285,'Budget by Source'!$A$6:$A$332,0),MATCH(U$3,'Budget by Source'!$A$5:$I$5,0))</f>
        <v>3703463</v>
      </c>
      <c r="V285" s="155">
        <f t="shared" si="13"/>
        <v>370346</v>
      </c>
      <c r="W285" s="155">
        <f t="shared" si="14"/>
        <v>3703460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12589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465507</v>
      </c>
      <c r="I286" s="22">
        <f>INDEX(Data[],MATCH($A286,Data[Dist],0),MATCH(I$5,Data[#Headers],0))</f>
        <v>573750</v>
      </c>
      <c r="K286" s="69">
        <f>INDEX('Payment Total'!$A$7:$H$333,MATCH('Payment by Source'!$A286,'Payment Total'!$A$7:$A$333,0),5)-I286</f>
        <v>0</v>
      </c>
      <c r="P286" s="157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3</v>
      </c>
      <c r="Q286" s="157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7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7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7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8">
        <f>INDEX('Budget by Source'!$A$6:$I$332,MATCH('Payment by Source'!$A286,'Budget by Source'!$A$6:$A$332,0),MATCH(U$3,'Budget by Source'!$A$5:$I$5,0))</f>
        <v>4668890</v>
      </c>
      <c r="V286" s="155">
        <f t="shared" si="13"/>
        <v>466889</v>
      </c>
      <c r="W286" s="155">
        <f t="shared" si="14"/>
        <v>4668890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38218</v>
      </c>
      <c r="E287" s="22">
        <f>IF(Notes!$B$2="June",ROUND('Budget by Source'!E287/10,0)+R287,ROUND('Budget by Source'!E287/10,0))</f>
        <v>4219</v>
      </c>
      <c r="F287" s="22">
        <f>IF(Notes!$B$2="June",ROUND('Budget by Source'!F287/10,0)+S287,ROUND('Budget by Source'!F287/10,0))</f>
        <v>4026</v>
      </c>
      <c r="G287" s="22">
        <f>IF(Notes!$B$2="June",ROUND('Budget by Source'!G287/10,0)+T287,ROUND('Budget by Source'!G287/10,0))</f>
        <v>21261</v>
      </c>
      <c r="H287" s="22">
        <f t="shared" si="12"/>
        <v>261638</v>
      </c>
      <c r="I287" s="22">
        <f>INDEX(Data[],MATCH($A287,Data[Dist],0),MATCH(I$5,Data[#Headers],0))</f>
        <v>329362</v>
      </c>
      <c r="K287" s="69">
        <f>INDEX('Payment Total'!$A$7:$H$333,MATCH('Payment by Source'!$A287,'Payment Total'!$A$7:$A$333,0),5)-I287</f>
        <v>0</v>
      </c>
      <c r="P287" s="157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7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-2</v>
      </c>
      <c r="R287" s="157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3</v>
      </c>
      <c r="S287" s="157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0</v>
      </c>
      <c r="T287" s="157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3</v>
      </c>
      <c r="U287" s="158">
        <f>INDEX('Budget by Source'!$A$6:$I$332,MATCH('Payment by Source'!$A287,'Budget by Source'!$A$6:$A$332,0),MATCH(U$3,'Budget by Source'!$A$5:$I$5,0))</f>
        <v>2625711</v>
      </c>
      <c r="V287" s="155">
        <f t="shared" si="13"/>
        <v>262571</v>
      </c>
      <c r="W287" s="155">
        <f t="shared" si="14"/>
        <v>2625710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18697</v>
      </c>
      <c r="D288" s="22">
        <f>IF(Notes!$B$2="June",ROUND('Budget by Source'!D288/10,0)+Q288,ROUND('Budget by Source'!D288/10,0))</f>
        <v>41396</v>
      </c>
      <c r="E288" s="22">
        <f>IF(Notes!$B$2="June",ROUND('Budget by Source'!E288/10,0)+R288,ROUND('Budget by Source'!E288/10,0))</f>
        <v>4561</v>
      </c>
      <c r="F288" s="22">
        <f>IF(Notes!$B$2="June",ROUND('Budget by Source'!F288/10,0)+S288,ROUND('Budget by Source'!F288/10,0))</f>
        <v>4639</v>
      </c>
      <c r="G288" s="22">
        <f>IF(Notes!$B$2="June",ROUND('Budget by Source'!G288/10,0)+T288,ROUND('Budget by Source'!G288/10,0))</f>
        <v>23140</v>
      </c>
      <c r="H288" s="22">
        <f t="shared" si="12"/>
        <v>341836</v>
      </c>
      <c r="I288" s="22">
        <f>INDEX(Data[],MATCH($A288,Data[Dist],0),MATCH(I$5,Data[#Headers],0))</f>
        <v>434269</v>
      </c>
      <c r="K288" s="69">
        <f>INDEX('Payment Total'!$A$7:$H$333,MATCH('Payment by Source'!$A288,'Payment Total'!$A$7:$A$333,0),5)-I288</f>
        <v>0</v>
      </c>
      <c r="P288" s="157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-3</v>
      </c>
      <c r="Q288" s="157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-5</v>
      </c>
      <c r="R288" s="157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4</v>
      </c>
      <c r="S288" s="157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0</v>
      </c>
      <c r="T288" s="157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-1</v>
      </c>
      <c r="U288" s="158">
        <f>INDEX('Budget by Source'!$A$6:$I$332,MATCH('Payment by Source'!$A288,'Budget by Source'!$A$6:$A$332,0),MATCH(U$3,'Budget by Source'!$A$5:$I$5,0))</f>
        <v>3428862</v>
      </c>
      <c r="V288" s="155">
        <f t="shared" si="13"/>
        <v>342886</v>
      </c>
      <c r="W288" s="155">
        <f t="shared" si="14"/>
        <v>3428860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3237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136558</v>
      </c>
      <c r="I289" s="22">
        <f>INDEX(Data[],MATCH($A289,Data[Dist],0),MATCH(I$5,Data[#Headers],0))</f>
        <v>173511</v>
      </c>
      <c r="K289" s="69">
        <f>INDEX('Payment Total'!$A$7:$H$333,MATCH('Payment by Source'!$A289,'Payment Total'!$A$7:$A$333,0),5)-I289</f>
        <v>0</v>
      </c>
      <c r="P289" s="157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3</v>
      </c>
      <c r="Q289" s="157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7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7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7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8">
        <f>INDEX('Budget by Source'!$A$6:$I$332,MATCH('Payment by Source'!$A289,'Budget by Source'!$A$6:$A$332,0),MATCH(U$3,'Budget by Source'!$A$5:$I$5,0))</f>
        <v>1369991</v>
      </c>
      <c r="V289" s="155">
        <f t="shared" si="13"/>
        <v>136999</v>
      </c>
      <c r="W289" s="155">
        <f t="shared" si="14"/>
        <v>1369990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6115</v>
      </c>
      <c r="D290" s="22">
        <f>IF(Notes!$B$2="June",ROUND('Budget by Source'!D290/10,0)+Q290,ROUND('Budget by Source'!D290/10,0))</f>
        <v>26989</v>
      </c>
      <c r="E290" s="22">
        <f>IF(Notes!$B$2="June",ROUND('Budget by Source'!E290/10,0)+R290,ROUND('Budget by Source'!E290/10,0))</f>
        <v>2887</v>
      </c>
      <c r="F290" s="22">
        <f>IF(Notes!$B$2="June",ROUND('Budget by Source'!F290/10,0)+S290,ROUND('Budget by Source'!F290/10,0))</f>
        <v>2793</v>
      </c>
      <c r="G290" s="22">
        <f>IF(Notes!$B$2="June",ROUND('Budget by Source'!G290/10,0)+T290,ROUND('Budget by Source'!G290/10,0))</f>
        <v>13977</v>
      </c>
      <c r="H290" s="22">
        <f t="shared" si="12"/>
        <v>223823</v>
      </c>
      <c r="I290" s="22">
        <f>INDEX(Data[],MATCH($A290,Data[Dist],0),MATCH(I$5,Data[#Headers],0))</f>
        <v>276584</v>
      </c>
      <c r="K290" s="69">
        <f>INDEX('Payment Total'!$A$7:$H$333,MATCH('Payment by Source'!$A290,'Payment Total'!$A$7:$A$333,0),5)-I290</f>
        <v>0</v>
      </c>
      <c r="P290" s="157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7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1</v>
      </c>
      <c r="R290" s="157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-2</v>
      </c>
      <c r="S290" s="157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7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-5</v>
      </c>
      <c r="U290" s="158">
        <f>INDEX('Budget by Source'!$A$6:$I$332,MATCH('Payment by Source'!$A290,'Budget by Source'!$A$6:$A$332,0),MATCH(U$3,'Budget by Source'!$A$5:$I$5,0))</f>
        <v>2244492</v>
      </c>
      <c r="V290" s="155">
        <f t="shared" si="13"/>
        <v>224449</v>
      </c>
      <c r="W290" s="155">
        <f t="shared" si="14"/>
        <v>2244490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7913</v>
      </c>
      <c r="D291" s="22">
        <f>IF(Notes!$B$2="June",ROUND('Budget by Source'!D291/10,0)+Q291,ROUND('Budget by Source'!D291/10,0))</f>
        <v>23301</v>
      </c>
      <c r="E291" s="22">
        <f>IF(Notes!$B$2="June",ROUND('Budget by Source'!E291/10,0)+R291,ROUND('Budget by Source'!E291/10,0))</f>
        <v>1966</v>
      </c>
      <c r="F291" s="22">
        <f>IF(Notes!$B$2="June",ROUND('Budget by Source'!F291/10,0)+S291,ROUND('Budget by Source'!F291/10,0))</f>
        <v>2669</v>
      </c>
      <c r="G291" s="22">
        <f>IF(Notes!$B$2="June",ROUND('Budget by Source'!G291/10,0)+T291,ROUND('Budget by Source'!G291/10,0))</f>
        <v>12173</v>
      </c>
      <c r="H291" s="22">
        <f t="shared" si="12"/>
        <v>140949</v>
      </c>
      <c r="I291" s="22">
        <f>INDEX(Data[],MATCH($A291,Data[Dist],0),MATCH(I$5,Data[#Headers],0))</f>
        <v>188971</v>
      </c>
      <c r="K291" s="69">
        <f>INDEX('Payment Total'!$A$7:$H$333,MATCH('Payment by Source'!$A291,'Payment Total'!$A$7:$A$333,0),5)-I291</f>
        <v>0</v>
      </c>
      <c r="P291" s="157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2</v>
      </c>
      <c r="Q291" s="157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-2</v>
      </c>
      <c r="R291" s="157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-1</v>
      </c>
      <c r="S291" s="157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3</v>
      </c>
      <c r="T291" s="157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2</v>
      </c>
      <c r="U291" s="158">
        <f>INDEX('Budget by Source'!$A$6:$I$332,MATCH('Payment by Source'!$A291,'Budget by Source'!$A$6:$A$332,0),MATCH(U$3,'Budget by Source'!$A$5:$I$5,0))</f>
        <v>1414989</v>
      </c>
      <c r="V291" s="155">
        <f t="shared" si="13"/>
        <v>141499</v>
      </c>
      <c r="W291" s="155">
        <f t="shared" si="14"/>
        <v>1414990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3957</v>
      </c>
      <c r="D292" s="22">
        <f>IF(Notes!$B$2="June",ROUND('Budget by Source'!D292/10,0)+Q292,ROUND('Budget by Source'!D292/10,0))</f>
        <v>21400</v>
      </c>
      <c r="E292" s="22">
        <f>IF(Notes!$B$2="June",ROUND('Budget by Source'!E292/10,0)+R292,ROUND('Budget by Source'!E292/10,0))</f>
        <v>2608</v>
      </c>
      <c r="F292" s="22">
        <f>IF(Notes!$B$2="June",ROUND('Budget by Source'!F292/10,0)+S292,ROUND('Budget by Source'!F292/10,0))</f>
        <v>2240</v>
      </c>
      <c r="G292" s="22">
        <f>IF(Notes!$B$2="June",ROUND('Budget by Source'!G292/10,0)+T292,ROUND('Budget by Source'!G292/10,0))</f>
        <v>11031</v>
      </c>
      <c r="H292" s="22">
        <f t="shared" si="12"/>
        <v>175474</v>
      </c>
      <c r="I292" s="22">
        <f>INDEX(Data[],MATCH($A292,Data[Dist],0),MATCH(I$5,Data[#Headers],0))</f>
        <v>216710</v>
      </c>
      <c r="K292" s="69">
        <f>INDEX('Payment Total'!$A$7:$H$333,MATCH('Payment by Source'!$A292,'Payment Total'!$A$7:$A$333,0),5)-I292</f>
        <v>0</v>
      </c>
      <c r="P292" s="157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-3</v>
      </c>
      <c r="Q292" s="157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-3</v>
      </c>
      <c r="R292" s="157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-4</v>
      </c>
      <c r="S292" s="157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3</v>
      </c>
      <c r="T292" s="157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2</v>
      </c>
      <c r="U292" s="158">
        <f>INDEX('Budget by Source'!$A$6:$I$332,MATCH('Payment by Source'!$A292,'Budget by Source'!$A$6:$A$332,0),MATCH(U$3,'Budget by Source'!$A$5:$I$5,0))</f>
        <v>1759645</v>
      </c>
      <c r="V292" s="155">
        <f t="shared" si="13"/>
        <v>175965</v>
      </c>
      <c r="W292" s="155">
        <f t="shared" si="14"/>
        <v>1759650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1799</v>
      </c>
      <c r="D293" s="22">
        <f>IF(Notes!$B$2="June",ROUND('Budget by Source'!D293/10,0)+Q293,ROUND('Budget by Source'!D293/10,0))</f>
        <v>11082</v>
      </c>
      <c r="E293" s="22">
        <f>IF(Notes!$B$2="June",ROUND('Budget by Source'!E293/10,0)+R293,ROUND('Budget by Source'!E293/10,0))</f>
        <v>1090</v>
      </c>
      <c r="F293" s="22">
        <f>IF(Notes!$B$2="June",ROUND('Budget by Source'!F293/10,0)+S293,ROUND('Budget by Source'!F293/10,0))</f>
        <v>1096</v>
      </c>
      <c r="G293" s="22">
        <f>IF(Notes!$B$2="June",ROUND('Budget by Source'!G293/10,0)+T293,ROUND('Budget by Source'!G293/10,0))</f>
        <v>5550</v>
      </c>
      <c r="H293" s="22">
        <f t="shared" si="12"/>
        <v>56332</v>
      </c>
      <c r="I293" s="22">
        <f>INDEX(Data[],MATCH($A293,Data[Dist],0),MATCH(I$5,Data[#Headers],0))</f>
        <v>76949</v>
      </c>
      <c r="K293" s="69">
        <f>INDEX('Payment Total'!$A$7:$H$333,MATCH('Payment by Source'!$A293,'Payment Total'!$A$7:$A$333,0),5)-I293</f>
        <v>0</v>
      </c>
      <c r="P293" s="157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-5</v>
      </c>
      <c r="Q293" s="157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-3</v>
      </c>
      <c r="R293" s="157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4</v>
      </c>
      <c r="S293" s="157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0</v>
      </c>
      <c r="T293" s="157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2</v>
      </c>
      <c r="U293" s="158">
        <f>INDEX('Budget by Source'!$A$6:$I$332,MATCH('Payment by Source'!$A293,'Budget by Source'!$A$6:$A$332,0),MATCH(U$3,'Budget by Source'!$A$5:$I$5,0))</f>
        <v>565845</v>
      </c>
      <c r="V293" s="155">
        <f t="shared" si="13"/>
        <v>56585</v>
      </c>
      <c r="W293" s="155">
        <f t="shared" si="14"/>
        <v>565850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12230</v>
      </c>
      <c r="D294" s="22">
        <f>IF(Notes!$B$2="June",ROUND('Budget by Source'!D294/10,0)+Q294,ROUND('Budget by Source'!D294/10,0))</f>
        <v>43030</v>
      </c>
      <c r="E294" s="22">
        <f>IF(Notes!$B$2="June",ROUND('Budget by Source'!E294/10,0)+R294,ROUND('Budget by Source'!E294/10,0))</f>
        <v>4924</v>
      </c>
      <c r="F294" s="22">
        <f>IF(Notes!$B$2="June",ROUND('Budget by Source'!F294/10,0)+S294,ROUND('Budget by Source'!F294/10,0))</f>
        <v>4464</v>
      </c>
      <c r="G294" s="22">
        <f>IF(Notes!$B$2="June",ROUND('Budget by Source'!G294/10,0)+T294,ROUND('Budget by Source'!G294/10,0))</f>
        <v>25346</v>
      </c>
      <c r="H294" s="22">
        <f t="shared" si="12"/>
        <v>353207</v>
      </c>
      <c r="I294" s="22">
        <f>INDEX(Data[],MATCH($A294,Data[Dist],0),MATCH(I$5,Data[#Headers],0))</f>
        <v>443201</v>
      </c>
      <c r="K294" s="69">
        <f>INDEX('Payment Total'!$A$7:$H$333,MATCH('Payment by Source'!$A294,'Payment Total'!$A$7:$A$333,0),5)-I294</f>
        <v>0</v>
      </c>
      <c r="P294" s="157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-5</v>
      </c>
      <c r="Q294" s="157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1</v>
      </c>
      <c r="R294" s="157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-3</v>
      </c>
      <c r="S294" s="157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7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0</v>
      </c>
      <c r="U294" s="158">
        <f>INDEX('Budget by Source'!$A$6:$I$332,MATCH('Payment by Source'!$A294,'Budget by Source'!$A$6:$A$332,0),MATCH(U$3,'Budget by Source'!$A$5:$I$5,0))</f>
        <v>3543577</v>
      </c>
      <c r="V294" s="155">
        <f t="shared" si="13"/>
        <v>354358</v>
      </c>
      <c r="W294" s="155">
        <f t="shared" si="14"/>
        <v>3543580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22911</v>
      </c>
      <c r="D295" s="22">
        <f>IF(Notes!$B$2="June",ROUND('Budget by Source'!D295/10,0)+Q295,ROUND('Budget by Source'!D295/10,0))</f>
        <v>21329</v>
      </c>
      <c r="E295" s="22">
        <f>IF(Notes!$B$2="June",ROUND('Budget by Source'!E295/10,0)+R295,ROUND('Budget by Source'!E295/10,0))</f>
        <v>2872</v>
      </c>
      <c r="F295" s="22">
        <f>IF(Notes!$B$2="June",ROUND('Budget by Source'!F295/10,0)+S295,ROUND('Budget by Source'!F295/10,0))</f>
        <v>1858</v>
      </c>
      <c r="G295" s="22">
        <f>IF(Notes!$B$2="June",ROUND('Budget by Source'!G295/10,0)+T295,ROUND('Budget by Source'!G295/10,0))</f>
        <v>13748</v>
      </c>
      <c r="H295" s="22">
        <f t="shared" si="12"/>
        <v>85200</v>
      </c>
      <c r="I295" s="22">
        <f>INDEX(Data[],MATCH($A295,Data[Dist],0),MATCH(I$5,Data[#Headers],0))</f>
        <v>147918</v>
      </c>
      <c r="K295" s="69">
        <f>INDEX('Payment Total'!$A$7:$H$333,MATCH('Payment by Source'!$A295,'Payment Total'!$A$7:$A$333,0),5)-I295</f>
        <v>0</v>
      </c>
      <c r="P295" s="157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-1</v>
      </c>
      <c r="Q295" s="157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-1</v>
      </c>
      <c r="R295" s="157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3</v>
      </c>
      <c r="S295" s="157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-4</v>
      </c>
      <c r="T295" s="157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1</v>
      </c>
      <c r="U295" s="158">
        <f>INDEX('Budget by Source'!$A$6:$I$332,MATCH('Payment by Source'!$A295,'Budget by Source'!$A$6:$A$332,0),MATCH(U$3,'Budget by Source'!$A$5:$I$5,0))</f>
        <v>857888</v>
      </c>
      <c r="V295" s="155">
        <f t="shared" si="13"/>
        <v>85789</v>
      </c>
      <c r="W295" s="155">
        <f t="shared" si="14"/>
        <v>857890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51796</v>
      </c>
      <c r="D296" s="22">
        <f>IF(Notes!$B$2="June",ROUND('Budget by Source'!D296/10,0)+Q296,ROUND('Budget by Source'!D296/10,0))</f>
        <v>211487</v>
      </c>
      <c r="E296" s="22">
        <f>IF(Notes!$B$2="June",ROUND('Budget by Source'!E296/10,0)+R296,ROUND('Budget by Source'!E296/10,0))</f>
        <v>24118</v>
      </c>
      <c r="F296" s="22">
        <f>IF(Notes!$B$2="June",ROUND('Budget by Source'!F296/10,0)+S296,ROUND('Budget by Source'!F296/10,0))</f>
        <v>24879</v>
      </c>
      <c r="G296" s="22">
        <f>IF(Notes!$B$2="June",ROUND('Budget by Source'!G296/10,0)+T296,ROUND('Budget by Source'!G296/10,0))</f>
        <v>117567</v>
      </c>
      <c r="H296" s="22">
        <f t="shared" si="12"/>
        <v>1633564</v>
      </c>
      <c r="I296" s="22">
        <f>INDEX(Data[],MATCH($A296,Data[Dist],0),MATCH(I$5,Data[#Headers],0))</f>
        <v>2063411</v>
      </c>
      <c r="K296" s="69">
        <f>INDEX('Payment Total'!$A$7:$H$333,MATCH('Payment by Source'!$A296,'Payment Total'!$A$7:$A$333,0),5)-I296</f>
        <v>0</v>
      </c>
      <c r="P296" s="157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-4</v>
      </c>
      <c r="Q296" s="157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-2</v>
      </c>
      <c r="R296" s="157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2</v>
      </c>
      <c r="S296" s="157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4</v>
      </c>
      <c r="T296" s="157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-2</v>
      </c>
      <c r="U296" s="158">
        <f>INDEX('Budget by Source'!$A$6:$I$332,MATCH('Payment by Source'!$A296,'Budget by Source'!$A$6:$A$332,0),MATCH(U$3,'Budget by Source'!$A$5:$I$5,0))</f>
        <v>16388979</v>
      </c>
      <c r="V296" s="155">
        <f t="shared" si="13"/>
        <v>1638898</v>
      </c>
      <c r="W296" s="155">
        <f t="shared" si="14"/>
        <v>16388980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19423</v>
      </c>
      <c r="D297" s="22">
        <f>IF(Notes!$B$2="June",ROUND('Budget by Source'!D297/10,0)+Q297,ROUND('Budget by Source'!D297/10,0))</f>
        <v>58258</v>
      </c>
      <c r="E297" s="22">
        <f>IF(Notes!$B$2="June",ROUND('Budget by Source'!E297/10,0)+R297,ROUND('Budget by Source'!E297/10,0))</f>
        <v>7037</v>
      </c>
      <c r="F297" s="22">
        <f>IF(Notes!$B$2="June",ROUND('Budget by Source'!F297/10,0)+S297,ROUND('Budget by Source'!F297/10,0))</f>
        <v>5796</v>
      </c>
      <c r="G297" s="22">
        <f>IF(Notes!$B$2="June",ROUND('Budget by Source'!G297/10,0)+T297,ROUND('Budget by Source'!G297/10,0))</f>
        <v>32802</v>
      </c>
      <c r="H297" s="22">
        <f t="shared" si="12"/>
        <v>462128</v>
      </c>
      <c r="I297" s="22">
        <f>INDEX(Data[],MATCH($A297,Data[Dist],0),MATCH(I$5,Data[#Headers],0))</f>
        <v>585444</v>
      </c>
      <c r="K297" s="69">
        <f>INDEX('Payment Total'!$A$7:$H$333,MATCH('Payment by Source'!$A297,'Payment Total'!$A$7:$A$333,0),5)-I297</f>
        <v>0</v>
      </c>
      <c r="P297" s="157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3</v>
      </c>
      <c r="Q297" s="157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-4</v>
      </c>
      <c r="R297" s="157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4</v>
      </c>
      <c r="S297" s="157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1</v>
      </c>
      <c r="T297" s="157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1</v>
      </c>
      <c r="U297" s="158">
        <f>INDEX('Budget by Source'!$A$6:$I$332,MATCH('Payment by Source'!$A297,'Budget by Source'!$A$6:$A$332,0),MATCH(U$3,'Budget by Source'!$A$5:$I$5,0))</f>
        <v>4636155</v>
      </c>
      <c r="V297" s="155">
        <f t="shared" si="13"/>
        <v>463616</v>
      </c>
      <c r="W297" s="155">
        <f t="shared" si="14"/>
        <v>4636160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15107</v>
      </c>
      <c r="D298" s="22">
        <f>IF(Notes!$B$2="June",ROUND('Budget by Source'!D298/10,0)+Q298,ROUND('Budget by Source'!D298/10,0))</f>
        <v>49736</v>
      </c>
      <c r="E298" s="22">
        <f>IF(Notes!$B$2="June",ROUND('Budget by Source'!E298/10,0)+R298,ROUND('Budget by Source'!E298/10,0))</f>
        <v>5442</v>
      </c>
      <c r="F298" s="22">
        <f>IF(Notes!$B$2="June",ROUND('Budget by Source'!F298/10,0)+S298,ROUND('Budget by Source'!F298/10,0))</f>
        <v>5164</v>
      </c>
      <c r="G298" s="22">
        <f>IF(Notes!$B$2="June",ROUND('Budget by Source'!G298/10,0)+T298,ROUND('Budget by Source'!G298/10,0))</f>
        <v>27203</v>
      </c>
      <c r="H298" s="22">
        <f t="shared" si="12"/>
        <v>383111</v>
      </c>
      <c r="I298" s="22">
        <f>INDEX(Data[],MATCH($A298,Data[Dist],0),MATCH(I$5,Data[#Headers],0))</f>
        <v>485763</v>
      </c>
      <c r="K298" s="69">
        <f>INDEX('Payment Total'!$A$7:$H$333,MATCH('Payment by Source'!$A298,'Payment Total'!$A$7:$A$333,0),5)-I298</f>
        <v>0</v>
      </c>
      <c r="P298" s="157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0</v>
      </c>
      <c r="Q298" s="157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-3</v>
      </c>
      <c r="R298" s="157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7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-4</v>
      </c>
      <c r="T298" s="157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0</v>
      </c>
      <c r="U298" s="158">
        <f>INDEX('Budget by Source'!$A$6:$I$332,MATCH('Payment by Source'!$A298,'Budget by Source'!$A$6:$A$332,0),MATCH(U$3,'Budget by Source'!$A$5:$I$5,0))</f>
        <v>3843450</v>
      </c>
      <c r="V298" s="155">
        <f t="shared" si="13"/>
        <v>384345</v>
      </c>
      <c r="W298" s="155">
        <f t="shared" si="14"/>
        <v>3843450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4316</v>
      </c>
      <c r="D299" s="22">
        <f>IF(Notes!$B$2="June",ROUND('Budget by Source'!D299/10,0)+Q299,ROUND('Budget by Source'!D299/10,0))</f>
        <v>17977</v>
      </c>
      <c r="E299" s="22">
        <f>IF(Notes!$B$2="June",ROUND('Budget by Source'!E299/10,0)+R299,ROUND('Budget by Source'!E299/10,0))</f>
        <v>2202</v>
      </c>
      <c r="F299" s="22">
        <f>IF(Notes!$B$2="June",ROUND('Budget by Source'!F299/10,0)+S299,ROUND('Budget by Source'!F299/10,0))</f>
        <v>1937</v>
      </c>
      <c r="G299" s="22">
        <f>IF(Notes!$B$2="June",ROUND('Budget by Source'!G299/10,0)+T299,ROUND('Budget by Source'!G299/10,0))</f>
        <v>9893</v>
      </c>
      <c r="H299" s="22">
        <f t="shared" si="12"/>
        <v>131157</v>
      </c>
      <c r="I299" s="22">
        <f>INDEX(Data[],MATCH($A299,Data[Dist],0),MATCH(I$5,Data[#Headers],0))</f>
        <v>167482</v>
      </c>
      <c r="K299" s="69">
        <f>INDEX('Payment Total'!$A$7:$H$333,MATCH('Payment by Source'!$A299,'Payment Total'!$A$7:$A$333,0),5)-I299</f>
        <v>0</v>
      </c>
      <c r="P299" s="157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3</v>
      </c>
      <c r="Q299" s="157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7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-3</v>
      </c>
      <c r="S299" s="157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-2</v>
      </c>
      <c r="T299" s="157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-4</v>
      </c>
      <c r="U299" s="158">
        <f>INDEX('Budget by Source'!$A$6:$I$332,MATCH('Payment by Source'!$A299,'Budget by Source'!$A$6:$A$332,0),MATCH(U$3,'Budget by Source'!$A$5:$I$5,0))</f>
        <v>1315892</v>
      </c>
      <c r="V299" s="155">
        <f t="shared" si="13"/>
        <v>131589</v>
      </c>
      <c r="W299" s="155">
        <f t="shared" si="14"/>
        <v>1315890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30494</v>
      </c>
      <c r="D300" s="22">
        <f>IF(Notes!$B$2="June",ROUND('Budget by Source'!D300/10,0)+Q300,ROUND('Budget by Source'!D300/10,0))</f>
        <v>99325</v>
      </c>
      <c r="E300" s="22">
        <f>IF(Notes!$B$2="June",ROUND('Budget by Source'!E300/10,0)+R300,ROUND('Budget by Source'!E300/10,0))</f>
        <v>10884</v>
      </c>
      <c r="F300" s="22">
        <f>IF(Notes!$B$2="June",ROUND('Budget by Source'!F300/10,0)+S300,ROUND('Budget by Source'!F300/10,0))</f>
        <v>11178</v>
      </c>
      <c r="G300" s="22">
        <f>IF(Notes!$B$2="June",ROUND('Budget by Source'!G300/10,0)+T300,ROUND('Budget by Source'!G300/10,0))</f>
        <v>54015</v>
      </c>
      <c r="H300" s="22">
        <f t="shared" si="12"/>
        <v>815194</v>
      </c>
      <c r="I300" s="22">
        <f>INDEX(Data[],MATCH($A300,Data[Dist],0),MATCH(I$5,Data[#Headers],0))</f>
        <v>1021090</v>
      </c>
      <c r="K300" s="69">
        <f>INDEX('Payment Total'!$A$7:$H$333,MATCH('Payment by Source'!$A300,'Payment Total'!$A$7:$A$333,0),5)-I300</f>
        <v>0</v>
      </c>
      <c r="P300" s="157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-4</v>
      </c>
      <c r="Q300" s="157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7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4</v>
      </c>
      <c r="S300" s="157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4</v>
      </c>
      <c r="T300" s="157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1</v>
      </c>
      <c r="U300" s="158">
        <f>INDEX('Budget by Source'!$A$6:$I$332,MATCH('Payment by Source'!$A300,'Budget by Source'!$A$6:$A$332,0),MATCH(U$3,'Budget by Source'!$A$5:$I$5,0))</f>
        <v>8176442</v>
      </c>
      <c r="V300" s="155">
        <f t="shared" si="13"/>
        <v>817644</v>
      </c>
      <c r="W300" s="155">
        <f t="shared" si="14"/>
        <v>8176440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10431</v>
      </c>
      <c r="D301" s="22">
        <f>IF(Notes!$B$2="June",ROUND('Budget by Source'!D301/10,0)+Q301,ROUND('Budget by Source'!D301/10,0))</f>
        <v>33232</v>
      </c>
      <c r="E301" s="22">
        <f>IF(Notes!$B$2="June",ROUND('Budget by Source'!E301/10,0)+R301,ROUND('Budget by Source'!E301/10,0))</f>
        <v>3596</v>
      </c>
      <c r="F301" s="22">
        <f>IF(Notes!$B$2="June",ROUND('Budget by Source'!F301/10,0)+S301,ROUND('Budget by Source'!F301/10,0))</f>
        <v>3563</v>
      </c>
      <c r="G301" s="22">
        <f>IF(Notes!$B$2="June",ROUND('Budget by Source'!G301/10,0)+T301,ROUND('Budget by Source'!G301/10,0))</f>
        <v>16697</v>
      </c>
      <c r="H301" s="22">
        <f t="shared" si="12"/>
        <v>245103</v>
      </c>
      <c r="I301" s="22">
        <f>INDEX(Data[],MATCH($A301,Data[Dist],0),MATCH(I$5,Data[#Headers],0))</f>
        <v>312622</v>
      </c>
      <c r="K301" s="69">
        <f>INDEX('Payment Total'!$A$7:$H$333,MATCH('Payment by Source'!$A301,'Payment Total'!$A$7:$A$333,0),5)-I301</f>
        <v>0</v>
      </c>
      <c r="P301" s="157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1</v>
      </c>
      <c r="Q301" s="157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0</v>
      </c>
      <c r="R301" s="157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-4</v>
      </c>
      <c r="S301" s="157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-2</v>
      </c>
      <c r="T301" s="157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-2</v>
      </c>
      <c r="U301" s="158">
        <f>INDEX('Budget by Source'!$A$6:$I$332,MATCH('Payment by Source'!$A301,'Budget by Source'!$A$6:$A$332,0),MATCH(U$3,'Budget by Source'!$A$5:$I$5,0))</f>
        <v>2458306</v>
      </c>
      <c r="V301" s="155">
        <f t="shared" si="13"/>
        <v>245831</v>
      </c>
      <c r="W301" s="155">
        <f t="shared" si="14"/>
        <v>2458310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15826</v>
      </c>
      <c r="D302" s="22">
        <f>IF(Notes!$B$2="June",ROUND('Budget by Source'!D302/10,0)+Q302,ROUND('Budget by Source'!D302/10,0))</f>
        <v>51858</v>
      </c>
      <c r="E302" s="22">
        <f>IF(Notes!$B$2="June",ROUND('Budget by Source'!E302/10,0)+R302,ROUND('Budget by Source'!E302/10,0))</f>
        <v>5976</v>
      </c>
      <c r="F302" s="22">
        <f>IF(Notes!$B$2="June",ROUND('Budget by Source'!F302/10,0)+S302,ROUND('Budget by Source'!F302/10,0))</f>
        <v>5506</v>
      </c>
      <c r="G302" s="22">
        <f>IF(Notes!$B$2="June",ROUND('Budget by Source'!G302/10,0)+T302,ROUND('Budget by Source'!G302/10,0))</f>
        <v>27468</v>
      </c>
      <c r="H302" s="22">
        <f t="shared" si="12"/>
        <v>339084</v>
      </c>
      <c r="I302" s="22">
        <f>INDEX(Data[],MATCH($A302,Data[Dist],0),MATCH(I$5,Data[#Headers],0))</f>
        <v>445718</v>
      </c>
      <c r="K302" s="69">
        <f>INDEX('Payment Total'!$A$7:$H$333,MATCH('Payment by Source'!$A302,'Payment Total'!$A$7:$A$333,0),5)-I302</f>
        <v>0</v>
      </c>
      <c r="P302" s="157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4</v>
      </c>
      <c r="Q302" s="157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3</v>
      </c>
      <c r="R302" s="157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-3</v>
      </c>
      <c r="S302" s="157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-1</v>
      </c>
      <c r="T302" s="157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8">
        <f>INDEX('Budget by Source'!$A$6:$I$332,MATCH('Payment by Source'!$A302,'Budget by Source'!$A$6:$A$332,0),MATCH(U$3,'Budget by Source'!$A$5:$I$5,0))</f>
        <v>3403290</v>
      </c>
      <c r="V302" s="155">
        <f t="shared" si="13"/>
        <v>340329</v>
      </c>
      <c r="W302" s="155">
        <f t="shared" si="14"/>
        <v>3403290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10431</v>
      </c>
      <c r="D303" s="22">
        <f>IF(Notes!$B$2="June",ROUND('Budget by Source'!D303/10,0)+Q303,ROUND('Budget by Source'!D303/10,0))</f>
        <v>36698</v>
      </c>
      <c r="E303" s="22">
        <f>IF(Notes!$B$2="June",ROUND('Budget by Source'!E303/10,0)+R303,ROUND('Budget by Source'!E303/10,0))</f>
        <v>4572</v>
      </c>
      <c r="F303" s="22">
        <f>IF(Notes!$B$2="June",ROUND('Budget by Source'!F303/10,0)+S303,ROUND('Budget by Source'!F303/10,0))</f>
        <v>3813</v>
      </c>
      <c r="G303" s="22">
        <f>IF(Notes!$B$2="June",ROUND('Budget by Source'!G303/10,0)+T303,ROUND('Budget by Source'!G303/10,0))</f>
        <v>19533</v>
      </c>
      <c r="H303" s="22">
        <f t="shared" si="12"/>
        <v>287430</v>
      </c>
      <c r="I303" s="22">
        <f>INDEX(Data[],MATCH($A303,Data[Dist],0),MATCH(I$5,Data[#Headers],0))</f>
        <v>362477</v>
      </c>
      <c r="K303" s="69">
        <f>INDEX('Payment Total'!$A$7:$H$333,MATCH('Payment by Source'!$A303,'Payment Total'!$A$7:$A$333,0),5)-I303</f>
        <v>0</v>
      </c>
      <c r="P303" s="157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1</v>
      </c>
      <c r="Q303" s="157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4</v>
      </c>
      <c r="R303" s="157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0</v>
      </c>
      <c r="S303" s="157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3</v>
      </c>
      <c r="T303" s="157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0</v>
      </c>
      <c r="U303" s="158">
        <f>INDEX('Budget by Source'!$A$6:$I$332,MATCH('Payment by Source'!$A303,'Budget by Source'!$A$6:$A$332,0),MATCH(U$3,'Budget by Source'!$A$5:$I$5,0))</f>
        <v>2883115</v>
      </c>
      <c r="V303" s="155">
        <f t="shared" si="13"/>
        <v>288312</v>
      </c>
      <c r="W303" s="155">
        <f t="shared" si="14"/>
        <v>2883120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12230</v>
      </c>
      <c r="D304" s="22">
        <f>IF(Notes!$B$2="June",ROUND('Budget by Source'!D304/10,0)+Q304,ROUND('Budget by Source'!D304/10,0))</f>
        <v>45397</v>
      </c>
      <c r="E304" s="22">
        <f>IF(Notes!$B$2="June",ROUND('Budget by Source'!E304/10,0)+R304,ROUND('Budget by Source'!E304/10,0))</f>
        <v>4977</v>
      </c>
      <c r="F304" s="22">
        <f>IF(Notes!$B$2="June",ROUND('Budget by Source'!F304/10,0)+S304,ROUND('Budget by Source'!F304/10,0))</f>
        <v>4716</v>
      </c>
      <c r="G304" s="22">
        <f>IF(Notes!$B$2="June",ROUND('Budget by Source'!G304/10,0)+T304,ROUND('Budget by Source'!G304/10,0))</f>
        <v>23625</v>
      </c>
      <c r="H304" s="22">
        <f t="shared" si="12"/>
        <v>364370</v>
      </c>
      <c r="I304" s="22">
        <f>INDEX(Data[],MATCH($A304,Data[Dist],0),MATCH(I$5,Data[#Headers],0))</f>
        <v>455315</v>
      </c>
      <c r="K304" s="69">
        <f>INDEX('Payment Total'!$A$7:$H$333,MATCH('Payment by Source'!$A304,'Payment Total'!$A$7:$A$333,0),5)-I304</f>
        <v>0</v>
      </c>
      <c r="P304" s="157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-5</v>
      </c>
      <c r="Q304" s="157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0</v>
      </c>
      <c r="R304" s="157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-5</v>
      </c>
      <c r="S304" s="157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-1</v>
      </c>
      <c r="T304" s="157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1</v>
      </c>
      <c r="U304" s="158">
        <f>INDEX('Budget by Source'!$A$6:$I$332,MATCH('Payment by Source'!$A304,'Budget by Source'!$A$6:$A$332,0),MATCH(U$3,'Budget by Source'!$A$5:$I$5,0))</f>
        <v>3654424</v>
      </c>
      <c r="V304" s="155">
        <f t="shared" si="13"/>
        <v>365442</v>
      </c>
      <c r="W304" s="155">
        <f t="shared" si="14"/>
        <v>3654420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30934</v>
      </c>
      <c r="D305" s="22">
        <f>IF(Notes!$B$2="June",ROUND('Budget by Source'!D305/10,0)+Q305,ROUND('Budget by Source'!D305/10,0))</f>
        <v>103575</v>
      </c>
      <c r="E305" s="22">
        <f>IF(Notes!$B$2="June",ROUND('Budget by Source'!E305/10,0)+R305,ROUND('Budget by Source'!E305/10,0))</f>
        <v>12749</v>
      </c>
      <c r="F305" s="22">
        <f>IF(Notes!$B$2="June",ROUND('Budget by Source'!F305/10,0)+S305,ROUND('Budget by Source'!F305/10,0))</f>
        <v>11484</v>
      </c>
      <c r="G305" s="22">
        <f>IF(Notes!$B$2="June",ROUND('Budget by Source'!G305/10,0)+T305,ROUND('Budget by Source'!G305/10,0))</f>
        <v>58084</v>
      </c>
      <c r="H305" s="22">
        <f t="shared" si="12"/>
        <v>929950</v>
      </c>
      <c r="I305" s="22">
        <f>INDEX(Data[],MATCH($A305,Data[Dist],0),MATCH(I$5,Data[#Headers],0))</f>
        <v>1146776</v>
      </c>
      <c r="K305" s="69">
        <f>INDEX('Payment Total'!$A$7:$H$333,MATCH('Payment by Source'!$A305,'Payment Total'!$A$7:$A$333,0),5)-I305</f>
        <v>0</v>
      </c>
      <c r="P305" s="157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-5</v>
      </c>
      <c r="Q305" s="157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0</v>
      </c>
      <c r="R305" s="157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-4</v>
      </c>
      <c r="S305" s="157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3</v>
      </c>
      <c r="T305" s="157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2</v>
      </c>
      <c r="U305" s="158">
        <f>INDEX('Budget by Source'!$A$6:$I$332,MATCH('Payment by Source'!$A305,'Budget by Source'!$A$6:$A$332,0),MATCH(U$3,'Budget by Source'!$A$5:$I$5,0))</f>
        <v>9325095</v>
      </c>
      <c r="V305" s="155">
        <f t="shared" si="13"/>
        <v>932510</v>
      </c>
      <c r="W305" s="155">
        <f t="shared" si="14"/>
        <v>9325100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152150</v>
      </c>
      <c r="D306" s="22">
        <f>IF(Notes!$B$2="June",ROUND('Budget by Source'!D306/10,0)+Q306,ROUND('Budget by Source'!D306/10,0))</f>
        <v>648488</v>
      </c>
      <c r="E306" s="22">
        <f>IF(Notes!$B$2="June",ROUND('Budget by Source'!E306/10,0)+R306,ROUND('Budget by Source'!E306/10,0))</f>
        <v>89608</v>
      </c>
      <c r="F306" s="22">
        <f>IF(Notes!$B$2="June",ROUND('Budget by Source'!F306/10,0)+S306,ROUND('Budget by Source'!F306/10,0))</f>
        <v>70816</v>
      </c>
      <c r="G306" s="22">
        <f>IF(Notes!$B$2="June",ROUND('Budget by Source'!G306/10,0)+T306,ROUND('Budget by Source'!G306/10,0))</f>
        <v>370943</v>
      </c>
      <c r="H306" s="22">
        <f t="shared" si="12"/>
        <v>7039339</v>
      </c>
      <c r="I306" s="22">
        <f>INDEX(Data[],MATCH($A306,Data[Dist],0),MATCH(I$5,Data[#Headers],0))</f>
        <v>8371344</v>
      </c>
      <c r="K306" s="69">
        <f>INDEX('Payment Total'!$A$7:$H$333,MATCH('Payment by Source'!$A306,'Payment Total'!$A$7:$A$333,0),5)-I306</f>
        <v>0</v>
      </c>
      <c r="P306" s="157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-4</v>
      </c>
      <c r="Q306" s="157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3</v>
      </c>
      <c r="R306" s="157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-2</v>
      </c>
      <c r="S306" s="157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-3</v>
      </c>
      <c r="T306" s="157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-3</v>
      </c>
      <c r="U306" s="158">
        <f>INDEX('Budget by Source'!$A$6:$I$332,MATCH('Payment by Source'!$A306,'Budget by Source'!$A$6:$A$332,0),MATCH(U$3,'Budget by Source'!$A$5:$I$5,0))</f>
        <v>70561674</v>
      </c>
      <c r="V306" s="155">
        <f t="shared" si="13"/>
        <v>7056167</v>
      </c>
      <c r="W306" s="155">
        <f t="shared" si="14"/>
        <v>70561670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30214</v>
      </c>
      <c r="D307" s="22">
        <f>IF(Notes!$B$2="June",ROUND('Budget by Source'!D307/10,0)+Q307,ROUND('Budget by Source'!D307/10,0))</f>
        <v>661940</v>
      </c>
      <c r="E307" s="22">
        <f>IF(Notes!$B$2="June",ROUND('Budget by Source'!E307/10,0)+R307,ROUND('Budget by Source'!E307/10,0))</f>
        <v>87178</v>
      </c>
      <c r="F307" s="22">
        <f>IF(Notes!$B$2="June",ROUND('Budget by Source'!F307/10,0)+S307,ROUND('Budget by Source'!F307/10,0))</f>
        <v>68898</v>
      </c>
      <c r="G307" s="22">
        <f>IF(Notes!$B$2="June",ROUND('Budget by Source'!G307/10,0)+T307,ROUND('Budget by Source'!G307/10,0))</f>
        <v>418699</v>
      </c>
      <c r="H307" s="22">
        <f t="shared" si="12"/>
        <v>5595056</v>
      </c>
      <c r="I307" s="22">
        <f>INDEX(Data[],MATCH($A307,Data[Dist],0),MATCH(I$5,Data[#Headers],0))</f>
        <v>6861985</v>
      </c>
      <c r="K307" s="69">
        <f>INDEX('Payment Total'!$A$7:$H$333,MATCH('Payment by Source'!$A307,'Payment Total'!$A$7:$A$333,0),5)-I307</f>
        <v>0</v>
      </c>
      <c r="P307" s="157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1</v>
      </c>
      <c r="Q307" s="157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-5</v>
      </c>
      <c r="R307" s="157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-5</v>
      </c>
      <c r="S307" s="157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-4</v>
      </c>
      <c r="T307" s="157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0</v>
      </c>
      <c r="U307" s="158">
        <f>INDEX('Budget by Source'!$A$6:$I$332,MATCH('Payment by Source'!$A307,'Budget by Source'!$A$6:$A$332,0),MATCH(U$3,'Budget by Source'!$A$5:$I$5,0))</f>
        <v>56140520</v>
      </c>
      <c r="V307" s="155">
        <f t="shared" si="13"/>
        <v>5614052</v>
      </c>
      <c r="W307" s="155">
        <f t="shared" si="14"/>
        <v>56140520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35250</v>
      </c>
      <c r="D308" s="22">
        <f>IF(Notes!$B$2="June",ROUND('Budget by Source'!D308/10,0)+Q308,ROUND('Budget by Source'!D308/10,0))</f>
        <v>140202</v>
      </c>
      <c r="E308" s="22">
        <f>IF(Notes!$B$2="June",ROUND('Budget by Source'!E308/10,0)+R308,ROUND('Budget by Source'!E308/10,0))</f>
        <v>13458</v>
      </c>
      <c r="F308" s="22">
        <f>IF(Notes!$B$2="June",ROUND('Budget by Source'!F308/10,0)+S308,ROUND('Budget by Source'!F308/10,0))</f>
        <v>15586</v>
      </c>
      <c r="G308" s="22">
        <f>IF(Notes!$B$2="June",ROUND('Budget by Source'!G308/10,0)+T308,ROUND('Budget by Source'!G308/10,0))</f>
        <v>73971</v>
      </c>
      <c r="H308" s="22">
        <f t="shared" si="12"/>
        <v>1087930</v>
      </c>
      <c r="I308" s="22">
        <f>INDEX(Data[],MATCH($A308,Data[Dist],0),MATCH(I$5,Data[#Headers],0))</f>
        <v>1366397</v>
      </c>
      <c r="K308" s="69">
        <f>INDEX('Payment Total'!$A$7:$H$333,MATCH('Payment by Source'!$A308,'Payment Total'!$A$7:$A$333,0),5)-I308</f>
        <v>0</v>
      </c>
      <c r="P308" s="157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-2</v>
      </c>
      <c r="Q308" s="157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-2</v>
      </c>
      <c r="R308" s="157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7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0</v>
      </c>
      <c r="T308" s="157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4</v>
      </c>
      <c r="U308" s="158">
        <f>INDEX('Budget by Source'!$A$6:$I$332,MATCH('Payment by Source'!$A308,'Budget by Source'!$A$6:$A$332,0),MATCH(U$3,'Budget by Source'!$A$5:$I$5,0))</f>
        <v>10912844</v>
      </c>
      <c r="V308" s="155">
        <f t="shared" si="13"/>
        <v>1091284</v>
      </c>
      <c r="W308" s="155">
        <f t="shared" si="14"/>
        <v>10912840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12949</v>
      </c>
      <c r="D309" s="22">
        <f>IF(Notes!$B$2="June",ROUND('Budget by Source'!D309/10,0)+Q309,ROUND('Budget by Source'!D309/10,0))</f>
        <v>41713</v>
      </c>
      <c r="E309" s="22">
        <f>IF(Notes!$B$2="June",ROUND('Budget by Source'!E309/10,0)+R309,ROUND('Budget by Source'!E309/10,0))</f>
        <v>4683</v>
      </c>
      <c r="F309" s="22">
        <f>IF(Notes!$B$2="June",ROUND('Budget by Source'!F309/10,0)+S309,ROUND('Budget by Source'!F309/10,0))</f>
        <v>4649</v>
      </c>
      <c r="G309" s="22">
        <f>IF(Notes!$B$2="June",ROUND('Budget by Source'!G309/10,0)+T309,ROUND('Budget by Source'!G309/10,0))</f>
        <v>20078</v>
      </c>
      <c r="H309" s="22">
        <f t="shared" si="12"/>
        <v>245081</v>
      </c>
      <c r="I309" s="22">
        <f>INDEX(Data[],MATCH($A309,Data[Dist],0),MATCH(I$5,Data[#Headers],0))</f>
        <v>329153</v>
      </c>
      <c r="K309" s="69">
        <f>INDEX('Payment Total'!$A$7:$H$333,MATCH('Payment by Source'!$A309,'Payment Total'!$A$7:$A$333,0),5)-I309</f>
        <v>0</v>
      </c>
      <c r="P309" s="157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-1</v>
      </c>
      <c r="Q309" s="157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0</v>
      </c>
      <c r="R309" s="157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7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0</v>
      </c>
      <c r="T309" s="157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4</v>
      </c>
      <c r="U309" s="158">
        <f>INDEX('Budget by Source'!$A$6:$I$332,MATCH('Payment by Source'!$A309,'Budget by Source'!$A$6:$A$332,0),MATCH(U$3,'Budget by Source'!$A$5:$I$5,0))</f>
        <v>2459443</v>
      </c>
      <c r="V309" s="155">
        <f t="shared" si="13"/>
        <v>245944</v>
      </c>
      <c r="W309" s="155">
        <f t="shared" si="14"/>
        <v>2459440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40645</v>
      </c>
      <c r="D310" s="22">
        <f>IF(Notes!$B$2="June",ROUND('Budget by Source'!D310/10,0)+Q310,ROUND('Budget by Source'!D310/10,0))</f>
        <v>110765</v>
      </c>
      <c r="E310" s="22">
        <f>IF(Notes!$B$2="June",ROUND('Budget by Source'!E310/10,0)+R310,ROUND('Budget by Source'!E310/10,0))</f>
        <v>13542</v>
      </c>
      <c r="F310" s="22">
        <f>IF(Notes!$B$2="June",ROUND('Budget by Source'!F310/10,0)+S310,ROUND('Budget by Source'!F310/10,0))</f>
        <v>12236</v>
      </c>
      <c r="G310" s="22">
        <f>IF(Notes!$B$2="June",ROUND('Budget by Source'!G310/10,0)+T310,ROUND('Budget by Source'!G310/10,0))</f>
        <v>60738</v>
      </c>
      <c r="H310" s="22">
        <f t="shared" si="12"/>
        <v>980918</v>
      </c>
      <c r="I310" s="22">
        <f>INDEX(Data[],MATCH($A310,Data[Dist],0),MATCH(I$5,Data[#Headers],0))</f>
        <v>1218844</v>
      </c>
      <c r="K310" s="69">
        <f>INDEX('Payment Total'!$A$7:$H$333,MATCH('Payment by Source'!$A310,'Payment Total'!$A$7:$A$333,0),5)-I310</f>
        <v>0</v>
      </c>
      <c r="P310" s="157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2</v>
      </c>
      <c r="Q310" s="157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-1</v>
      </c>
      <c r="R310" s="157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7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-3</v>
      </c>
      <c r="T310" s="157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2</v>
      </c>
      <c r="U310" s="158">
        <f>INDEX('Budget by Source'!$A$6:$I$332,MATCH('Payment by Source'!$A310,'Budget by Source'!$A$6:$A$332,0),MATCH(U$3,'Budget by Source'!$A$5:$I$5,0))</f>
        <v>9836733</v>
      </c>
      <c r="V310" s="155">
        <f t="shared" si="13"/>
        <v>983673</v>
      </c>
      <c r="W310" s="155">
        <f t="shared" si="14"/>
        <v>9836730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9712</v>
      </c>
      <c r="D311" s="22">
        <f>IF(Notes!$B$2="June",ROUND('Budget by Source'!D311/10,0)+Q311,ROUND('Budget by Source'!D311/10,0))</f>
        <v>21449</v>
      </c>
      <c r="E311" s="22">
        <f>IF(Notes!$B$2="June",ROUND('Budget by Source'!E311/10,0)+R311,ROUND('Budget by Source'!E311/10,0))</f>
        <v>2046</v>
      </c>
      <c r="F311" s="22">
        <f>IF(Notes!$B$2="June",ROUND('Budget by Source'!F311/10,0)+S311,ROUND('Budget by Source'!F311/10,0))</f>
        <v>2288</v>
      </c>
      <c r="G311" s="22">
        <f>IF(Notes!$B$2="June",ROUND('Budget by Source'!G311/10,0)+T311,ROUND('Budget by Source'!G311/10,0))</f>
        <v>10716</v>
      </c>
      <c r="H311" s="22">
        <f t="shared" si="12"/>
        <v>107429</v>
      </c>
      <c r="I311" s="22">
        <f>INDEX(Data[],MATCH($A311,Data[Dist],0),MATCH(I$5,Data[#Headers],0))</f>
        <v>153640</v>
      </c>
      <c r="K311" s="69">
        <f>INDEX('Payment Total'!$A$7:$H$333,MATCH('Payment by Source'!$A311,'Payment Total'!$A$7:$A$333,0),5)-I311</f>
        <v>0</v>
      </c>
      <c r="P311" s="157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-3</v>
      </c>
      <c r="Q311" s="157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-4</v>
      </c>
      <c r="R311" s="157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7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4</v>
      </c>
      <c r="T311" s="157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4</v>
      </c>
      <c r="U311" s="158">
        <f>INDEX('Budget by Source'!$A$6:$I$332,MATCH('Payment by Source'!$A311,'Budget by Source'!$A$6:$A$332,0),MATCH(U$3,'Budget by Source'!$A$5:$I$5,0))</f>
        <v>1079146</v>
      </c>
      <c r="V311" s="155">
        <f t="shared" si="13"/>
        <v>107915</v>
      </c>
      <c r="W311" s="155">
        <f t="shared" si="14"/>
        <v>1079150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17625</v>
      </c>
      <c r="D312" s="22">
        <f>IF(Notes!$B$2="June",ROUND('Budget by Source'!D312/10,0)+Q312,ROUND('Budget by Source'!D312/10,0))</f>
        <v>46632</v>
      </c>
      <c r="E312" s="22">
        <f>IF(Notes!$B$2="June",ROUND('Budget by Source'!E312/10,0)+R312,ROUND('Budget by Source'!E312/10,0))</f>
        <v>5095</v>
      </c>
      <c r="F312" s="22">
        <f>IF(Notes!$B$2="June",ROUND('Budget by Source'!F312/10,0)+S312,ROUND('Budget by Source'!F312/10,0))</f>
        <v>4968</v>
      </c>
      <c r="G312" s="22">
        <f>IF(Notes!$B$2="June",ROUND('Budget by Source'!G312/10,0)+T312,ROUND('Budget by Source'!G312/10,0))</f>
        <v>26456</v>
      </c>
      <c r="H312" s="22">
        <f t="shared" si="12"/>
        <v>326504</v>
      </c>
      <c r="I312" s="22">
        <f>INDEX(Data[],MATCH($A312,Data[Dist],0),MATCH(I$5,Data[#Headers],0))</f>
        <v>427280</v>
      </c>
      <c r="K312" s="69">
        <f>INDEX('Payment Total'!$A$7:$H$333,MATCH('Payment by Source'!$A312,'Payment Total'!$A$7:$A$333,0),5)-I312</f>
        <v>0</v>
      </c>
      <c r="P312" s="157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-1</v>
      </c>
      <c r="Q312" s="157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1</v>
      </c>
      <c r="R312" s="157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4</v>
      </c>
      <c r="S312" s="157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0</v>
      </c>
      <c r="T312" s="157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0</v>
      </c>
      <c r="U312" s="158">
        <f>INDEX('Budget by Source'!$A$6:$I$332,MATCH('Payment by Source'!$A312,'Budget by Source'!$A$6:$A$332,0),MATCH(U$3,'Budget by Source'!$A$5:$I$5,0))</f>
        <v>3277039</v>
      </c>
      <c r="V312" s="155">
        <f t="shared" si="13"/>
        <v>327704</v>
      </c>
      <c r="W312" s="155">
        <f t="shared" si="14"/>
        <v>3277040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17265</v>
      </c>
      <c r="D313" s="22">
        <f>IF(Notes!$B$2="June",ROUND('Budget by Source'!D313/10,0)+Q313,ROUND('Budget by Source'!D313/10,0))</f>
        <v>33683</v>
      </c>
      <c r="E313" s="22">
        <f>IF(Notes!$B$2="June",ROUND('Budget by Source'!E313/10,0)+R313,ROUND('Budget by Source'!E313/10,0))</f>
        <v>5443</v>
      </c>
      <c r="F313" s="22">
        <f>IF(Notes!$B$2="June",ROUND('Budget by Source'!F313/10,0)+S313,ROUND('Budget by Source'!F313/10,0))</f>
        <v>4323</v>
      </c>
      <c r="G313" s="22">
        <f>IF(Notes!$B$2="June",ROUND('Budget by Source'!G313/10,0)+T313,ROUND('Budget by Source'!G313/10,0))</f>
        <v>15626</v>
      </c>
      <c r="H313" s="22">
        <f t="shared" si="12"/>
        <v>219179</v>
      </c>
      <c r="I313" s="22">
        <f>INDEX(Data[],MATCH($A313,Data[Dist],0),MATCH(I$5,Data[#Headers],0))</f>
        <v>295519</v>
      </c>
      <c r="K313" s="69">
        <f>INDEX('Payment Total'!$A$7:$H$333,MATCH('Payment by Source'!$A313,'Payment Total'!$A$7:$A$333,0),5)-I313</f>
        <v>0</v>
      </c>
      <c r="P313" s="157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2</v>
      </c>
      <c r="Q313" s="157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7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-4</v>
      </c>
      <c r="S313" s="157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7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4</v>
      </c>
      <c r="U313" s="158">
        <f>INDEX('Budget by Source'!$A$6:$I$332,MATCH('Payment by Source'!$A313,'Budget by Source'!$A$6:$A$332,0),MATCH(U$3,'Budget by Source'!$A$5:$I$5,0))</f>
        <v>2198830</v>
      </c>
      <c r="V313" s="155">
        <f t="shared" si="13"/>
        <v>219883</v>
      </c>
      <c r="W313" s="155">
        <f t="shared" si="14"/>
        <v>2198830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3597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1694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107421</v>
      </c>
      <c r="I314" s="22">
        <f>INDEX(Data[],MATCH($A314,Data[Dist],0),MATCH(I$5,Data[#Headers],0))</f>
        <v>140999</v>
      </c>
      <c r="K314" s="69">
        <f>INDEX('Payment Total'!$A$7:$H$333,MATCH('Payment by Source'!$A314,'Payment Total'!$A$7:$A$333,0),5)-I314</f>
        <v>0</v>
      </c>
      <c r="P314" s="157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7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7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4</v>
      </c>
      <c r="S314" s="157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7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8">
        <f>INDEX('Budget by Source'!$A$6:$I$332,MATCH('Payment by Source'!$A314,'Budget by Source'!$A$6:$A$332,0),MATCH(U$3,'Budget by Source'!$A$5:$I$5,0))</f>
        <v>1078349</v>
      </c>
      <c r="V314" s="155">
        <f t="shared" si="13"/>
        <v>107835</v>
      </c>
      <c r="W314" s="155">
        <f t="shared" si="14"/>
        <v>1078350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21941</v>
      </c>
      <c r="D315" s="22">
        <f>IF(Notes!$B$2="June",ROUND('Budget by Source'!D315/10,0)+Q315,ROUND('Budget by Source'!D315/10,0))</f>
        <v>86807</v>
      </c>
      <c r="E315" s="22">
        <f>IF(Notes!$B$2="June",ROUND('Budget by Source'!E315/10,0)+R315,ROUND('Budget by Source'!E315/10,0))</f>
        <v>9533</v>
      </c>
      <c r="F315" s="22">
        <f>IF(Notes!$B$2="June",ROUND('Budget by Source'!F315/10,0)+S315,ROUND('Budget by Source'!F315/10,0))</f>
        <v>9640</v>
      </c>
      <c r="G315" s="22">
        <f>IF(Notes!$B$2="June",ROUND('Budget by Source'!G315/10,0)+T315,ROUND('Budget by Source'!G315/10,0))</f>
        <v>48845</v>
      </c>
      <c r="H315" s="22">
        <f t="shared" si="12"/>
        <v>660017</v>
      </c>
      <c r="I315" s="22">
        <f>INDEX(Data[],MATCH($A315,Data[Dist],0),MATCH(I$5,Data[#Headers],0))</f>
        <v>836783</v>
      </c>
      <c r="K315" s="69">
        <f>INDEX('Payment Total'!$A$7:$H$333,MATCH('Payment by Source'!$A315,'Payment Total'!$A$7:$A$333,0),5)-I315</f>
        <v>0</v>
      </c>
      <c r="P315" s="157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2</v>
      </c>
      <c r="Q315" s="157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0</v>
      </c>
      <c r="R315" s="157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4</v>
      </c>
      <c r="S315" s="157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-2</v>
      </c>
      <c r="T315" s="157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4</v>
      </c>
      <c r="U315" s="158">
        <f>INDEX('Budget by Source'!$A$6:$I$332,MATCH('Payment by Source'!$A315,'Budget by Source'!$A$6:$A$332,0),MATCH(U$3,'Budget by Source'!$A$5:$I$5,0))</f>
        <v>6622321</v>
      </c>
      <c r="V315" s="155">
        <f t="shared" si="13"/>
        <v>662232</v>
      </c>
      <c r="W315" s="155">
        <f t="shared" si="14"/>
        <v>6622320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142438</v>
      </c>
      <c r="D316" s="22">
        <f>IF(Notes!$B$2="June",ROUND('Budget by Source'!D316/10,0)+Q316,ROUND('Budget by Source'!D316/10,0))</f>
        <v>523473</v>
      </c>
      <c r="E316" s="22">
        <f>IF(Notes!$B$2="June",ROUND('Budget by Source'!E316/10,0)+R316,ROUND('Budget by Source'!E316/10,0))</f>
        <v>58768</v>
      </c>
      <c r="F316" s="22">
        <f>IF(Notes!$B$2="June",ROUND('Budget by Source'!F316/10,0)+S316,ROUND('Budget by Source'!F316/10,0))</f>
        <v>59624</v>
      </c>
      <c r="G316" s="22">
        <f>IF(Notes!$B$2="June",ROUND('Budget by Source'!G316/10,0)+T316,ROUND('Budget by Source'!G316/10,0))</f>
        <v>307883</v>
      </c>
      <c r="H316" s="22">
        <f t="shared" si="12"/>
        <v>3546914</v>
      </c>
      <c r="I316" s="22">
        <f>INDEX(Data[],MATCH($A316,Data[Dist],0),MATCH(I$5,Data[#Headers],0))</f>
        <v>4639100</v>
      </c>
      <c r="K316" s="69">
        <f>INDEX('Payment Total'!$A$7:$H$333,MATCH('Payment by Source'!$A316,'Payment Total'!$A$7:$A$333,0),5)-I316</f>
        <v>0</v>
      </c>
      <c r="P316" s="157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-2</v>
      </c>
      <c r="Q316" s="157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-1</v>
      </c>
      <c r="R316" s="157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3</v>
      </c>
      <c r="S316" s="157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7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2</v>
      </c>
      <c r="U316" s="158">
        <f>INDEX('Budget by Source'!$A$6:$I$332,MATCH('Payment by Source'!$A316,'Budget by Source'!$A$6:$A$332,0),MATCH(U$3,'Budget by Source'!$A$5:$I$5,0))</f>
        <v>35608818</v>
      </c>
      <c r="V316" s="155">
        <f t="shared" si="13"/>
        <v>3560882</v>
      </c>
      <c r="W316" s="155">
        <f t="shared" si="14"/>
        <v>35608820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97476</v>
      </c>
      <c r="D317" s="22">
        <f>IF(Notes!$B$2="June",ROUND('Budget by Source'!D317/10,0)+Q317,ROUND('Budget by Source'!D317/10,0))</f>
        <v>196793</v>
      </c>
      <c r="E317" s="22">
        <f>IF(Notes!$B$2="June",ROUND('Budget by Source'!E317/10,0)+R317,ROUND('Budget by Source'!E317/10,0))</f>
        <v>22646</v>
      </c>
      <c r="F317" s="22">
        <f>IF(Notes!$B$2="June",ROUND('Budget by Source'!F317/10,0)+S317,ROUND('Budget by Source'!F317/10,0))</f>
        <v>21892</v>
      </c>
      <c r="G317" s="22">
        <f>IF(Notes!$B$2="June",ROUND('Budget by Source'!G317/10,0)+T317,ROUND('Budget by Source'!G317/10,0))</f>
        <v>111622</v>
      </c>
      <c r="H317" s="22">
        <f t="shared" si="12"/>
        <v>1424266</v>
      </c>
      <c r="I317" s="22">
        <f>INDEX(Data[],MATCH($A317,Data[Dist],0),MATCH(I$5,Data[#Headers],0))</f>
        <v>1874695</v>
      </c>
      <c r="K317" s="69">
        <f>INDEX('Payment Total'!$A$7:$H$333,MATCH('Payment by Source'!$A317,'Payment Total'!$A$7:$A$333,0),5)-I317</f>
        <v>0</v>
      </c>
      <c r="P317" s="157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4</v>
      </c>
      <c r="Q317" s="157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-1</v>
      </c>
      <c r="R317" s="157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7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-5</v>
      </c>
      <c r="T317" s="157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1</v>
      </c>
      <c r="U317" s="158">
        <f>INDEX('Budget by Source'!$A$6:$I$332,MATCH('Payment by Source'!$A317,'Budget by Source'!$A$6:$A$332,0),MATCH(U$3,'Budget by Source'!$A$5:$I$5,0))</f>
        <v>14293299</v>
      </c>
      <c r="V317" s="155">
        <f t="shared" si="13"/>
        <v>1429330</v>
      </c>
      <c r="W317" s="155">
        <f t="shared" si="14"/>
        <v>14293300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6834</v>
      </c>
      <c r="D318" s="22">
        <f>IF(Notes!$B$2="June",ROUND('Budget by Source'!D318/10,0)+Q318,ROUND('Budget by Source'!D318/10,0))</f>
        <v>21636</v>
      </c>
      <c r="E318" s="22">
        <f>IF(Notes!$B$2="June",ROUND('Budget by Source'!E318/10,0)+R318,ROUND('Budget by Source'!E318/10,0))</f>
        <v>2032</v>
      </c>
      <c r="F318" s="22">
        <f>IF(Notes!$B$2="June",ROUND('Budget by Source'!F318/10,0)+S318,ROUND('Budget by Source'!F318/10,0))</f>
        <v>2367</v>
      </c>
      <c r="G318" s="22">
        <f>IF(Notes!$B$2="June",ROUND('Budget by Source'!G318/10,0)+T318,ROUND('Budget by Source'!G318/10,0))</f>
        <v>11858</v>
      </c>
      <c r="H318" s="22">
        <f t="shared" si="12"/>
        <v>122413</v>
      </c>
      <c r="I318" s="22">
        <f>INDEX(Data[],MATCH($A318,Data[Dist],0),MATCH(I$5,Data[#Headers],0))</f>
        <v>167140</v>
      </c>
      <c r="K318" s="69">
        <f>INDEX('Payment Total'!$A$7:$H$333,MATCH('Payment by Source'!$A318,'Payment Total'!$A$7:$A$333,0),5)-I318</f>
        <v>0</v>
      </c>
      <c r="P318" s="157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2</v>
      </c>
      <c r="Q318" s="157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2</v>
      </c>
      <c r="R318" s="157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1</v>
      </c>
      <c r="S318" s="157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4</v>
      </c>
      <c r="T318" s="157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-1</v>
      </c>
      <c r="U318" s="158">
        <f>INDEX('Budget by Source'!$A$6:$I$332,MATCH('Payment by Source'!$A318,'Budget by Source'!$A$6:$A$332,0),MATCH(U$3,'Budget by Source'!$A$5:$I$5,0))</f>
        <v>1229505</v>
      </c>
      <c r="V318" s="155">
        <f t="shared" si="13"/>
        <v>122951</v>
      </c>
      <c r="W318" s="155">
        <f t="shared" si="14"/>
        <v>1229510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30559</v>
      </c>
      <c r="D319" s="22">
        <f>IF(Notes!$B$2="June",ROUND('Budget by Source'!D319/10,0)+Q319,ROUND('Budget by Source'!D319/10,0))</f>
        <v>79712</v>
      </c>
      <c r="E319" s="22">
        <f>IF(Notes!$B$2="June",ROUND('Budget by Source'!E319/10,0)+R319,ROUND('Budget by Source'!E319/10,0))</f>
        <v>10914</v>
      </c>
      <c r="F319" s="22">
        <f>IF(Notes!$B$2="June",ROUND('Budget by Source'!F319/10,0)+S319,ROUND('Budget by Source'!F319/10,0))</f>
        <v>8356</v>
      </c>
      <c r="G319" s="22">
        <f>IF(Notes!$B$2="June",ROUND('Budget by Source'!G319/10,0)+T319,ROUND('Budget by Source'!G319/10,0))</f>
        <v>44374</v>
      </c>
      <c r="H319" s="22">
        <f t="shared" si="12"/>
        <v>708588</v>
      </c>
      <c r="I319" s="22">
        <f>INDEX(Data[],MATCH($A319,Data[Dist],0),MATCH(I$5,Data[#Headers],0))</f>
        <v>882503</v>
      </c>
      <c r="K319" s="69">
        <f>INDEX('Payment Total'!$A$7:$H$333,MATCH('Payment by Source'!$A319,'Payment Total'!$A$7:$A$333,0),5)-I319</f>
        <v>0</v>
      </c>
      <c r="P319" s="157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2</v>
      </c>
      <c r="Q319" s="157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2</v>
      </c>
      <c r="R319" s="157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-5</v>
      </c>
      <c r="S319" s="157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-4</v>
      </c>
      <c r="T319" s="157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-3</v>
      </c>
      <c r="U319" s="158">
        <f>INDEX('Budget by Source'!$A$6:$I$332,MATCH('Payment by Source'!$A319,'Budget by Source'!$A$6:$A$332,0),MATCH(U$3,'Budget by Source'!$A$5:$I$5,0))</f>
        <v>7408090</v>
      </c>
      <c r="V319" s="155">
        <f t="shared" si="13"/>
        <v>740809</v>
      </c>
      <c r="W319" s="155">
        <f t="shared" si="14"/>
        <v>7408090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22301</v>
      </c>
      <c r="D320" s="22">
        <f>IF(Notes!$B$2="June",ROUND('Budget by Source'!D320/10,0)+Q320,ROUND('Budget by Source'!D320/10,0))</f>
        <v>55146</v>
      </c>
      <c r="E320" s="22">
        <f>IF(Notes!$B$2="June",ROUND('Budget by Source'!E320/10,0)+R320,ROUND('Budget by Source'!E320/10,0))</f>
        <v>6356</v>
      </c>
      <c r="F320" s="22">
        <f>IF(Notes!$B$2="June",ROUND('Budget by Source'!F320/10,0)+S320,ROUND('Budget by Source'!F320/10,0))</f>
        <v>6204</v>
      </c>
      <c r="G320" s="22">
        <f>IF(Notes!$B$2="June",ROUND('Budget by Source'!G320/10,0)+T320,ROUND('Budget by Source'!G320/10,0))</f>
        <v>32834</v>
      </c>
      <c r="H320" s="22">
        <f t="shared" si="12"/>
        <v>371511</v>
      </c>
      <c r="I320" s="22">
        <f>INDEX(Data[],MATCH($A320,Data[Dist],0),MATCH(I$5,Data[#Headers],0))</f>
        <v>494352</v>
      </c>
      <c r="K320" s="69">
        <f>INDEX('Payment Total'!$A$7:$H$333,MATCH('Payment by Source'!$A320,'Payment Total'!$A$7:$A$333,0),5)-I320</f>
        <v>0</v>
      </c>
      <c r="P320" s="157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-1</v>
      </c>
      <c r="Q320" s="157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-5</v>
      </c>
      <c r="R320" s="157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-4</v>
      </c>
      <c r="S320" s="157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2</v>
      </c>
      <c r="T320" s="157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-5</v>
      </c>
      <c r="U320" s="158">
        <f>INDEX('Budget by Source'!$A$6:$I$332,MATCH('Payment by Source'!$A320,'Budget by Source'!$A$6:$A$332,0),MATCH(U$3,'Budget by Source'!$A$5:$I$5,0))</f>
        <v>3730018</v>
      </c>
      <c r="V320" s="155">
        <f t="shared" si="13"/>
        <v>373002</v>
      </c>
      <c r="W320" s="155">
        <f t="shared" si="14"/>
        <v>3730020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17265</v>
      </c>
      <c r="D321" s="22">
        <f>IF(Notes!$B$2="June",ROUND('Budget by Source'!D321/10,0)+Q321,ROUND('Budget by Source'!D321/10,0))</f>
        <v>50616</v>
      </c>
      <c r="E321" s="22">
        <f>IF(Notes!$B$2="June",ROUND('Budget by Source'!E321/10,0)+R321,ROUND('Budget by Source'!E321/10,0))</f>
        <v>6099</v>
      </c>
      <c r="F321" s="22">
        <f>IF(Notes!$B$2="June",ROUND('Budget by Source'!F321/10,0)+S321,ROUND('Budget by Source'!F321/10,0))</f>
        <v>4993</v>
      </c>
      <c r="G321" s="22">
        <f>IF(Notes!$B$2="June",ROUND('Budget by Source'!G321/10,0)+T321,ROUND('Budget by Source'!G321/10,0))</f>
        <v>28460</v>
      </c>
      <c r="H321" s="22">
        <f t="shared" si="12"/>
        <v>403868</v>
      </c>
      <c r="I321" s="22">
        <f>INDEX(Data[],MATCH($A321,Data[Dist],0),MATCH(I$5,Data[#Headers],0))</f>
        <v>511301</v>
      </c>
      <c r="K321" s="69">
        <f>INDEX('Payment Total'!$A$7:$H$333,MATCH('Payment by Source'!$A321,'Payment Total'!$A$7:$A$333,0),5)-I321</f>
        <v>0</v>
      </c>
      <c r="P321" s="157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2</v>
      </c>
      <c r="Q321" s="157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3</v>
      </c>
      <c r="R321" s="157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3</v>
      </c>
      <c r="S321" s="157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-1</v>
      </c>
      <c r="T321" s="157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-3</v>
      </c>
      <c r="U321" s="158">
        <f>INDEX('Budget by Source'!$A$6:$I$332,MATCH('Payment by Source'!$A321,'Budget by Source'!$A$6:$A$332,0),MATCH(U$3,'Budget by Source'!$A$5:$I$5,0))</f>
        <v>4051583</v>
      </c>
      <c r="V321" s="155">
        <f t="shared" si="13"/>
        <v>405158</v>
      </c>
      <c r="W321" s="155">
        <f t="shared" si="14"/>
        <v>4051580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16906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4605</v>
      </c>
      <c r="F322" s="22">
        <f>IF(Notes!$B$2="June",ROUND('Budget by Source'!F322/10,0)+S322,ROUND('Budget by Source'!F322/10,0))</f>
        <v>4297</v>
      </c>
      <c r="G322" s="22">
        <f>IF(Notes!$B$2="June",ROUND('Budget by Source'!G322/10,0)+T322,ROUND('Budget by Source'!G322/10,0))</f>
        <v>21998</v>
      </c>
      <c r="H322" s="22">
        <f t="shared" si="12"/>
        <v>277049</v>
      </c>
      <c r="I322" s="22">
        <f>INDEX(Data[],MATCH($A322,Data[Dist],0),MATCH(I$5,Data[#Headers],0))</f>
        <v>365316</v>
      </c>
      <c r="K322" s="69">
        <f>INDEX('Payment Total'!$A$7:$H$333,MATCH('Payment by Source'!$A322,'Payment Total'!$A$7:$A$333,0),5)-I322</f>
        <v>0</v>
      </c>
      <c r="P322" s="157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-4</v>
      </c>
      <c r="Q322" s="157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7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-1</v>
      </c>
      <c r="S322" s="157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3</v>
      </c>
      <c r="T322" s="157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8">
        <f>INDEX('Budget by Source'!$A$6:$I$332,MATCH('Payment by Source'!$A322,'Budget by Source'!$A$6:$A$332,0),MATCH(U$3,'Budget by Source'!$A$5:$I$5,0))</f>
        <v>2922818</v>
      </c>
      <c r="V322" s="155">
        <f t="shared" si="13"/>
        <v>292282</v>
      </c>
      <c r="W322" s="155">
        <f t="shared" si="14"/>
        <v>2922820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17265</v>
      </c>
      <c r="D323" s="22">
        <f>IF(Notes!$B$2="June",ROUND('Budget by Source'!D323/10,0)+Q323,ROUND('Budget by Source'!D323/10,0))</f>
        <v>55999</v>
      </c>
      <c r="E323" s="22">
        <f>IF(Notes!$B$2="June",ROUND('Budget by Source'!E323/10,0)+R323,ROUND('Budget by Source'!E323/10,0))</f>
        <v>6645</v>
      </c>
      <c r="F323" s="22">
        <f>IF(Notes!$B$2="June",ROUND('Budget by Source'!F323/10,0)+S323,ROUND('Budget by Source'!F323/10,0))</f>
        <v>6430</v>
      </c>
      <c r="G323" s="22">
        <f>IF(Notes!$B$2="June",ROUND('Budget by Source'!G323/10,0)+T323,ROUND('Budget by Source'!G323/10,0))</f>
        <v>29927</v>
      </c>
      <c r="H323" s="22">
        <f t="shared" si="12"/>
        <v>516705</v>
      </c>
      <c r="I323" s="22">
        <f>INDEX(Data[],MATCH($A323,Data[Dist],0),MATCH(I$5,Data[#Headers],0))</f>
        <v>632971</v>
      </c>
      <c r="K323" s="69">
        <f>INDEX('Payment Total'!$A$7:$H$333,MATCH('Payment by Source'!$A323,'Payment Total'!$A$7:$A$333,0),5)-I323</f>
        <v>0</v>
      </c>
      <c r="P323" s="157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2</v>
      </c>
      <c r="Q323" s="157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-4</v>
      </c>
      <c r="R323" s="157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-2</v>
      </c>
      <c r="S323" s="157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-3</v>
      </c>
      <c r="T323" s="157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-3</v>
      </c>
      <c r="U323" s="158">
        <f>INDEX('Budget by Source'!$A$6:$I$332,MATCH('Payment by Source'!$A323,'Budget by Source'!$A$6:$A$332,0),MATCH(U$3,'Budget by Source'!$A$5:$I$5,0))</f>
        <v>5180198</v>
      </c>
      <c r="V323" s="155">
        <f t="shared" si="13"/>
        <v>518020</v>
      </c>
      <c r="W323" s="155">
        <f t="shared" si="14"/>
        <v>5180200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11510</v>
      </c>
      <c r="D324" s="22">
        <f>IF(Notes!$B$2="June",ROUND('Budget by Source'!D324/10,0)+Q324,ROUND('Budget by Source'!D324/10,0))</f>
        <v>35377</v>
      </c>
      <c r="E324" s="22">
        <f>IF(Notes!$B$2="June",ROUND('Budget by Source'!E324/10,0)+R324,ROUND('Budget by Source'!E324/10,0))</f>
        <v>4028</v>
      </c>
      <c r="F324" s="22">
        <f>IF(Notes!$B$2="June",ROUND('Budget by Source'!F324/10,0)+S324,ROUND('Budget by Source'!F324/10,0))</f>
        <v>4078</v>
      </c>
      <c r="G324" s="22">
        <f>IF(Notes!$B$2="June",ROUND('Budget by Source'!G324/10,0)+T324,ROUND('Budget by Source'!G324/10,0))</f>
        <v>18810</v>
      </c>
      <c r="H324" s="22">
        <f t="shared" si="12"/>
        <v>199994</v>
      </c>
      <c r="I324" s="22">
        <f>INDEX(Data[],MATCH($A324,Data[Dist],0),MATCH(I$5,Data[#Headers],0))</f>
        <v>273797</v>
      </c>
      <c r="K324" s="69">
        <f>INDEX('Payment Total'!$A$7:$H$333,MATCH('Payment by Source'!$A324,'Payment Total'!$A$7:$A$333,0),5)-I324</f>
        <v>0</v>
      </c>
      <c r="P324" s="157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1</v>
      </c>
      <c r="Q324" s="157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0</v>
      </c>
      <c r="R324" s="157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1</v>
      </c>
      <c r="S324" s="157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-2</v>
      </c>
      <c r="T324" s="157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8">
        <f>INDEX('Budget by Source'!$A$6:$I$332,MATCH('Payment by Source'!$A324,'Budget by Source'!$A$6:$A$332,0),MATCH(U$3,'Budget by Source'!$A$5:$I$5,0))</f>
        <v>2008376</v>
      </c>
      <c r="V324" s="155">
        <f t="shared" si="13"/>
        <v>200838</v>
      </c>
      <c r="W324" s="155">
        <f t="shared" si="14"/>
        <v>2008380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4691</v>
      </c>
      <c r="D325" s="22">
        <f>IF(Notes!$B$2="June",ROUND('Budget by Source'!D325/10,0)+Q325,ROUND('Budget by Source'!D325/10,0))</f>
        <v>14145</v>
      </c>
      <c r="E325" s="22">
        <f>IF(Notes!$B$2="June",ROUND('Budget by Source'!E325/10,0)+R325,ROUND('Budget by Source'!E325/10,0))</f>
        <v>1755</v>
      </c>
      <c r="F325" s="22">
        <f>IF(Notes!$B$2="June",ROUND('Budget by Source'!F325/10,0)+S325,ROUND('Budget by Source'!F325/10,0))</f>
        <v>1595</v>
      </c>
      <c r="G325" s="22">
        <f>IF(Notes!$B$2="June",ROUND('Budget by Source'!G325/10,0)+T325,ROUND('Budget by Source'!G325/10,0))</f>
        <v>6531</v>
      </c>
      <c r="H325" s="22">
        <f t="shared" si="12"/>
        <v>75541</v>
      </c>
      <c r="I325" s="22">
        <f>INDEX(Data[],MATCH($A325,Data[Dist],0),MATCH(I$5,Data[#Headers],0))</f>
        <v>104258</v>
      </c>
      <c r="K325" s="69">
        <f>INDEX('Payment Total'!$A$7:$H$333,MATCH('Payment by Source'!$A325,'Payment Total'!$A$7:$A$333,0),5)-I325</f>
        <v>0</v>
      </c>
      <c r="P325" s="157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-4</v>
      </c>
      <c r="Q325" s="157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1</v>
      </c>
      <c r="R325" s="157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2</v>
      </c>
      <c r="S325" s="157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0</v>
      </c>
      <c r="T325" s="157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1</v>
      </c>
      <c r="U325" s="158">
        <f>INDEX('Budget by Source'!$A$6:$I$332,MATCH('Payment by Source'!$A325,'Budget by Source'!$A$6:$A$332,0),MATCH(U$3,'Budget by Source'!$A$5:$I$5,0))</f>
        <v>758370</v>
      </c>
      <c r="V325" s="155">
        <f t="shared" si="13"/>
        <v>75837</v>
      </c>
      <c r="W325" s="155">
        <f t="shared" si="14"/>
        <v>758370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20503</v>
      </c>
      <c r="D326" s="22">
        <f>IF(Notes!$B$2="June",ROUND('Budget by Source'!D326/10,0)+Q326,ROUND('Budget by Source'!D326/10,0))</f>
        <v>70998</v>
      </c>
      <c r="E326" s="22">
        <f>IF(Notes!$B$2="June",ROUND('Budget by Source'!E326/10,0)+R326,ROUND('Budget by Source'!E326/10,0))</f>
        <v>6867</v>
      </c>
      <c r="F326" s="22">
        <f>IF(Notes!$B$2="June",ROUND('Budget by Source'!F326/10,0)+S326,ROUND('Budget by Source'!F326/10,0))</f>
        <v>7780</v>
      </c>
      <c r="G326" s="22">
        <f>IF(Notes!$B$2="June",ROUND('Budget by Source'!G326/10,0)+T326,ROUND('Budget by Source'!G326/10,0))</f>
        <v>39885</v>
      </c>
      <c r="H326" s="22">
        <f t="shared" si="12"/>
        <v>551712</v>
      </c>
      <c r="I326" s="22">
        <f>INDEX(Data[],MATCH($A326,Data[Dist],0),MATCH(I$5,Data[#Headers],0))</f>
        <v>697745</v>
      </c>
      <c r="K326" s="69">
        <f>INDEX('Payment Total'!$A$7:$H$333,MATCH('Payment by Source'!$A326,'Payment Total'!$A$7:$A$333,0),5)-I326</f>
        <v>0</v>
      </c>
      <c r="P326" s="157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-5</v>
      </c>
      <c r="Q326" s="157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-3</v>
      </c>
      <c r="R326" s="157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0</v>
      </c>
      <c r="S326" s="157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0</v>
      </c>
      <c r="T326" s="157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-3</v>
      </c>
      <c r="U326" s="158">
        <f>INDEX('Budget by Source'!$A$6:$I$332,MATCH('Payment by Source'!$A326,'Budget by Source'!$A$6:$A$332,0),MATCH(U$3,'Budget by Source'!$A$5:$I$5,0))</f>
        <v>5535230</v>
      </c>
      <c r="V326" s="155">
        <f t="shared" si="13"/>
        <v>553523</v>
      </c>
      <c r="W326" s="155">
        <f t="shared" si="14"/>
        <v>5535230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11151</v>
      </c>
      <c r="D327" s="22">
        <f>IF(Notes!$B$2="June",ROUND('Budget by Source'!D327/10,0)+Q327,ROUND('Budget by Source'!D327/10,0))</f>
        <v>53589</v>
      </c>
      <c r="E327" s="22">
        <f>IF(Notes!$B$2="June",ROUND('Budget by Source'!E327/10,0)+R327,ROUND('Budget by Source'!E327/10,0))</f>
        <v>6104</v>
      </c>
      <c r="F327" s="22">
        <f>IF(Notes!$B$2="June",ROUND('Budget by Source'!F327/10,0)+S327,ROUND('Budget by Source'!F327/10,0))</f>
        <v>5988</v>
      </c>
      <c r="G327" s="22">
        <f>IF(Notes!$B$2="June",ROUND('Budget by Source'!G327/10,0)+T327,ROUND('Budget by Source'!G327/10,0))</f>
        <v>29441</v>
      </c>
      <c r="H327" s="22">
        <f t="shared" ref="H327:H332" si="15">I327-SUM(C327:G327)</f>
        <v>445351</v>
      </c>
      <c r="I327" s="22">
        <f>INDEX(Data[],MATCH($A327,Data[Dist],0),MATCH(I$5,Data[#Headers],0))</f>
        <v>551624</v>
      </c>
      <c r="K327" s="69">
        <f>INDEX('Payment Total'!$A$7:$H$333,MATCH('Payment by Source'!$A327,'Payment Total'!$A$7:$A$333,0),5)-I327</f>
        <v>0</v>
      </c>
      <c r="P327" s="157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-5</v>
      </c>
      <c r="Q327" s="157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-2</v>
      </c>
      <c r="R327" s="157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-3</v>
      </c>
      <c r="S327" s="157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1</v>
      </c>
      <c r="T327" s="157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-4</v>
      </c>
      <c r="U327" s="158">
        <f>INDEX('Budget by Source'!$A$6:$I$332,MATCH('Payment by Source'!$A327,'Budget by Source'!$A$6:$A$332,0),MATCH(U$3,'Budget by Source'!$A$5:$I$5,0))</f>
        <v>4466879</v>
      </c>
      <c r="V327" s="155">
        <f t="shared" ref="V327:V332" si="16">ROUND(U327/10,0)</f>
        <v>446688</v>
      </c>
      <c r="W327" s="155">
        <f t="shared" ref="W327:W332" si="17">V327*10</f>
        <v>4466880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8273</v>
      </c>
      <c r="D328" s="22">
        <f>IF(Notes!$B$2="June",ROUND('Budget by Source'!D328/10,0)+Q328,ROUND('Budget by Source'!D328/10,0))</f>
        <v>20355</v>
      </c>
      <c r="E328" s="22">
        <f>IF(Notes!$B$2="June",ROUND('Budget by Source'!E328/10,0)+R328,ROUND('Budget by Source'!E328/10,0))</f>
        <v>2506</v>
      </c>
      <c r="F328" s="22">
        <f>IF(Notes!$B$2="June",ROUND('Budget by Source'!F328/10,0)+S328,ROUND('Budget by Source'!F328/10,0))</f>
        <v>2212</v>
      </c>
      <c r="G328" s="22">
        <f>IF(Notes!$B$2="June",ROUND('Budget by Source'!G328/10,0)+T328,ROUND('Budget by Source'!G328/10,0))</f>
        <v>10961</v>
      </c>
      <c r="H328" s="22">
        <f t="shared" si="15"/>
        <v>146716</v>
      </c>
      <c r="I328" s="22">
        <f>INDEX(Data[],MATCH($A328,Data[Dist],0),MATCH(I$5,Data[#Headers],0))</f>
        <v>191023</v>
      </c>
      <c r="K328" s="69">
        <f>INDEX('Payment Total'!$A$7:$H$333,MATCH('Payment by Source'!$A328,'Payment Total'!$A$7:$A$333,0),5)-I328</f>
        <v>0</v>
      </c>
      <c r="P328" s="157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0</v>
      </c>
      <c r="Q328" s="157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1</v>
      </c>
      <c r="R328" s="157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7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4</v>
      </c>
      <c r="T328" s="157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-2</v>
      </c>
      <c r="U328" s="158">
        <f>INDEX('Budget by Source'!$A$6:$I$332,MATCH('Payment by Source'!$A328,'Budget by Source'!$A$6:$A$332,0),MATCH(U$3,'Budget by Source'!$A$5:$I$5,0))</f>
        <v>1496558</v>
      </c>
      <c r="V328" s="155">
        <f t="shared" si="16"/>
        <v>149656</v>
      </c>
      <c r="W328" s="155">
        <f t="shared" si="17"/>
        <v>1496560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25898</v>
      </c>
      <c r="D329" s="22">
        <f>IF(Notes!$B$2="June",ROUND('Budget by Source'!D329/10,0)+Q329,ROUND('Budget by Source'!D329/10,0))</f>
        <v>101548</v>
      </c>
      <c r="E329" s="22">
        <f>IF(Notes!$B$2="June",ROUND('Budget by Source'!E329/10,0)+R329,ROUND('Budget by Source'!E329/10,0))</f>
        <v>13155</v>
      </c>
      <c r="F329" s="22">
        <f>IF(Notes!$B$2="June",ROUND('Budget by Source'!F329/10,0)+S329,ROUND('Budget by Source'!F329/10,0))</f>
        <v>11002</v>
      </c>
      <c r="G329" s="22">
        <f>IF(Notes!$B$2="June",ROUND('Budget by Source'!G329/10,0)+T329,ROUND('Budget by Source'!G329/10,0))</f>
        <v>58906</v>
      </c>
      <c r="H329" s="22">
        <f t="shared" si="15"/>
        <v>874759</v>
      </c>
      <c r="I329" s="22">
        <f>INDEX(Data[],MATCH($A329,Data[Dist],0),MATCH(I$5,Data[#Headers],0))</f>
        <v>1085268</v>
      </c>
      <c r="K329" s="69">
        <f>INDEX('Payment Total'!$A$7:$H$333,MATCH('Payment by Source'!$A329,'Payment Total'!$A$7:$A$333,0),5)-I329</f>
        <v>0</v>
      </c>
      <c r="P329" s="157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-2</v>
      </c>
      <c r="Q329" s="157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-4</v>
      </c>
      <c r="R329" s="157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7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2</v>
      </c>
      <c r="T329" s="157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-2</v>
      </c>
      <c r="U329" s="158">
        <f>INDEX('Budget by Source'!$A$6:$I$332,MATCH('Payment by Source'!$A329,'Budget by Source'!$A$6:$A$332,0),MATCH(U$3,'Budget by Source'!$A$5:$I$5,0))</f>
        <v>8774032</v>
      </c>
      <c r="V329" s="155">
        <f t="shared" si="16"/>
        <v>877403</v>
      </c>
      <c r="W329" s="155">
        <f t="shared" si="17"/>
        <v>8774030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13668</v>
      </c>
      <c r="D330" s="22">
        <f>IF(Notes!$B$2="June",ROUND('Budget by Source'!D330/10,0)+Q330,ROUND('Budget by Source'!D330/10,0))</f>
        <v>31607</v>
      </c>
      <c r="E330" s="22">
        <f>IF(Notes!$B$2="June",ROUND('Budget by Source'!E330/10,0)+R330,ROUND('Budget by Source'!E330/10,0))</f>
        <v>3690</v>
      </c>
      <c r="F330" s="22">
        <f>IF(Notes!$B$2="June",ROUND('Budget by Source'!F330/10,0)+S330,ROUND('Budget by Source'!F330/10,0))</f>
        <v>3541</v>
      </c>
      <c r="G330" s="22">
        <f>IF(Notes!$B$2="June",ROUND('Budget by Source'!G330/10,0)+T330,ROUND('Budget by Source'!G330/10,0))</f>
        <v>16417</v>
      </c>
      <c r="H330" s="22">
        <f t="shared" si="15"/>
        <v>233146</v>
      </c>
      <c r="I330" s="22">
        <f>INDEX(Data[],MATCH($A330,Data[Dist],0),MATCH(I$5,Data[#Headers],0))</f>
        <v>302069</v>
      </c>
      <c r="K330" s="69">
        <f>INDEX('Payment Total'!$A$7:$H$333,MATCH('Payment by Source'!$A330,'Payment Total'!$A$7:$A$333,0),5)-I330</f>
        <v>0</v>
      </c>
      <c r="P330" s="157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3</v>
      </c>
      <c r="Q330" s="157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0</v>
      </c>
      <c r="R330" s="157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-5</v>
      </c>
      <c r="S330" s="157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4</v>
      </c>
      <c r="T330" s="157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-2</v>
      </c>
      <c r="U330" s="158">
        <f>INDEX('Budget by Source'!$A$6:$I$332,MATCH('Payment by Source'!$A330,'Budget by Source'!$A$6:$A$332,0),MATCH(U$3,'Budget by Source'!$A$5:$I$5,0))</f>
        <v>2338915</v>
      </c>
      <c r="V330" s="155">
        <f>ROUND(U330/10,0)</f>
        <v>233892</v>
      </c>
      <c r="W330" s="155">
        <f>V330*10</f>
        <v>2338920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10071</v>
      </c>
      <c r="D331" s="22">
        <f>IF(Notes!$B$2="June",ROUND('Budget by Source'!D331/10,0)+Q331,ROUND('Budget by Source'!D331/10,0))</f>
        <v>33920</v>
      </c>
      <c r="E331" s="22">
        <f>IF(Notes!$B$2="June",ROUND('Budget by Source'!E331/10,0)+R331,ROUND('Budget by Source'!E331/10,0))</f>
        <v>3871</v>
      </c>
      <c r="F331" s="22">
        <f>IF(Notes!$B$2="June",ROUND('Budget by Source'!F331/10,0)+S331,ROUND('Budget by Source'!F331/10,0))</f>
        <v>3699</v>
      </c>
      <c r="G331" s="22">
        <f>IF(Notes!$B$2="June",ROUND('Budget by Source'!G331/10,0)+T331,ROUND('Budget by Source'!G331/10,0))</f>
        <v>18991</v>
      </c>
      <c r="H331" s="22">
        <f t="shared" si="15"/>
        <v>287528</v>
      </c>
      <c r="I331" s="22">
        <f>INDEX(Data[],MATCH($A331,Data[Dist],0),MATCH(I$5,Data[#Headers],0))</f>
        <v>358080</v>
      </c>
      <c r="K331" s="69">
        <f>INDEX('Payment Total'!$A$7:$H$333,MATCH('Payment by Source'!$A331,'Payment Total'!$A$7:$A$333,0),5)-I331</f>
        <v>0</v>
      </c>
      <c r="P331" s="157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4</v>
      </c>
      <c r="Q331" s="157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-4</v>
      </c>
      <c r="R331" s="157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-3</v>
      </c>
      <c r="S331" s="157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1</v>
      </c>
      <c r="T331" s="157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8">
        <f>INDEX('Budget by Source'!$A$6:$I$332,MATCH('Payment by Source'!$A331,'Budget by Source'!$A$6:$A$332,0),MATCH(U$3,'Budget by Source'!$A$5:$I$5,0))</f>
        <v>2883688</v>
      </c>
      <c r="V331" s="155">
        <f t="shared" si="16"/>
        <v>288369</v>
      </c>
      <c r="W331" s="155">
        <f t="shared" si="17"/>
        <v>2883690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24811</v>
      </c>
      <c r="D332" s="22">
        <f>IF(Notes!$B$2="June",ROUND('Budget by Source'!D332/10,0)+Q332,ROUND('Budget by Source'!D332/10,0))</f>
        <v>62042</v>
      </c>
      <c r="E332" s="22">
        <f>IF(Notes!$B$2="June",ROUND('Budget by Source'!E332/10,0)+R332,ROUND('Budget by Source'!E332/10,0))</f>
        <v>6912</v>
      </c>
      <c r="F332" s="22">
        <f>IF(Notes!$B$2="June",ROUND('Budget by Source'!F332/10,0)+S332,ROUND('Budget by Source'!F332/10,0))</f>
        <v>6530</v>
      </c>
      <c r="G332" s="22">
        <f>IF(Notes!$B$2="June",ROUND('Budget by Source'!G332/10,0)+T332,ROUND('Budget by Source'!G332/10,0))</f>
        <v>35141</v>
      </c>
      <c r="H332" s="22">
        <f t="shared" si="15"/>
        <v>520243</v>
      </c>
      <c r="I332" s="22">
        <f>INDEX(Data[],MATCH($A332,Data[Dist],0),MATCH(I$5,Data[#Headers],0))</f>
        <v>655679</v>
      </c>
      <c r="K332" s="69">
        <f>INDEX('Payment Total'!$A$7:$H$333,MATCH('Payment by Source'!$A332,'Payment Total'!$A$7:$A$333,0),5)-I332</f>
        <v>0</v>
      </c>
      <c r="P332" s="157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4</v>
      </c>
      <c r="Q332" s="157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-1</v>
      </c>
      <c r="R332" s="157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0</v>
      </c>
      <c r="S332" s="157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-5</v>
      </c>
      <c r="T332" s="157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-1</v>
      </c>
      <c r="U332" s="158">
        <f>INDEX('Budget by Source'!$A$6:$I$332,MATCH('Payment by Source'!$A332,'Budget by Source'!$A$6:$A$332,0),MATCH(U$3,'Budget by Source'!$A$5:$I$5,0))</f>
        <v>5218376</v>
      </c>
      <c r="V332" s="155">
        <f t="shared" si="16"/>
        <v>521838</v>
      </c>
      <c r="W332" s="155">
        <f t="shared" si="17"/>
        <v>5218380</v>
      </c>
    </row>
    <row r="333" spans="1:23" ht="13.5" thickBot="1" x14ac:dyDescent="0.25">
      <c r="A333" s="124" t="s">
        <v>790</v>
      </c>
      <c r="B333" s="21" t="s">
        <v>789</v>
      </c>
      <c r="C333" s="24">
        <f t="shared" ref="C333:I333" si="18">SUM(C6:C332)</f>
        <v>8078360</v>
      </c>
      <c r="D333" s="24">
        <f t="shared" si="18"/>
        <v>30070974</v>
      </c>
      <c r="E333" s="24">
        <f t="shared" si="18"/>
        <v>3706340</v>
      </c>
      <c r="F333" s="24">
        <f t="shared" si="18"/>
        <v>3406240</v>
      </c>
      <c r="G333" s="24">
        <f t="shared" si="18"/>
        <v>16961170</v>
      </c>
      <c r="H333" s="24">
        <f t="shared" si="18"/>
        <v>254074333</v>
      </c>
      <c r="I333" s="24">
        <f t="shared" si="18"/>
        <v>316297417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D6" sqref="D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5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5" hidden="1" customWidth="1"/>
    <col min="26" max="16384" width="9.140625" style="71"/>
  </cols>
  <sheetData>
    <row r="1" spans="1:25" ht="24" customHeight="1" x14ac:dyDescent="0.4">
      <c r="A1" s="222" t="str">
        <f>CONCATENATE("FY ",Notes!$B$1," Summary of State Aid Payments to School Districts")</f>
        <v>FY 2022 Summary of State Aid Payments to School Districts</v>
      </c>
      <c r="B1" s="223"/>
      <c r="C1" s="223"/>
      <c r="D1" s="223"/>
      <c r="E1" s="224"/>
      <c r="F1" s="70"/>
    </row>
    <row r="2" spans="1:25" ht="19.5" customHeight="1" x14ac:dyDescent="0.3">
      <c r="A2" s="72"/>
      <c r="B2" s="73" t="s">
        <v>789</v>
      </c>
      <c r="C2" s="225"/>
      <c r="D2" s="225"/>
      <c r="E2" s="226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7">
        <f>INDEX('Budget Total'!$A$6:$G$333,MATCH(PaymentSummary!$B$2,Districts,0),3)</f>
        <v>3188103195</v>
      </c>
      <c r="E6" s="92"/>
      <c r="F6" s="93"/>
      <c r="G6" s="136"/>
    </row>
    <row r="7" spans="1:25" ht="15.75" customHeight="1" x14ac:dyDescent="0.25">
      <c r="A7" s="89"/>
      <c r="B7" s="90" t="s">
        <v>775</v>
      </c>
      <c r="C7" s="91"/>
      <c r="D7" s="91"/>
      <c r="E7" s="92"/>
      <c r="G7" s="136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-371380</v>
      </c>
      <c r="D8" s="91"/>
      <c r="E8" s="92"/>
      <c r="F8" s="93"/>
      <c r="G8" s="137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-11500469</v>
      </c>
      <c r="D9" s="91"/>
      <c r="E9" s="92"/>
      <c r="F9" s="93"/>
      <c r="G9" s="137"/>
      <c r="J9" s="129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-2236152</v>
      </c>
      <c r="D10" s="91"/>
      <c r="E10" s="92"/>
      <c r="F10" s="93"/>
      <c r="G10" s="137"/>
      <c r="H10" s="140"/>
      <c r="I10" s="231" t="str">
        <f>CONCATENATE("FY ",Notes!$B$1," Budget for State Payments to School Districts by Month by Source")</f>
        <v>FY 2022 Budget for State Payments to School Districts by Month by Source</v>
      </c>
      <c r="J10" s="231"/>
      <c r="K10" s="231"/>
      <c r="L10" s="231"/>
      <c r="M10" s="231"/>
      <c r="N10" s="231"/>
      <c r="O10" s="231"/>
      <c r="P10" s="231"/>
      <c r="Q10" s="232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928869</v>
      </c>
      <c r="D11" s="91">
        <f>SUM(C8:C11)</f>
        <v>-13179132</v>
      </c>
      <c r="E11" s="92"/>
      <c r="F11" s="93"/>
      <c r="G11" s="137"/>
      <c r="H11" s="143"/>
      <c r="I11" s="221"/>
      <c r="J11" s="221"/>
      <c r="K11" s="221"/>
      <c r="L11" s="221"/>
      <c r="M11" s="221"/>
      <c r="N11" s="221"/>
      <c r="O11" s="221"/>
      <c r="P11" s="221"/>
      <c r="Q11" s="233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3174924063</v>
      </c>
      <c r="E12" s="92"/>
      <c r="F12" s="93"/>
      <c r="G12" s="137"/>
      <c r="H12" s="143"/>
      <c r="I12" s="151"/>
      <c r="J12" s="151"/>
      <c r="K12" s="151"/>
      <c r="L12" s="151"/>
      <c r="M12" s="151"/>
      <c r="N12" s="151"/>
      <c r="O12" s="151"/>
      <c r="P12" s="151"/>
      <c r="Q12" s="146"/>
    </row>
    <row r="13" spans="1:25" ht="18.75" customHeight="1" thickTop="1" x14ac:dyDescent="0.25">
      <c r="A13" s="89"/>
      <c r="B13" s="90"/>
      <c r="C13" s="91"/>
      <c r="D13" s="91"/>
      <c r="E13" s="92"/>
      <c r="G13" s="138"/>
      <c r="H13" s="143"/>
      <c r="I13" s="227" t="s">
        <v>709</v>
      </c>
      <c r="J13" s="227" t="str">
        <f>Data!$L$1</f>
        <v>Preschool State Aid (Code 3117)</v>
      </c>
      <c r="K13" s="227" t="str">
        <f>Data!M1</f>
        <v>Teacher Salary (Code 3204)</v>
      </c>
      <c r="L13" s="229" t="str">
        <f>Data!N1</f>
        <v>Early Intervention (Code 3216)</v>
      </c>
      <c r="M13" s="227" t="str">
        <f>Data!O1</f>
        <v>Professional Development (Code 3376)</v>
      </c>
      <c r="N13" s="227" t="str">
        <f>Data!P1</f>
        <v>Teacher Leadership (Code 3116)</v>
      </c>
      <c r="O13" s="229" t="s">
        <v>758</v>
      </c>
      <c r="P13" s="229" t="s">
        <v>360</v>
      </c>
      <c r="Q13" s="146"/>
      <c r="R13" s="150" t="str">
        <f>'Payment by Source'!C$4</f>
        <v>Preschool State Aid 
(Code 3117)</v>
      </c>
      <c r="S13" s="139" t="str">
        <f>'Payment by Source'!D$4</f>
        <v>Teacher Salary (Code 3204)</v>
      </c>
      <c r="T13" s="139" t="str">
        <f>'Payment by Source'!E$4</f>
        <v>Early Intervention (Code 3216)</v>
      </c>
      <c r="U13" s="139" t="str">
        <f>'Payment by Source'!F$4</f>
        <v>Professional Development (Code 3376)</v>
      </c>
      <c r="V13" s="139" t="str">
        <f>'Payment by Source'!G$4</f>
        <v>Teacher Leadership 
(Code 3116)</v>
      </c>
      <c r="W13" s="139" t="str">
        <f>'Payment by Source'!H$4</f>
        <v>State Foundation Aid 
(Code 3111)</v>
      </c>
      <c r="X13" s="139" t="str">
        <f>'Payment by Source'!I$4</f>
        <v>Regular State Payment</v>
      </c>
      <c r="Y13" s="139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8"/>
      <c r="H14" s="143"/>
      <c r="I14" s="227"/>
      <c r="J14" s="227"/>
      <c r="K14" s="227"/>
      <c r="L14" s="229"/>
      <c r="M14" s="227"/>
      <c r="N14" s="227"/>
      <c r="O14" s="229"/>
      <c r="P14" s="229"/>
      <c r="Q14" s="146"/>
    </row>
    <row r="15" spans="1:25" ht="15.75" customHeight="1" x14ac:dyDescent="0.25">
      <c r="A15" s="89"/>
      <c r="B15" s="90" t="str">
        <f>CONCATENATE("FY ",Notes!$B$1," Payments (EFT Date):")</f>
        <v>FY 2022 Payments (EFT Date):</v>
      </c>
      <c r="C15" s="98"/>
      <c r="D15" s="100" t="s">
        <v>782</v>
      </c>
      <c r="E15" s="92"/>
      <c r="G15" s="136"/>
      <c r="H15" s="143"/>
      <c r="I15" s="228"/>
      <c r="J15" s="228"/>
      <c r="K15" s="228"/>
      <c r="L15" s="230"/>
      <c r="M15" s="228"/>
      <c r="N15" s="228"/>
      <c r="O15" s="230"/>
      <c r="P15" s="230"/>
      <c r="Q15" s="146"/>
    </row>
    <row r="16" spans="1:25" ht="15.75" customHeight="1" x14ac:dyDescent="0.25">
      <c r="A16" s="89"/>
      <c r="B16" s="101">
        <f>Notes!A36</f>
        <v>43726</v>
      </c>
      <c r="C16" s="98"/>
      <c r="D16" s="91">
        <f>INDEX(Data[],MATCH($B$3,Data[Dist],0),MATCH($G16,Data[#Headers],0))</f>
        <v>318773196</v>
      </c>
      <c r="E16" s="92"/>
      <c r="G16" s="136" t="str">
        <f>Data[[#Headers],[September Payment]]</f>
        <v>September Payment</v>
      </c>
      <c r="H16" s="143"/>
      <c r="I16" s="132" t="s">
        <v>710</v>
      </c>
      <c r="J16" s="91">
        <f>ROUND(INDEX(Data[],MATCH($B$3,Data[Dist],0),MATCH(J$13,Data[#Headers],0))/10,0)</f>
        <v>8078342</v>
      </c>
      <c r="K16" s="91">
        <f>ROUND(INDEX(Data[],MATCH($B$3,Data[Dist],0),MATCH(K$13,Data[#Headers],0))/10,0)</f>
        <v>30070952</v>
      </c>
      <c r="L16" s="91">
        <f>ROUND(INDEX(Data[],MATCH($B$3,Data[Dist],0),MATCH(L$13,Data[#Headers],0))/10,0)</f>
        <v>3706317</v>
      </c>
      <c r="M16" s="91">
        <f>ROUND(INDEX(Data[],MATCH($B$3,Data[Dist],0),MATCH(M$13,Data[#Headers],0))/10,0)</f>
        <v>3406225</v>
      </c>
      <c r="N16" s="91">
        <f>ROUND(INDEX(Data[],MATCH($B$3,Data[Dist],0),MATCH(N$13,Data[#Headers],0))/10,0)</f>
        <v>16961154</v>
      </c>
      <c r="O16" s="91">
        <f>P16-SUM(J16:N16)</f>
        <v>256550206</v>
      </c>
      <c r="P16" s="91">
        <f>D16</f>
        <v>318773196</v>
      </c>
      <c r="Q16" s="146"/>
    </row>
    <row r="17" spans="1:17" ht="15.75" customHeight="1" x14ac:dyDescent="0.25">
      <c r="A17" s="89"/>
      <c r="B17" s="101">
        <f>Notes!A37</f>
        <v>43755</v>
      </c>
      <c r="C17" s="98"/>
      <c r="D17" s="91">
        <f>INDEX(Data[],MATCH($B$3,Data[Dist],0),MATCH($G17,Data[#Headers],0))</f>
        <v>318773196</v>
      </c>
      <c r="E17" s="92"/>
      <c r="G17" s="136" t="str">
        <f>Data[[#Headers],[October Payment]]</f>
        <v>October Payment</v>
      </c>
      <c r="H17" s="143"/>
      <c r="I17" s="132" t="s">
        <v>713</v>
      </c>
      <c r="J17" s="91">
        <f>ROUND(INDEX(Data[],MATCH($B$3,Data[Dist],0),MATCH(J$13,Data[#Headers],0))/10,0)</f>
        <v>8078342</v>
      </c>
      <c r="K17" s="91">
        <f>ROUND(INDEX(Data[],MATCH($B$3,Data[Dist],0),MATCH(K$13,Data[#Headers],0))/10,0)</f>
        <v>30070952</v>
      </c>
      <c r="L17" s="91">
        <f>ROUND(INDEX(Data[],MATCH($B$3,Data[Dist],0),MATCH(L$13,Data[#Headers],0))/10,0)</f>
        <v>3706317</v>
      </c>
      <c r="M17" s="91">
        <f>ROUND(INDEX(Data[],MATCH($B$3,Data[Dist],0),MATCH(M$13,Data[#Headers],0))/10,0)</f>
        <v>3406225</v>
      </c>
      <c r="N17" s="91">
        <f>ROUND(INDEX(Data[],MATCH($B$3,Data[Dist],0),MATCH(N$13,Data[#Headers],0))/10,0)</f>
        <v>16961154</v>
      </c>
      <c r="O17" s="91">
        <f t="shared" ref="O17:O24" si="0">P17-SUM(J17:N17)</f>
        <v>256550206</v>
      </c>
      <c r="P17" s="91">
        <f t="shared" ref="P17:P25" si="1">D17</f>
        <v>318773196</v>
      </c>
      <c r="Q17" s="146"/>
    </row>
    <row r="18" spans="1:17" ht="15.75" customHeight="1" x14ac:dyDescent="0.25">
      <c r="A18" s="89"/>
      <c r="B18" s="101">
        <f>Notes!A38</f>
        <v>43788</v>
      </c>
      <c r="C18" s="98"/>
      <c r="D18" s="91">
        <f>INDEX(Data[],MATCH($B$3,Data[Dist],0),MATCH($G18,Data[#Headers],0))</f>
        <v>318773196</v>
      </c>
      <c r="E18" s="92"/>
      <c r="G18" s="136" t="str">
        <f>Data[[#Headers],[November Payment]]</f>
        <v>November Payment</v>
      </c>
      <c r="H18" s="143"/>
      <c r="I18" s="132" t="s">
        <v>714</v>
      </c>
      <c r="J18" s="91">
        <f>ROUND(INDEX(Data[],MATCH($B$3,Data[Dist],0),MATCH(J$13,Data[#Headers],0))/10,0)</f>
        <v>8078342</v>
      </c>
      <c r="K18" s="91">
        <f>ROUND(INDEX(Data[],MATCH($B$3,Data[Dist],0),MATCH(K$13,Data[#Headers],0))/10,0)</f>
        <v>30070952</v>
      </c>
      <c r="L18" s="91">
        <f>ROUND(INDEX(Data[],MATCH($B$3,Data[Dist],0),MATCH(L$13,Data[#Headers],0))/10,0)</f>
        <v>3706317</v>
      </c>
      <c r="M18" s="91">
        <f>ROUND(INDEX(Data[],MATCH($B$3,Data[Dist],0),MATCH(M$13,Data[#Headers],0))/10,0)</f>
        <v>3406225</v>
      </c>
      <c r="N18" s="91">
        <f>ROUND(INDEX(Data[],MATCH($B$3,Data[Dist],0),MATCH(N$13,Data[#Headers],0))/10,0)</f>
        <v>16961154</v>
      </c>
      <c r="O18" s="91">
        <f t="shared" si="0"/>
        <v>256550206</v>
      </c>
      <c r="P18" s="91">
        <f t="shared" si="1"/>
        <v>318773196</v>
      </c>
      <c r="Q18" s="146"/>
    </row>
    <row r="19" spans="1:17" ht="15.75" customHeight="1" x14ac:dyDescent="0.25">
      <c r="A19" s="89"/>
      <c r="B19" s="101">
        <f>Notes!A39</f>
        <v>43817</v>
      </c>
      <c r="C19" s="98"/>
      <c r="D19" s="91">
        <f>INDEX(Data[],MATCH($B$3,Data[Dist],0),MATCH($G19,Data[#Headers],0))</f>
        <v>318773196</v>
      </c>
      <c r="E19" s="92"/>
      <c r="G19" s="136" t="str">
        <f>Data[[#Headers],[December Payment]]</f>
        <v>December Payment</v>
      </c>
      <c r="H19" s="143"/>
      <c r="I19" s="132" t="s">
        <v>715</v>
      </c>
      <c r="J19" s="91">
        <f>ROUND(INDEX(Data[],MATCH($B$3,Data[Dist],0),MATCH(J$13,Data[#Headers],0))/10,0)</f>
        <v>8078342</v>
      </c>
      <c r="K19" s="91">
        <f>ROUND(INDEX(Data[],MATCH($B$3,Data[Dist],0),MATCH(K$13,Data[#Headers],0))/10,0)</f>
        <v>30070952</v>
      </c>
      <c r="L19" s="91">
        <f>ROUND(INDEX(Data[],MATCH($B$3,Data[Dist],0),MATCH(L$13,Data[#Headers],0))/10,0)</f>
        <v>3706317</v>
      </c>
      <c r="M19" s="91">
        <f>ROUND(INDEX(Data[],MATCH($B$3,Data[Dist],0),MATCH(M$13,Data[#Headers],0))/10,0)</f>
        <v>3406225</v>
      </c>
      <c r="N19" s="91">
        <f>ROUND(INDEX(Data[],MATCH($B$3,Data[Dist],0),MATCH(N$13,Data[#Headers],0))/10,0)</f>
        <v>16961154</v>
      </c>
      <c r="O19" s="91">
        <f t="shared" si="0"/>
        <v>256550206</v>
      </c>
      <c r="P19" s="91">
        <f t="shared" si="1"/>
        <v>318773196</v>
      </c>
      <c r="Q19" s="146"/>
    </row>
    <row r="20" spans="1:17" ht="15.75" customHeight="1" x14ac:dyDescent="0.25">
      <c r="A20" s="89"/>
      <c r="B20" s="101">
        <f>Notes!A40</f>
        <v>43847</v>
      </c>
      <c r="C20" s="98"/>
      <c r="D20" s="91">
        <f>INDEX(Data[],MATCH($B$3,Data[Dist],0),MATCH($G20,Data[#Headers],0))</f>
        <v>316856454</v>
      </c>
      <c r="E20" s="92"/>
      <c r="F20" s="96"/>
      <c r="G20" s="136" t="str">
        <f>Data[[#Headers],[January Payment]]</f>
        <v>January Payment</v>
      </c>
      <c r="H20" s="143"/>
      <c r="I20" s="132" t="s">
        <v>716</v>
      </c>
      <c r="J20" s="91">
        <f>ROUND(INDEX(Data[],MATCH($B$3,Data[Dist],0),MATCH(J$13,Data[#Headers],0))/10,0)</f>
        <v>8078342</v>
      </c>
      <c r="K20" s="91">
        <f>ROUND(INDEX(Data[],MATCH($B$3,Data[Dist],0),MATCH(K$13,Data[#Headers],0))/10,0)</f>
        <v>30070952</v>
      </c>
      <c r="L20" s="91">
        <f>ROUND(INDEX(Data[],MATCH($B$3,Data[Dist],0),MATCH(L$13,Data[#Headers],0))/10,0)</f>
        <v>3706317</v>
      </c>
      <c r="M20" s="91">
        <f>ROUND(INDEX(Data[],MATCH($B$3,Data[Dist],0),MATCH(M$13,Data[#Headers],0))/10,0)</f>
        <v>3406225</v>
      </c>
      <c r="N20" s="91">
        <f>ROUND(INDEX(Data[],MATCH($B$3,Data[Dist],0),MATCH(N$13,Data[#Headers],0))/10,0)</f>
        <v>16961154</v>
      </c>
      <c r="O20" s="91">
        <f t="shared" si="0"/>
        <v>254633464</v>
      </c>
      <c r="P20" s="91">
        <f t="shared" si="1"/>
        <v>316856454</v>
      </c>
      <c r="Q20" s="146"/>
    </row>
    <row r="21" spans="1:17" ht="15.75" customHeight="1" x14ac:dyDescent="0.25">
      <c r="A21" s="89"/>
      <c r="B21" s="101">
        <f>Notes!A41</f>
        <v>43881</v>
      </c>
      <c r="C21" s="98"/>
      <c r="D21" s="91">
        <f>INDEX(Data[],MATCH($B$3,Data[Dist],0),MATCH($G21,Data[#Headers],0))</f>
        <v>316856454</v>
      </c>
      <c r="E21" s="102"/>
      <c r="F21" s="96"/>
      <c r="G21" s="136" t="str">
        <f>Data[[#Headers],[February Payment]]</f>
        <v>February Payment</v>
      </c>
      <c r="H21" s="143"/>
      <c r="I21" s="132" t="s">
        <v>717</v>
      </c>
      <c r="J21" s="91">
        <f>ROUND(INDEX(Data[],MATCH($B$3,Data[Dist],0),MATCH(J$13,Data[#Headers],0))/10,0)</f>
        <v>8078342</v>
      </c>
      <c r="K21" s="91">
        <f>ROUND(INDEX(Data[],MATCH($B$3,Data[Dist],0),MATCH(K$13,Data[#Headers],0))/10,0)</f>
        <v>30070952</v>
      </c>
      <c r="L21" s="91">
        <f>ROUND(INDEX(Data[],MATCH($B$3,Data[Dist],0),MATCH(L$13,Data[#Headers],0))/10,0)</f>
        <v>3706317</v>
      </c>
      <c r="M21" s="91">
        <f>ROUND(INDEX(Data[],MATCH($B$3,Data[Dist],0),MATCH(M$13,Data[#Headers],0))/10,0)</f>
        <v>3406225</v>
      </c>
      <c r="N21" s="91">
        <f>ROUND(INDEX(Data[],MATCH($B$3,Data[Dist],0),MATCH(N$13,Data[#Headers],0))/10,0)</f>
        <v>16961154</v>
      </c>
      <c r="O21" s="91">
        <f t="shared" si="0"/>
        <v>254633464</v>
      </c>
      <c r="P21" s="91">
        <f t="shared" si="1"/>
        <v>316856454</v>
      </c>
      <c r="Q21" s="146"/>
    </row>
    <row r="22" spans="1:17" ht="15.75" customHeight="1" x14ac:dyDescent="0.25">
      <c r="A22" s="89"/>
      <c r="B22" s="101">
        <f>Notes!A42</f>
        <v>43908</v>
      </c>
      <c r="C22" s="98"/>
      <c r="D22" s="91">
        <f>INDEX(Data[],MATCH($B$3,Data[Dist],0),MATCH($G22,Data[#Headers],0))</f>
        <v>316297417</v>
      </c>
      <c r="E22" s="102"/>
      <c r="F22" s="96"/>
      <c r="G22" s="136" t="str">
        <f>Data[[#Headers],[March Payment]]</f>
        <v>March Payment</v>
      </c>
      <c r="H22" s="143"/>
      <c r="I22" s="132" t="s">
        <v>718</v>
      </c>
      <c r="J22" s="91">
        <f>ROUND(INDEX(Data[],MATCH($B$3,Data[Dist],0),MATCH(J$13,Data[#Headers],0))/10,0)</f>
        <v>8078342</v>
      </c>
      <c r="K22" s="91">
        <f>ROUND(INDEX(Data[],MATCH($B$3,Data[Dist],0),MATCH(K$13,Data[#Headers],0))/10,0)</f>
        <v>30070952</v>
      </c>
      <c r="L22" s="91">
        <f>ROUND(INDEX(Data[],MATCH($B$3,Data[Dist],0),MATCH(L$13,Data[#Headers],0))/10,0)</f>
        <v>3706317</v>
      </c>
      <c r="M22" s="91">
        <f>ROUND(INDEX(Data[],MATCH($B$3,Data[Dist],0),MATCH(M$13,Data[#Headers],0))/10,0)</f>
        <v>3406225</v>
      </c>
      <c r="N22" s="91">
        <f>ROUND(INDEX(Data[],MATCH($B$3,Data[Dist],0),MATCH(N$13,Data[#Headers],0))/10,0)</f>
        <v>16961154</v>
      </c>
      <c r="O22" s="91">
        <f t="shared" si="0"/>
        <v>254074427</v>
      </c>
      <c r="P22" s="91">
        <f t="shared" si="1"/>
        <v>316297417</v>
      </c>
      <c r="Q22" s="146"/>
    </row>
    <row r="23" spans="1:17" ht="15.75" customHeight="1" x14ac:dyDescent="0.25">
      <c r="A23" s="89"/>
      <c r="B23" s="101">
        <f>Notes!A43</f>
        <v>43938</v>
      </c>
      <c r="C23" s="98"/>
      <c r="D23" s="91">
        <f>INDEX(Data[],MATCH($B$3,Data[Dist],0),MATCH($G23,Data[#Headers],0))</f>
        <v>316297417</v>
      </c>
      <c r="E23" s="92"/>
      <c r="F23" s="96"/>
      <c r="G23" s="136" t="str">
        <f>Data[[#Headers],[April Payment]]</f>
        <v>April Payment</v>
      </c>
      <c r="H23" s="143"/>
      <c r="I23" s="132" t="s">
        <v>719</v>
      </c>
      <c r="J23" s="91">
        <f>ROUND(INDEX(Data[],MATCH($B$3,Data[Dist],0),MATCH(J$13,Data[#Headers],0))/10,0)</f>
        <v>8078342</v>
      </c>
      <c r="K23" s="91">
        <f>ROUND(INDEX(Data[],MATCH($B$3,Data[Dist],0),MATCH(K$13,Data[#Headers],0))/10,0)</f>
        <v>30070952</v>
      </c>
      <c r="L23" s="91">
        <f>ROUND(INDEX(Data[],MATCH($B$3,Data[Dist],0),MATCH(L$13,Data[#Headers],0))/10,0)</f>
        <v>3706317</v>
      </c>
      <c r="M23" s="91">
        <f>ROUND(INDEX(Data[],MATCH($B$3,Data[Dist],0),MATCH(M$13,Data[#Headers],0))/10,0)</f>
        <v>3406225</v>
      </c>
      <c r="N23" s="91">
        <f>ROUND(INDEX(Data[],MATCH($B$3,Data[Dist],0),MATCH(N$13,Data[#Headers],0))/10,0)</f>
        <v>16961154</v>
      </c>
      <c r="O23" s="91">
        <f t="shared" si="0"/>
        <v>254074427</v>
      </c>
      <c r="P23" s="91">
        <f t="shared" si="1"/>
        <v>316297417</v>
      </c>
      <c r="Q23" s="146"/>
    </row>
    <row r="24" spans="1:17" ht="15.75" customHeight="1" x14ac:dyDescent="0.25">
      <c r="A24" s="89"/>
      <c r="B24" s="101">
        <f>Notes!A44</f>
        <v>43970</v>
      </c>
      <c r="C24" s="98"/>
      <c r="D24" s="91">
        <f>INDEX(Data[],MATCH($B$3,Data[Dist],0),MATCH($G24,Data[#Headers],0))</f>
        <v>316297417</v>
      </c>
      <c r="E24" s="92"/>
      <c r="F24" s="96"/>
      <c r="G24" s="136" t="str">
        <f>Data[[#Headers],[May Payment]]</f>
        <v>May Payment</v>
      </c>
      <c r="H24" s="143"/>
      <c r="I24" s="132" t="s">
        <v>720</v>
      </c>
      <c r="J24" s="91">
        <f>ROUND(INDEX(Data[],MATCH($B$3,Data[Dist],0),MATCH(J$13,Data[#Headers],0))/10,0)</f>
        <v>8078342</v>
      </c>
      <c r="K24" s="91">
        <f>ROUND(INDEX(Data[],MATCH($B$3,Data[Dist],0),MATCH(K$13,Data[#Headers],0))/10,0)</f>
        <v>30070952</v>
      </c>
      <c r="L24" s="91">
        <f>ROUND(INDEX(Data[],MATCH($B$3,Data[Dist],0),MATCH(L$13,Data[#Headers],0))/10,0)</f>
        <v>3706317</v>
      </c>
      <c r="M24" s="91">
        <f>ROUND(INDEX(Data[],MATCH($B$3,Data[Dist],0),MATCH(M$13,Data[#Headers],0))/10,0)</f>
        <v>3406225</v>
      </c>
      <c r="N24" s="91">
        <f>ROUND(INDEX(Data[],MATCH($B$3,Data[Dist],0),MATCH(N$13,Data[#Headers],0))/10,0)</f>
        <v>16961154</v>
      </c>
      <c r="O24" s="91">
        <f t="shared" si="0"/>
        <v>254074427</v>
      </c>
      <c r="P24" s="91">
        <f t="shared" si="1"/>
        <v>316297417</v>
      </c>
      <c r="Q24" s="146"/>
    </row>
    <row r="25" spans="1:17" ht="15.75" customHeight="1" x14ac:dyDescent="0.25">
      <c r="A25" s="89"/>
      <c r="B25" s="101">
        <f>Notes!A45</f>
        <v>43999</v>
      </c>
      <c r="C25" s="98"/>
      <c r="D25" s="91">
        <f>INDEX(Data[],MATCH($B$3,Data[Dist],0),MATCH($G25,Data[#Headers],0))</f>
        <v>316297251</v>
      </c>
      <c r="E25" s="92"/>
      <c r="F25" s="96"/>
      <c r="G25" s="136" t="str">
        <f>Data[[#Headers],[June Payment]]</f>
        <v>June Payment</v>
      </c>
      <c r="H25" s="143"/>
      <c r="I25" s="132" t="s">
        <v>721</v>
      </c>
      <c r="J25" s="128">
        <f>INDEX('Payment by Source'!$A$6:$I$333,MATCH(PaymentSummary!$B$3,'Payment by Source'!$A$6:$A$333,0),MATCH(R$13,'Payment by Source'!$A$4:$I$4,0))</f>
        <v>8078360</v>
      </c>
      <c r="K25" s="128">
        <f>INDEX('Payment by Source'!$A$6:$I$333,MATCH(PaymentSummary!$B$3,'Payment by Source'!$A$6:$A$333,0),MATCH(S$13,'Payment by Source'!$A$4:$I$4,0))</f>
        <v>30070974</v>
      </c>
      <c r="L25" s="128">
        <f>INDEX('Payment by Source'!$A$6:$I$333,MATCH(PaymentSummary!$B$3,'Payment by Source'!$A$6:$A$333,0),MATCH(T$13,'Payment by Source'!$A$4:$I$4,0))</f>
        <v>3706340</v>
      </c>
      <c r="M25" s="128">
        <f>INDEX('Payment by Source'!$A$6:$I$333,MATCH(PaymentSummary!$B$3,'Payment by Source'!$A$6:$A$333,0),MATCH(U$13,'Payment by Source'!$A$4:$I$4,0))</f>
        <v>3406240</v>
      </c>
      <c r="N25" s="128">
        <f>INDEX('Payment by Source'!$A$6:$I$333,MATCH(PaymentSummary!$B$3,'Payment by Source'!$A$6:$A$333,0),MATCH(V$13,'Payment by Source'!$A$4:$I$4,0))</f>
        <v>16961170</v>
      </c>
      <c r="O25" s="128">
        <f>INDEX('Payment by Source'!$A$6:$I$333,MATCH(PaymentSummary!$B$3,'Payment by Source'!$A$6:$A$333,0),MATCH(W$13,'Payment by Source'!$A$4:$I$4,0))</f>
        <v>254074333</v>
      </c>
      <c r="P25" s="91">
        <f t="shared" si="1"/>
        <v>316297251</v>
      </c>
      <c r="Q25" s="146"/>
    </row>
    <row r="26" spans="1:17" ht="15.75" customHeight="1" thickBot="1" x14ac:dyDescent="0.3">
      <c r="A26" s="89"/>
      <c r="B26" s="103" t="str">
        <f>CONCATENATE(TEXT(B25,"   mm/dd/yyyy")," Special Ed Deficit")</f>
        <v xml:space="preserve">   06/17/2020 Special Ed Deficit</v>
      </c>
      <c r="C26" s="98"/>
      <c r="D26" s="91">
        <f>C11</f>
        <v>928869</v>
      </c>
      <c r="E26" s="92"/>
      <c r="F26" s="96"/>
      <c r="G26" s="136"/>
      <c r="H26" s="143"/>
      <c r="I26" s="132" t="s">
        <v>791</v>
      </c>
      <c r="J26" s="95">
        <f>INDEX(Data[],MATCH($B$3,Data[Dist],0),MATCH(J$13,Data[#Headers],0))</f>
        <v>80783415</v>
      </c>
      <c r="K26" s="95">
        <f>INDEX(Data[],MATCH($B$3,Data[Dist],0),MATCH(K$13,Data[#Headers],0))</f>
        <v>300709520</v>
      </c>
      <c r="L26" s="95">
        <f>INDEX(Data[],MATCH($B$3,Data[Dist],0),MATCH(L$13,Data[#Headers],0))</f>
        <v>37063166</v>
      </c>
      <c r="M26" s="95">
        <f>INDEX(Data[],MATCH($B$3,Data[Dist],0),MATCH(M$13,Data[#Headers],0))</f>
        <v>34062249</v>
      </c>
      <c r="N26" s="95">
        <f>INDEX(Data[],MATCH($B$3,Data[Dist],0),MATCH(N$13,Data[#Headers],0))</f>
        <v>169611537</v>
      </c>
      <c r="O26" s="95">
        <f>SUM(O16:O25)</f>
        <v>2551765366</v>
      </c>
      <c r="P26" s="95">
        <f>SUM(P16:P25)</f>
        <v>3173995194</v>
      </c>
      <c r="Q26" s="146"/>
    </row>
    <row r="27" spans="1:17" ht="18" customHeight="1" thickTop="1" thickBot="1" x14ac:dyDescent="0.3">
      <c r="A27" s="89"/>
      <c r="B27" s="104" t="s">
        <v>783</v>
      </c>
      <c r="C27" s="98"/>
      <c r="D27" s="95">
        <f>SUM(D16:D26)</f>
        <v>3174924063</v>
      </c>
      <c r="E27" s="92"/>
      <c r="F27" s="96"/>
      <c r="H27" s="143"/>
      <c r="I27" s="151"/>
      <c r="J27" s="151"/>
      <c r="K27" s="151"/>
      <c r="L27" s="151"/>
      <c r="M27" s="151"/>
      <c r="N27" s="151"/>
      <c r="O27" s="151"/>
      <c r="P27" s="151"/>
      <c r="Q27" s="146"/>
    </row>
    <row r="28" spans="1:17" ht="13.5" customHeight="1" thickTop="1" x14ac:dyDescent="0.25">
      <c r="A28" s="105"/>
      <c r="B28" s="106"/>
      <c r="C28" s="107"/>
      <c r="D28" s="107"/>
      <c r="E28" s="108"/>
      <c r="F28" s="96"/>
      <c r="H28" s="143"/>
      <c r="I28" s="151"/>
      <c r="J28" s="90" t="str">
        <f>IF($B$3="9999","Note: Total will not add down for statewide totals.","")</f>
        <v>Note: Total will not add down for statewide totals.</v>
      </c>
      <c r="K28" s="152"/>
      <c r="L28" s="152"/>
      <c r="M28" s="152"/>
      <c r="N28" s="152"/>
      <c r="O28" s="152"/>
      <c r="P28" s="151"/>
      <c r="Q28" s="146"/>
    </row>
    <row r="29" spans="1:17" ht="7.5" customHeight="1" x14ac:dyDescent="0.25">
      <c r="A29" s="109"/>
      <c r="B29" s="104"/>
      <c r="C29" s="91"/>
      <c r="D29" s="91"/>
      <c r="E29" s="96"/>
      <c r="F29" s="96"/>
      <c r="H29" s="147"/>
      <c r="I29" s="148"/>
      <c r="J29" s="148"/>
      <c r="K29" s="148"/>
      <c r="L29" s="148"/>
      <c r="M29" s="148"/>
      <c r="N29" s="148"/>
      <c r="O29" s="148"/>
      <c r="P29" s="148"/>
      <c r="Q29" s="149"/>
    </row>
    <row r="30" spans="1:17" ht="7.5" customHeight="1" x14ac:dyDescent="0.25">
      <c r="A30" s="110"/>
      <c r="B30" s="111"/>
      <c r="C30" s="112"/>
      <c r="D30" s="112"/>
      <c r="E30" s="113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6"/>
      <c r="C32" s="107"/>
      <c r="D32" s="107"/>
      <c r="E32" s="108"/>
    </row>
    <row r="33" spans="1:17" ht="7.5" customHeight="1" x14ac:dyDescent="0.25">
      <c r="B33" s="90"/>
      <c r="C33" s="114"/>
      <c r="D33" s="114"/>
      <c r="E33" s="96"/>
      <c r="H33" s="140"/>
      <c r="I33" s="141"/>
      <c r="J33" s="234" t="s">
        <v>796</v>
      </c>
      <c r="K33" s="234" t="s">
        <v>797</v>
      </c>
      <c r="L33" s="142"/>
    </row>
    <row r="34" spans="1:17" ht="7.5" customHeight="1" x14ac:dyDescent="0.25">
      <c r="A34" s="84"/>
      <c r="B34" s="115"/>
      <c r="C34" s="116"/>
      <c r="D34" s="116"/>
      <c r="E34" s="113"/>
      <c r="H34" s="143"/>
      <c r="I34" s="151"/>
      <c r="J34" s="235"/>
      <c r="K34" s="235"/>
      <c r="L34" s="146"/>
    </row>
    <row r="35" spans="1:17" ht="15.75" customHeight="1" x14ac:dyDescent="0.25">
      <c r="A35" s="72"/>
      <c r="B35" s="90" t="s">
        <v>785</v>
      </c>
      <c r="C35" s="114"/>
      <c r="D35" s="114"/>
      <c r="E35" s="92"/>
      <c r="H35" s="143"/>
      <c r="I35" s="104"/>
      <c r="J35" s="236"/>
      <c r="K35" s="236"/>
      <c r="L35" s="144"/>
      <c r="Q35" s="131"/>
    </row>
    <row r="36" spans="1:17" ht="15.75" customHeight="1" x14ac:dyDescent="0.25">
      <c r="A36" s="72"/>
      <c r="B36" s="103" t="str">
        <f>CONCATENATE("   12/01/",Notes!$B$1-1)</f>
        <v xml:space="preserve">   12/01/2021</v>
      </c>
      <c r="C36" s="117">
        <f>IFERROR(INDEX(SurtaxPayment!$C$6:$U$340,MATCH(PaymentSummary!$B$3,SurtaxPayment!$C$6:$C$340,0),9),0)</f>
        <v>75137126.25</v>
      </c>
      <c r="D36" s="117"/>
      <c r="E36" s="92"/>
      <c r="H36" s="143"/>
      <c r="I36" s="133" t="s">
        <v>715</v>
      </c>
      <c r="J36" s="117">
        <f>IFERROR(INDEX(SurtaxPayment!$C$6:$U$340,MATCH(PaymentSummary!$B$3,SurtaxPayment!$C$6:$C$340,0),10),0)</f>
        <v>7800045.8299999973</v>
      </c>
      <c r="K36" s="117">
        <f>IFERROR(INDEX(SurtaxPayment!$C$6:$U$340,MATCH(PaymentSummary!$B$3,SurtaxPayment!$C$6:$C$340,0),11),0)</f>
        <v>67337080.419999957</v>
      </c>
      <c r="L36" s="145"/>
      <c r="O36" s="130"/>
      <c r="P36" s="130"/>
    </row>
    <row r="37" spans="1:17" ht="15.75" customHeight="1" x14ac:dyDescent="0.25">
      <c r="A37" s="72"/>
      <c r="B37" s="103" t="str">
        <f>CONCATENATE("   02/01/",Notes!$B$1)</f>
        <v xml:space="preserve">   02/01/2022</v>
      </c>
      <c r="C37" s="117">
        <f>IFERROR(INDEX(SurtaxPayment!$C$6:$U$340,MATCH(PaymentSummary!$B$3,SurtaxPayment!$C$6:$C$340,0),13),0)</f>
        <v>29315857.75</v>
      </c>
      <c r="D37" s="117"/>
      <c r="E37" s="92"/>
      <c r="H37" s="143"/>
      <c r="I37" s="133" t="s">
        <v>717</v>
      </c>
      <c r="J37" s="117">
        <f>IFERROR(INDEX(SurtaxPayment!$C$6:$U$340,MATCH(PaymentSummary!$B$3,SurtaxPayment!$C$6:$C$340,0),14),0)</f>
        <v>2960676.0899999994</v>
      </c>
      <c r="K37" s="117">
        <f>IFERROR(INDEX(SurtaxPayment!$C$6:$U$340,MATCH(PaymentSummary!$B$3,SurtaxPayment!$C$6:$C$340,0),15),0)</f>
        <v>26355181.660000008</v>
      </c>
      <c r="L37" s="146"/>
    </row>
    <row r="38" spans="1:17" ht="18" customHeight="1" thickBot="1" x14ac:dyDescent="0.3">
      <c r="A38" s="72"/>
      <c r="B38" s="104" t="s">
        <v>786</v>
      </c>
      <c r="C38" s="117"/>
      <c r="D38" s="118">
        <f>C36+C37</f>
        <v>104452984</v>
      </c>
      <c r="E38" s="92"/>
      <c r="H38" s="143"/>
      <c r="I38" s="133" t="s">
        <v>793</v>
      </c>
      <c r="J38" s="134">
        <f>SUM(J36:J37)</f>
        <v>10760721.919999996</v>
      </c>
      <c r="K38" s="134">
        <f>SUM(K36:K37)</f>
        <v>93692262.079999968</v>
      </c>
      <c r="L38" s="146"/>
    </row>
    <row r="39" spans="1:17" ht="7.5" customHeight="1" thickTop="1" x14ac:dyDescent="0.25">
      <c r="A39" s="75"/>
      <c r="B39" s="106"/>
      <c r="C39" s="107"/>
      <c r="D39" s="107"/>
      <c r="E39" s="108"/>
      <c r="H39" s="147"/>
      <c r="I39" s="148"/>
      <c r="J39" s="148"/>
      <c r="K39" s="148"/>
      <c r="L39" s="149"/>
    </row>
    <row r="40" spans="1:17" ht="7.5" customHeight="1" x14ac:dyDescent="0.25">
      <c r="B40" s="90"/>
      <c r="C40" s="114"/>
      <c r="D40" s="114"/>
      <c r="E40" s="96"/>
    </row>
    <row r="41" spans="1:17" ht="7.5" customHeight="1" x14ac:dyDescent="0.25">
      <c r="A41" s="84"/>
      <c r="B41" s="115"/>
      <c r="C41" s="116"/>
      <c r="D41" s="116"/>
      <c r="E41" s="113"/>
    </row>
    <row r="42" spans="1:17" ht="15.75" customHeight="1" thickBot="1" x14ac:dyDescent="0.3">
      <c r="A42" s="72"/>
      <c r="B42" s="104" t="str">
        <f>CONCATENATE("FY ",Notes!$B$1," AEA Flowthrough Amount")</f>
        <v>FY 2022 AEA Flowthrough Amount</v>
      </c>
      <c r="C42" s="114"/>
      <c r="D42" s="95">
        <f>INDEX(Data[],MATCH(PaymentSummary!$B$3,Data[Dist],0),MATCH($G$42,Data[#Headers],0))</f>
        <v>236673716</v>
      </c>
      <c r="E42" s="92"/>
      <c r="G42" s="135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9"/>
      <c r="C43" s="120"/>
      <c r="D43" s="120"/>
      <c r="E43" s="108"/>
    </row>
    <row r="44" spans="1:17" x14ac:dyDescent="0.2">
      <c r="B44" s="121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81" customWidth="1"/>
    <col min="3" max="3" width="5" style="197" bestFit="1" customWidth="1"/>
    <col min="4" max="6" width="5" style="197" customWidth="1"/>
    <col min="7" max="7" width="32.28515625" style="181" bestFit="1" customWidth="1"/>
    <col min="8" max="8" width="11" style="181" bestFit="1" customWidth="1"/>
    <col min="9" max="9" width="12.7109375" style="181" customWidth="1"/>
    <col min="10" max="10" width="1.7109375" style="181" customWidth="1"/>
    <col min="11" max="11" width="12.7109375" style="181" bestFit="1" customWidth="1"/>
    <col min="12" max="12" width="13.5703125" style="181" bestFit="1" customWidth="1"/>
    <col min="13" max="13" width="12.85546875" style="181" bestFit="1" customWidth="1"/>
    <col min="14" max="14" width="1.7109375" style="181" customWidth="1"/>
    <col min="15" max="15" width="13.28515625" style="181" customWidth="1"/>
    <col min="16" max="16" width="12.42578125" style="181" customWidth="1"/>
    <col min="17" max="17" width="13.85546875" style="181" customWidth="1"/>
    <col min="18" max="18" width="1.7109375" style="181" customWidth="1"/>
    <col min="19" max="19" width="13.85546875" style="181" customWidth="1"/>
    <col min="20" max="20" width="12.7109375" style="181" customWidth="1"/>
    <col min="21" max="21" width="13.85546875" style="181" bestFit="1" customWidth="1"/>
    <col min="22" max="16384" width="9.140625" style="181"/>
  </cols>
  <sheetData>
    <row r="1" spans="1:22" x14ac:dyDescent="0.25">
      <c r="A1" s="198"/>
      <c r="B1" s="198"/>
      <c r="C1" s="199"/>
      <c r="D1" s="198"/>
      <c r="E1" s="198"/>
      <c r="F1" s="200"/>
      <c r="G1" s="238" t="str">
        <f>_xlfn.CONCAT("School District Income Surtax Payment - FY ",Notes!$B$1)</f>
        <v>School District Income Surtax Payment - FY 2022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2" x14ac:dyDescent="0.25">
      <c r="A2" s="198"/>
      <c r="B2" s="198"/>
      <c r="C2" s="199"/>
      <c r="D2" s="198"/>
      <c r="E2" s="198"/>
      <c r="F2" s="200"/>
      <c r="G2" s="238" t="str">
        <f>_xlfn.CONCAT("Based upon income surtax rates in FY ",Notes!B1-1," budgets")</f>
        <v>Based upon income surtax rates in FY 2021 budgets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2" x14ac:dyDescent="0.25">
      <c r="A3" s="198"/>
      <c r="B3" s="198"/>
      <c r="C3" s="199"/>
      <c r="D3" s="198"/>
      <c r="E3" s="198"/>
      <c r="F3" s="182"/>
      <c r="G3" s="183"/>
      <c r="H3" s="183"/>
      <c r="I3" s="183"/>
      <c r="J3" s="183"/>
      <c r="K3" s="183"/>
      <c r="L3" s="183"/>
      <c r="M3" s="183"/>
      <c r="N3" s="199"/>
      <c r="O3" s="199"/>
      <c r="P3" s="199"/>
      <c r="Q3" s="199"/>
      <c r="R3" s="199"/>
      <c r="S3" s="199"/>
      <c r="T3" s="199"/>
      <c r="U3" s="199"/>
    </row>
    <row r="4" spans="1:22" ht="15" customHeight="1" x14ac:dyDescent="0.25">
      <c r="A4" s="198"/>
      <c r="B4" s="198"/>
      <c r="C4" s="199"/>
      <c r="D4" s="198"/>
      <c r="E4" s="198"/>
      <c r="F4" s="184"/>
      <c r="G4" s="185"/>
      <c r="H4" s="199"/>
      <c r="I4" s="199"/>
      <c r="J4" s="201"/>
      <c r="K4" s="237" t="str">
        <f>CONCATENATE("First Payment - 12/01/",Notes!$B$1-1)</f>
        <v>First Payment - 12/01/2021</v>
      </c>
      <c r="L4" s="237"/>
      <c r="M4" s="237"/>
      <c r="N4" s="201"/>
      <c r="O4" s="237" t="str">
        <f>CONCATENATE("Second Payment - 02/01/",Notes!$B$1)</f>
        <v>Second Payment - 02/01/2022</v>
      </c>
      <c r="P4" s="237"/>
      <c r="Q4" s="237"/>
      <c r="R4" s="186"/>
      <c r="S4" s="237" t="s">
        <v>793</v>
      </c>
      <c r="T4" s="237"/>
      <c r="U4" s="237"/>
    </row>
    <row r="5" spans="1:22" ht="45" x14ac:dyDescent="0.25">
      <c r="A5" s="198" t="s">
        <v>353</v>
      </c>
      <c r="B5" s="198" t="s">
        <v>817</v>
      </c>
      <c r="C5" s="187" t="s">
        <v>799</v>
      </c>
      <c r="D5" s="198" t="s">
        <v>818</v>
      </c>
      <c r="E5" s="198" t="s">
        <v>819</v>
      </c>
      <c r="F5" s="188" t="s">
        <v>354</v>
      </c>
      <c r="G5" s="189" t="s">
        <v>804</v>
      </c>
      <c r="H5" s="190" t="s">
        <v>794</v>
      </c>
      <c r="I5" s="191" t="s">
        <v>795</v>
      </c>
      <c r="J5" s="192"/>
      <c r="K5" s="193" t="s">
        <v>727</v>
      </c>
      <c r="L5" s="191" t="s">
        <v>796</v>
      </c>
      <c r="M5" s="191" t="s">
        <v>797</v>
      </c>
      <c r="N5" s="201"/>
      <c r="O5" s="194" t="s">
        <v>727</v>
      </c>
      <c r="P5" s="190" t="s">
        <v>796</v>
      </c>
      <c r="Q5" s="190" t="s">
        <v>797</v>
      </c>
      <c r="R5" s="201"/>
      <c r="S5" s="194" t="s">
        <v>727</v>
      </c>
      <c r="T5" s="190" t="s">
        <v>796</v>
      </c>
      <c r="U5" s="190" t="s">
        <v>797</v>
      </c>
    </row>
    <row r="6" spans="1:22" x14ac:dyDescent="0.25">
      <c r="A6" s="202">
        <v>2021</v>
      </c>
      <c r="B6" s="202" t="s">
        <v>820</v>
      </c>
      <c r="C6" s="203" t="s">
        <v>21</v>
      </c>
      <c r="D6" s="204" t="s">
        <v>821</v>
      </c>
      <c r="E6" s="204" t="s">
        <v>821</v>
      </c>
      <c r="F6" s="204" t="s">
        <v>21</v>
      </c>
      <c r="G6" s="203" t="s">
        <v>381</v>
      </c>
      <c r="H6" s="205">
        <v>4</v>
      </c>
      <c r="I6" s="205">
        <v>4</v>
      </c>
      <c r="J6" s="206"/>
      <c r="K6" s="205">
        <v>115914.75</v>
      </c>
      <c r="L6" s="205">
        <v>57957.38</v>
      </c>
      <c r="M6" s="205">
        <v>57957.37</v>
      </c>
      <c r="N6" s="206"/>
      <c r="O6" s="205">
        <v>48642.25</v>
      </c>
      <c r="P6" s="205">
        <v>24321.13</v>
      </c>
      <c r="Q6" s="205">
        <v>24321.119999999999</v>
      </c>
      <c r="R6" s="206"/>
      <c r="S6" s="205">
        <v>164557</v>
      </c>
      <c r="T6" s="205">
        <v>82278.509999999995</v>
      </c>
      <c r="U6" s="205">
        <v>82278.490000000005</v>
      </c>
      <c r="V6" s="195"/>
    </row>
    <row r="7" spans="1:22" x14ac:dyDescent="0.25">
      <c r="A7" s="202">
        <v>2021</v>
      </c>
      <c r="B7" s="202" t="s">
        <v>820</v>
      </c>
      <c r="C7" s="203" t="s">
        <v>22</v>
      </c>
      <c r="D7" s="204" t="s">
        <v>821</v>
      </c>
      <c r="E7" s="204" t="s">
        <v>821</v>
      </c>
      <c r="F7" s="204" t="s">
        <v>22</v>
      </c>
      <c r="G7" s="203" t="s">
        <v>382</v>
      </c>
      <c r="H7" s="205">
        <v>0</v>
      </c>
      <c r="I7" s="205">
        <v>0</v>
      </c>
      <c r="J7" s="206"/>
      <c r="K7" s="205">
        <v>0</v>
      </c>
      <c r="L7" s="205">
        <v>0</v>
      </c>
      <c r="M7" s="205">
        <v>0</v>
      </c>
      <c r="N7" s="206"/>
      <c r="O7" s="205">
        <v>0</v>
      </c>
      <c r="P7" s="205">
        <v>0</v>
      </c>
      <c r="Q7" s="205">
        <v>0</v>
      </c>
      <c r="R7" s="206"/>
      <c r="S7" s="205">
        <v>0</v>
      </c>
      <c r="T7" s="205">
        <v>0</v>
      </c>
      <c r="U7" s="205">
        <v>0</v>
      </c>
      <c r="V7" s="195"/>
    </row>
    <row r="8" spans="1:22" x14ac:dyDescent="0.25">
      <c r="A8" s="202">
        <v>2021</v>
      </c>
      <c r="B8" s="202" t="s">
        <v>822</v>
      </c>
      <c r="C8" s="203" t="s">
        <v>20</v>
      </c>
      <c r="D8" s="204" t="s">
        <v>821</v>
      </c>
      <c r="E8" s="204" t="s">
        <v>821</v>
      </c>
      <c r="F8" s="204" t="s">
        <v>20</v>
      </c>
      <c r="G8" s="203" t="s">
        <v>0</v>
      </c>
      <c r="H8" s="205">
        <v>8</v>
      </c>
      <c r="I8" s="205">
        <v>0</v>
      </c>
      <c r="J8" s="206"/>
      <c r="K8" s="205">
        <v>254678.25</v>
      </c>
      <c r="L8" s="205">
        <v>254678.25</v>
      </c>
      <c r="M8" s="205">
        <v>0</v>
      </c>
      <c r="N8" s="206"/>
      <c r="O8" s="205">
        <v>91966.75</v>
      </c>
      <c r="P8" s="205">
        <v>91966.75</v>
      </c>
      <c r="Q8" s="205">
        <v>0</v>
      </c>
      <c r="R8" s="206"/>
      <c r="S8" s="205">
        <v>346645</v>
      </c>
      <c r="T8" s="205">
        <v>346645</v>
      </c>
      <c r="U8" s="205">
        <v>0</v>
      </c>
      <c r="V8" s="195"/>
    </row>
    <row r="9" spans="1:22" x14ac:dyDescent="0.25">
      <c r="A9" s="202">
        <v>2021</v>
      </c>
      <c r="B9" s="202" t="s">
        <v>823</v>
      </c>
      <c r="C9" s="203" t="s">
        <v>42</v>
      </c>
      <c r="D9" s="204" t="s">
        <v>821</v>
      </c>
      <c r="E9" s="204" t="s">
        <v>821</v>
      </c>
      <c r="F9" s="204" t="s">
        <v>42</v>
      </c>
      <c r="G9" s="203" t="s">
        <v>19</v>
      </c>
      <c r="H9" s="205">
        <v>0</v>
      </c>
      <c r="I9" s="205">
        <v>10</v>
      </c>
      <c r="J9" s="206"/>
      <c r="K9" s="205">
        <v>297183.75</v>
      </c>
      <c r="L9" s="205">
        <v>0</v>
      </c>
      <c r="M9" s="205">
        <v>297183.75</v>
      </c>
      <c r="N9" s="206"/>
      <c r="O9" s="205">
        <v>117582.25</v>
      </c>
      <c r="P9" s="205">
        <v>0</v>
      </c>
      <c r="Q9" s="205">
        <v>117582.25</v>
      </c>
      <c r="R9" s="206"/>
      <c r="S9" s="205">
        <v>414766</v>
      </c>
      <c r="T9" s="205">
        <v>0</v>
      </c>
      <c r="U9" s="205">
        <v>414766</v>
      </c>
      <c r="V9" s="195"/>
    </row>
    <row r="10" spans="1:22" x14ac:dyDescent="0.25">
      <c r="A10" s="202">
        <v>2021</v>
      </c>
      <c r="B10" s="202" t="s">
        <v>824</v>
      </c>
      <c r="C10" s="203" t="s">
        <v>23</v>
      </c>
      <c r="D10" s="204" t="s">
        <v>821</v>
      </c>
      <c r="E10" s="204" t="s">
        <v>821</v>
      </c>
      <c r="F10" s="204" t="s">
        <v>23</v>
      </c>
      <c r="G10" s="203" t="s">
        <v>383</v>
      </c>
      <c r="H10" s="205">
        <v>0</v>
      </c>
      <c r="I10" s="205">
        <v>4</v>
      </c>
      <c r="J10" s="206"/>
      <c r="K10" s="205">
        <v>82251</v>
      </c>
      <c r="L10" s="205">
        <v>0</v>
      </c>
      <c r="M10" s="205">
        <v>82251</v>
      </c>
      <c r="N10" s="206"/>
      <c r="O10" s="205">
        <v>32273</v>
      </c>
      <c r="P10" s="205">
        <v>0</v>
      </c>
      <c r="Q10" s="205">
        <v>32273</v>
      </c>
      <c r="R10" s="206"/>
      <c r="S10" s="205">
        <v>114524</v>
      </c>
      <c r="T10" s="205">
        <v>0</v>
      </c>
      <c r="U10" s="205">
        <v>114524</v>
      </c>
      <c r="V10" s="195"/>
    </row>
    <row r="11" spans="1:22" x14ac:dyDescent="0.25">
      <c r="A11" s="202">
        <v>2021</v>
      </c>
      <c r="B11" s="202" t="s">
        <v>825</v>
      </c>
      <c r="C11" s="203" t="s">
        <v>24</v>
      </c>
      <c r="D11" s="204" t="s">
        <v>821</v>
      </c>
      <c r="E11" s="204" t="s">
        <v>821</v>
      </c>
      <c r="F11" s="204" t="s">
        <v>24</v>
      </c>
      <c r="G11" s="203" t="s">
        <v>384</v>
      </c>
      <c r="H11" s="205">
        <v>0</v>
      </c>
      <c r="I11" s="205">
        <v>0</v>
      </c>
      <c r="J11" s="206"/>
      <c r="K11" s="205">
        <v>0</v>
      </c>
      <c r="L11" s="205">
        <v>0</v>
      </c>
      <c r="M11" s="205">
        <v>0</v>
      </c>
      <c r="N11" s="206"/>
      <c r="O11" s="205">
        <v>0</v>
      </c>
      <c r="P11" s="205">
        <v>0</v>
      </c>
      <c r="Q11" s="205">
        <v>0</v>
      </c>
      <c r="R11" s="206"/>
      <c r="S11" s="205">
        <v>0</v>
      </c>
      <c r="T11" s="205">
        <v>0</v>
      </c>
      <c r="U11" s="205">
        <v>0</v>
      </c>
      <c r="V11" s="195"/>
    </row>
    <row r="12" spans="1:22" x14ac:dyDescent="0.25">
      <c r="A12" s="202">
        <v>2021</v>
      </c>
      <c r="B12" s="202" t="s">
        <v>826</v>
      </c>
      <c r="C12" s="203" t="s">
        <v>25</v>
      </c>
      <c r="D12" s="204" t="s">
        <v>821</v>
      </c>
      <c r="E12" s="204" t="s">
        <v>821</v>
      </c>
      <c r="F12" s="204" t="s">
        <v>25</v>
      </c>
      <c r="G12" s="203" t="s">
        <v>385</v>
      </c>
      <c r="H12" s="205">
        <v>0</v>
      </c>
      <c r="I12" s="205">
        <v>1</v>
      </c>
      <c r="J12" s="206"/>
      <c r="K12" s="205">
        <v>44015.25</v>
      </c>
      <c r="L12" s="205">
        <v>0</v>
      </c>
      <c r="M12" s="205">
        <v>44015.25</v>
      </c>
      <c r="N12" s="206"/>
      <c r="O12" s="205">
        <v>15923.75</v>
      </c>
      <c r="P12" s="205">
        <v>0</v>
      </c>
      <c r="Q12" s="205">
        <v>15923.75</v>
      </c>
      <c r="R12" s="206"/>
      <c r="S12" s="205">
        <v>59939</v>
      </c>
      <c r="T12" s="205">
        <v>0</v>
      </c>
      <c r="U12" s="205">
        <v>59939</v>
      </c>
      <c r="V12" s="195"/>
    </row>
    <row r="13" spans="1:22" x14ac:dyDescent="0.25">
      <c r="A13" s="202">
        <v>2021</v>
      </c>
      <c r="B13" s="202" t="s">
        <v>827</v>
      </c>
      <c r="C13" s="203" t="s">
        <v>26</v>
      </c>
      <c r="D13" s="204" t="s">
        <v>821</v>
      </c>
      <c r="E13" s="204" t="s">
        <v>821</v>
      </c>
      <c r="F13" s="204" t="s">
        <v>26</v>
      </c>
      <c r="G13" s="203" t="s">
        <v>386</v>
      </c>
      <c r="H13" s="205">
        <v>1</v>
      </c>
      <c r="I13" s="205">
        <v>0</v>
      </c>
      <c r="J13" s="206"/>
      <c r="K13" s="205">
        <v>32905.5</v>
      </c>
      <c r="L13" s="205">
        <v>32905.5</v>
      </c>
      <c r="M13" s="205">
        <v>0</v>
      </c>
      <c r="N13" s="206"/>
      <c r="O13" s="205">
        <v>12157.5</v>
      </c>
      <c r="P13" s="205">
        <v>12157.5</v>
      </c>
      <c r="Q13" s="205">
        <v>0</v>
      </c>
      <c r="R13" s="206"/>
      <c r="S13" s="205">
        <v>45063</v>
      </c>
      <c r="T13" s="205">
        <v>45063</v>
      </c>
      <c r="U13" s="205">
        <v>0</v>
      </c>
      <c r="V13" s="195"/>
    </row>
    <row r="14" spans="1:22" x14ac:dyDescent="0.25">
      <c r="A14" s="202">
        <v>2021</v>
      </c>
      <c r="B14" s="202" t="s">
        <v>822</v>
      </c>
      <c r="C14" s="203" t="s">
        <v>27</v>
      </c>
      <c r="D14" s="204" t="s">
        <v>821</v>
      </c>
      <c r="E14" s="204" t="s">
        <v>821</v>
      </c>
      <c r="F14" s="204" t="s">
        <v>27</v>
      </c>
      <c r="G14" s="203" t="s">
        <v>387</v>
      </c>
      <c r="H14" s="205">
        <v>0</v>
      </c>
      <c r="I14" s="205">
        <v>7</v>
      </c>
      <c r="J14" s="206"/>
      <c r="K14" s="205">
        <v>69137.25</v>
      </c>
      <c r="L14" s="205">
        <v>0</v>
      </c>
      <c r="M14" s="205">
        <v>69137.25</v>
      </c>
      <c r="N14" s="206"/>
      <c r="O14" s="205">
        <v>23500.75</v>
      </c>
      <c r="P14" s="205">
        <v>0</v>
      </c>
      <c r="Q14" s="205">
        <v>23500.75</v>
      </c>
      <c r="R14" s="206"/>
      <c r="S14" s="205">
        <v>92638</v>
      </c>
      <c r="T14" s="205">
        <v>0</v>
      </c>
      <c r="U14" s="205">
        <v>92638</v>
      </c>
      <c r="V14" s="195"/>
    </row>
    <row r="15" spans="1:22" x14ac:dyDescent="0.25">
      <c r="A15" s="202">
        <v>2021</v>
      </c>
      <c r="B15" s="202" t="s">
        <v>825</v>
      </c>
      <c r="C15" s="203" t="s">
        <v>28</v>
      </c>
      <c r="D15" s="204" t="s">
        <v>828</v>
      </c>
      <c r="E15" s="204" t="s">
        <v>821</v>
      </c>
      <c r="F15" s="204" t="s">
        <v>28</v>
      </c>
      <c r="G15" s="203" t="s">
        <v>388</v>
      </c>
      <c r="H15" s="205">
        <v>0</v>
      </c>
      <c r="I15" s="205">
        <v>6</v>
      </c>
      <c r="J15" s="206"/>
      <c r="K15" s="205">
        <v>470724.75</v>
      </c>
      <c r="L15" s="205">
        <v>0</v>
      </c>
      <c r="M15" s="205">
        <v>470724.75</v>
      </c>
      <c r="N15" s="206"/>
      <c r="O15" s="205">
        <v>176486.25</v>
      </c>
      <c r="P15" s="205">
        <v>0</v>
      </c>
      <c r="Q15" s="205">
        <v>176486.25</v>
      </c>
      <c r="R15" s="206"/>
      <c r="S15" s="205">
        <v>647211</v>
      </c>
      <c r="T15" s="205">
        <v>0</v>
      </c>
      <c r="U15" s="205">
        <v>647211</v>
      </c>
      <c r="V15" s="195"/>
    </row>
    <row r="16" spans="1:22" x14ac:dyDescent="0.25">
      <c r="A16" s="202">
        <v>2021</v>
      </c>
      <c r="B16" s="202" t="s">
        <v>829</v>
      </c>
      <c r="C16" s="203" t="s">
        <v>29</v>
      </c>
      <c r="D16" s="204" t="s">
        <v>821</v>
      </c>
      <c r="E16" s="204" t="s">
        <v>821</v>
      </c>
      <c r="F16" s="204" t="s">
        <v>29</v>
      </c>
      <c r="G16" s="203" t="s">
        <v>389</v>
      </c>
      <c r="H16" s="205">
        <v>8</v>
      </c>
      <c r="I16" s="205">
        <v>0</v>
      </c>
      <c r="J16" s="206"/>
      <c r="K16" s="205">
        <v>368304.75</v>
      </c>
      <c r="L16" s="205">
        <v>368304.75</v>
      </c>
      <c r="M16" s="205">
        <v>0</v>
      </c>
      <c r="N16" s="206"/>
      <c r="O16" s="205">
        <v>132349.25</v>
      </c>
      <c r="P16" s="205">
        <v>132349.25</v>
      </c>
      <c r="Q16" s="205">
        <v>0</v>
      </c>
      <c r="R16" s="206"/>
      <c r="S16" s="205">
        <v>500654</v>
      </c>
      <c r="T16" s="205">
        <v>500654</v>
      </c>
      <c r="U16" s="205">
        <v>0</v>
      </c>
      <c r="V16" s="195"/>
    </row>
    <row r="17" spans="1:22" x14ac:dyDescent="0.25">
      <c r="A17" s="202">
        <v>2021</v>
      </c>
      <c r="B17" s="202" t="s">
        <v>825</v>
      </c>
      <c r="C17" s="203" t="s">
        <v>31</v>
      </c>
      <c r="D17" s="204" t="s">
        <v>41</v>
      </c>
      <c r="E17" s="204" t="s">
        <v>821</v>
      </c>
      <c r="F17" s="204" t="s">
        <v>31</v>
      </c>
      <c r="G17" s="203" t="s">
        <v>800</v>
      </c>
      <c r="H17" s="205">
        <v>0</v>
      </c>
      <c r="I17" s="205">
        <v>9</v>
      </c>
      <c r="J17" s="206"/>
      <c r="K17" s="205">
        <v>322301.25</v>
      </c>
      <c r="L17" s="205">
        <v>0</v>
      </c>
      <c r="M17" s="205">
        <v>322301.25</v>
      </c>
      <c r="N17" s="206"/>
      <c r="O17" s="205">
        <v>113225.75</v>
      </c>
      <c r="P17" s="205">
        <v>0</v>
      </c>
      <c r="Q17" s="205">
        <v>113225.75</v>
      </c>
      <c r="R17" s="206"/>
      <c r="S17" s="205">
        <v>435527</v>
      </c>
      <c r="T17" s="205">
        <v>0</v>
      </c>
      <c r="U17" s="205">
        <v>435527</v>
      </c>
      <c r="V17" s="195"/>
    </row>
    <row r="18" spans="1:22" x14ac:dyDescent="0.25">
      <c r="A18" s="202">
        <v>2021</v>
      </c>
      <c r="B18" s="202" t="s">
        <v>820</v>
      </c>
      <c r="C18" s="203" t="s">
        <v>32</v>
      </c>
      <c r="D18" s="204" t="s">
        <v>821</v>
      </c>
      <c r="E18" s="204" t="s">
        <v>821</v>
      </c>
      <c r="F18" s="204" t="s">
        <v>32</v>
      </c>
      <c r="G18" s="203" t="s">
        <v>391</v>
      </c>
      <c r="H18" s="205">
        <v>0</v>
      </c>
      <c r="I18" s="205">
        <v>4</v>
      </c>
      <c r="J18" s="206"/>
      <c r="K18" s="205">
        <v>1532883.75</v>
      </c>
      <c r="L18" s="205">
        <v>0</v>
      </c>
      <c r="M18" s="205">
        <v>1532883.75</v>
      </c>
      <c r="N18" s="206"/>
      <c r="O18" s="205">
        <v>610205.25</v>
      </c>
      <c r="P18" s="205">
        <v>0</v>
      </c>
      <c r="Q18" s="205">
        <v>610205.25</v>
      </c>
      <c r="R18" s="206"/>
      <c r="S18" s="205">
        <v>2143089</v>
      </c>
      <c r="T18" s="205">
        <v>0</v>
      </c>
      <c r="U18" s="205">
        <v>2143089</v>
      </c>
      <c r="V18" s="195"/>
    </row>
    <row r="19" spans="1:22" x14ac:dyDescent="0.25">
      <c r="A19" s="202">
        <v>2021</v>
      </c>
      <c r="B19" s="202" t="s">
        <v>827</v>
      </c>
      <c r="C19" s="203" t="s">
        <v>33</v>
      </c>
      <c r="D19" s="204" t="s">
        <v>821</v>
      </c>
      <c r="E19" s="204" t="s">
        <v>821</v>
      </c>
      <c r="F19" s="204" t="s">
        <v>33</v>
      </c>
      <c r="G19" s="203" t="s">
        <v>392</v>
      </c>
      <c r="H19" s="205">
        <v>0</v>
      </c>
      <c r="I19" s="205">
        <v>7</v>
      </c>
      <c r="J19" s="206"/>
      <c r="K19" s="205">
        <v>443761.5</v>
      </c>
      <c r="L19" s="205">
        <v>0</v>
      </c>
      <c r="M19" s="205">
        <v>443761.5</v>
      </c>
      <c r="N19" s="206"/>
      <c r="O19" s="205">
        <v>159859.5</v>
      </c>
      <c r="P19" s="205">
        <v>0</v>
      </c>
      <c r="Q19" s="205">
        <v>159859.5</v>
      </c>
      <c r="R19" s="206"/>
      <c r="S19" s="205">
        <v>603621</v>
      </c>
      <c r="T19" s="205">
        <v>0</v>
      </c>
      <c r="U19" s="205">
        <v>603621</v>
      </c>
      <c r="V19" s="195"/>
    </row>
    <row r="20" spans="1:22" x14ac:dyDescent="0.25">
      <c r="A20" s="202">
        <v>2021</v>
      </c>
      <c r="B20" s="202" t="s">
        <v>830</v>
      </c>
      <c r="C20" s="203" t="s">
        <v>34</v>
      </c>
      <c r="D20" s="204" t="s">
        <v>821</v>
      </c>
      <c r="E20" s="204" t="s">
        <v>821</v>
      </c>
      <c r="F20" s="204" t="s">
        <v>34</v>
      </c>
      <c r="G20" s="203" t="s">
        <v>393</v>
      </c>
      <c r="H20" s="205">
        <v>0</v>
      </c>
      <c r="I20" s="205">
        <v>5</v>
      </c>
      <c r="J20" s="206"/>
      <c r="K20" s="205">
        <v>47743.5</v>
      </c>
      <c r="L20" s="205">
        <v>0</v>
      </c>
      <c r="M20" s="205">
        <v>47743.5</v>
      </c>
      <c r="N20" s="206"/>
      <c r="O20" s="205">
        <v>17680.5</v>
      </c>
      <c r="P20" s="205">
        <v>0</v>
      </c>
      <c r="Q20" s="205">
        <v>17680.5</v>
      </c>
      <c r="R20" s="206"/>
      <c r="S20" s="205">
        <v>65424</v>
      </c>
      <c r="T20" s="205">
        <v>0</v>
      </c>
      <c r="U20" s="205">
        <v>65424</v>
      </c>
      <c r="V20" s="195"/>
    </row>
    <row r="21" spans="1:22" x14ac:dyDescent="0.25">
      <c r="A21" s="202">
        <v>2021</v>
      </c>
      <c r="B21" s="202" t="s">
        <v>820</v>
      </c>
      <c r="C21" s="203" t="s">
        <v>35</v>
      </c>
      <c r="D21" s="204" t="s">
        <v>821</v>
      </c>
      <c r="E21" s="204" t="s">
        <v>821</v>
      </c>
      <c r="F21" s="204" t="s">
        <v>35</v>
      </c>
      <c r="G21" s="203" t="s">
        <v>394</v>
      </c>
      <c r="H21" s="205">
        <v>0</v>
      </c>
      <c r="I21" s="205">
        <v>0</v>
      </c>
      <c r="J21" s="206"/>
      <c r="K21" s="205">
        <v>0</v>
      </c>
      <c r="L21" s="205">
        <v>0</v>
      </c>
      <c r="M21" s="205">
        <v>0</v>
      </c>
      <c r="N21" s="206"/>
      <c r="O21" s="205">
        <v>0</v>
      </c>
      <c r="P21" s="205">
        <v>0</v>
      </c>
      <c r="Q21" s="205">
        <v>0</v>
      </c>
      <c r="R21" s="206"/>
      <c r="S21" s="205">
        <v>0</v>
      </c>
      <c r="T21" s="205">
        <v>0</v>
      </c>
      <c r="U21" s="205">
        <v>0</v>
      </c>
      <c r="V21" s="195"/>
    </row>
    <row r="22" spans="1:22" x14ac:dyDescent="0.25">
      <c r="A22" s="202">
        <v>2021</v>
      </c>
      <c r="B22" s="202" t="s">
        <v>822</v>
      </c>
      <c r="C22" s="203" t="s">
        <v>36</v>
      </c>
      <c r="D22" s="204" t="s">
        <v>821</v>
      </c>
      <c r="E22" s="204" t="s">
        <v>821</v>
      </c>
      <c r="F22" s="204" t="s">
        <v>36</v>
      </c>
      <c r="G22" s="203" t="s">
        <v>395</v>
      </c>
      <c r="H22" s="205">
        <v>0</v>
      </c>
      <c r="I22" s="205">
        <v>7</v>
      </c>
      <c r="J22" s="206"/>
      <c r="K22" s="205">
        <v>298909.5</v>
      </c>
      <c r="L22" s="205">
        <v>0</v>
      </c>
      <c r="M22" s="205">
        <v>298909.5</v>
      </c>
      <c r="N22" s="206"/>
      <c r="O22" s="205">
        <v>129060.5</v>
      </c>
      <c r="P22" s="205">
        <v>0</v>
      </c>
      <c r="Q22" s="205">
        <v>129060.5</v>
      </c>
      <c r="R22" s="206"/>
      <c r="S22" s="205">
        <v>427970</v>
      </c>
      <c r="T22" s="205">
        <v>0</v>
      </c>
      <c r="U22" s="205">
        <v>427970</v>
      </c>
      <c r="V22" s="195"/>
    </row>
    <row r="23" spans="1:22" x14ac:dyDescent="0.25">
      <c r="A23" s="202">
        <v>2021</v>
      </c>
      <c r="B23" s="202" t="s">
        <v>824</v>
      </c>
      <c r="C23" s="203" t="s">
        <v>38</v>
      </c>
      <c r="D23" s="204" t="s">
        <v>821</v>
      </c>
      <c r="E23" s="204" t="s">
        <v>821</v>
      </c>
      <c r="F23" s="204" t="s">
        <v>38</v>
      </c>
      <c r="G23" s="203" t="s">
        <v>397</v>
      </c>
      <c r="H23" s="205">
        <v>0</v>
      </c>
      <c r="I23" s="205">
        <v>9</v>
      </c>
      <c r="J23" s="206"/>
      <c r="K23" s="205">
        <v>133154.25</v>
      </c>
      <c r="L23" s="205">
        <v>0</v>
      </c>
      <c r="M23" s="205">
        <v>133154.25</v>
      </c>
      <c r="N23" s="206"/>
      <c r="O23" s="205">
        <v>49466.75</v>
      </c>
      <c r="P23" s="205">
        <v>0</v>
      </c>
      <c r="Q23" s="205">
        <v>49466.75</v>
      </c>
      <c r="R23" s="206"/>
      <c r="S23" s="205">
        <v>182621</v>
      </c>
      <c r="T23" s="205">
        <v>0</v>
      </c>
      <c r="U23" s="205">
        <v>182621</v>
      </c>
      <c r="V23" s="195"/>
    </row>
    <row r="24" spans="1:22" x14ac:dyDescent="0.25">
      <c r="A24" s="202">
        <v>2021</v>
      </c>
      <c r="B24" s="202" t="s">
        <v>823</v>
      </c>
      <c r="C24" s="203" t="s">
        <v>39</v>
      </c>
      <c r="D24" s="204" t="s">
        <v>821</v>
      </c>
      <c r="E24" s="204" t="s">
        <v>821</v>
      </c>
      <c r="F24" s="204" t="s">
        <v>39</v>
      </c>
      <c r="G24" s="203" t="s">
        <v>398</v>
      </c>
      <c r="H24" s="205">
        <v>4</v>
      </c>
      <c r="I24" s="205">
        <v>8</v>
      </c>
      <c r="J24" s="206"/>
      <c r="K24" s="205">
        <v>655338.75</v>
      </c>
      <c r="L24" s="205">
        <v>218446.25</v>
      </c>
      <c r="M24" s="205">
        <v>436892.5</v>
      </c>
      <c r="N24" s="206"/>
      <c r="O24" s="205">
        <v>302223.25</v>
      </c>
      <c r="P24" s="205">
        <v>100741.08</v>
      </c>
      <c r="Q24" s="205">
        <v>201482.16999999998</v>
      </c>
      <c r="R24" s="206"/>
      <c r="S24" s="205">
        <v>957562</v>
      </c>
      <c r="T24" s="205">
        <v>319187.33</v>
      </c>
      <c r="U24" s="205">
        <v>638374.66999999993</v>
      </c>
      <c r="V24" s="195"/>
    </row>
    <row r="25" spans="1:22" x14ac:dyDescent="0.25">
      <c r="A25" s="202">
        <v>2021</v>
      </c>
      <c r="B25" s="202" t="s">
        <v>820</v>
      </c>
      <c r="C25" s="203" t="s">
        <v>40</v>
      </c>
      <c r="D25" s="204" t="s">
        <v>821</v>
      </c>
      <c r="E25" s="204" t="s">
        <v>821</v>
      </c>
      <c r="F25" s="204" t="s">
        <v>40</v>
      </c>
      <c r="G25" s="203" t="s">
        <v>399</v>
      </c>
      <c r="H25" s="205">
        <v>0</v>
      </c>
      <c r="I25" s="205">
        <v>6</v>
      </c>
      <c r="J25" s="206"/>
      <c r="K25" s="205">
        <v>145886.25</v>
      </c>
      <c r="L25" s="205">
        <v>0</v>
      </c>
      <c r="M25" s="205">
        <v>145886.25</v>
      </c>
      <c r="N25" s="206"/>
      <c r="O25" s="205">
        <v>59015.75</v>
      </c>
      <c r="P25" s="205">
        <v>0</v>
      </c>
      <c r="Q25" s="205">
        <v>59015.75</v>
      </c>
      <c r="R25" s="206"/>
      <c r="S25" s="205">
        <v>204902</v>
      </c>
      <c r="T25" s="205">
        <v>0</v>
      </c>
      <c r="U25" s="205">
        <v>204902</v>
      </c>
      <c r="V25" s="195"/>
    </row>
    <row r="26" spans="1:22" x14ac:dyDescent="0.25">
      <c r="A26" s="202">
        <v>2021</v>
      </c>
      <c r="B26" s="202" t="s">
        <v>820</v>
      </c>
      <c r="C26" s="203" t="s">
        <v>43</v>
      </c>
      <c r="D26" s="204" t="s">
        <v>821</v>
      </c>
      <c r="E26" s="204" t="s">
        <v>821</v>
      </c>
      <c r="F26" s="204" t="s">
        <v>43</v>
      </c>
      <c r="G26" s="203" t="s">
        <v>400</v>
      </c>
      <c r="H26" s="205">
        <v>2</v>
      </c>
      <c r="I26" s="205">
        <v>0</v>
      </c>
      <c r="J26" s="206"/>
      <c r="K26" s="205">
        <v>165458.25</v>
      </c>
      <c r="L26" s="205">
        <v>165458.25</v>
      </c>
      <c r="M26" s="205">
        <v>0</v>
      </c>
      <c r="N26" s="206"/>
      <c r="O26" s="205">
        <v>64323.75</v>
      </c>
      <c r="P26" s="205">
        <v>64323.75</v>
      </c>
      <c r="Q26" s="205">
        <v>0</v>
      </c>
      <c r="R26" s="206"/>
      <c r="S26" s="205">
        <v>229782</v>
      </c>
      <c r="T26" s="205">
        <v>229782</v>
      </c>
      <c r="U26" s="205">
        <v>0</v>
      </c>
      <c r="V26" s="195"/>
    </row>
    <row r="27" spans="1:22" x14ac:dyDescent="0.25">
      <c r="A27" s="202">
        <v>2021</v>
      </c>
      <c r="B27" s="202" t="s">
        <v>820</v>
      </c>
      <c r="C27" s="203" t="s">
        <v>45</v>
      </c>
      <c r="D27" s="204" t="s">
        <v>821</v>
      </c>
      <c r="E27" s="204" t="s">
        <v>821</v>
      </c>
      <c r="F27" s="204" t="s">
        <v>45</v>
      </c>
      <c r="G27" s="203" t="s">
        <v>401</v>
      </c>
      <c r="H27" s="205">
        <v>0</v>
      </c>
      <c r="I27" s="205">
        <v>7</v>
      </c>
      <c r="J27" s="206"/>
      <c r="K27" s="205">
        <v>102060.75</v>
      </c>
      <c r="L27" s="205">
        <v>0</v>
      </c>
      <c r="M27" s="205">
        <v>102060.75</v>
      </c>
      <c r="N27" s="206"/>
      <c r="O27" s="205">
        <v>38890.25</v>
      </c>
      <c r="P27" s="205">
        <v>0</v>
      </c>
      <c r="Q27" s="205">
        <v>38890.25</v>
      </c>
      <c r="R27" s="206"/>
      <c r="S27" s="205">
        <v>140951</v>
      </c>
      <c r="T27" s="205">
        <v>0</v>
      </c>
      <c r="U27" s="205">
        <v>140951</v>
      </c>
      <c r="V27" s="195"/>
    </row>
    <row r="28" spans="1:22" x14ac:dyDescent="0.25">
      <c r="A28" s="202">
        <v>2021</v>
      </c>
      <c r="B28" s="202" t="s">
        <v>822</v>
      </c>
      <c r="C28" s="203" t="s">
        <v>46</v>
      </c>
      <c r="D28" s="204" t="s">
        <v>821</v>
      </c>
      <c r="E28" s="204" t="s">
        <v>821</v>
      </c>
      <c r="F28" s="204" t="s">
        <v>46</v>
      </c>
      <c r="G28" s="203" t="s">
        <v>1</v>
      </c>
      <c r="H28" s="205">
        <v>0</v>
      </c>
      <c r="I28" s="205">
        <v>9</v>
      </c>
      <c r="J28" s="206"/>
      <c r="K28" s="205">
        <v>222549</v>
      </c>
      <c r="L28" s="205">
        <v>0</v>
      </c>
      <c r="M28" s="205">
        <v>222549</v>
      </c>
      <c r="N28" s="206"/>
      <c r="O28" s="205">
        <v>83697</v>
      </c>
      <c r="P28" s="205">
        <v>0</v>
      </c>
      <c r="Q28" s="205">
        <v>83697</v>
      </c>
      <c r="R28" s="206"/>
      <c r="S28" s="205">
        <v>306246</v>
      </c>
      <c r="T28" s="205">
        <v>0</v>
      </c>
      <c r="U28" s="205">
        <v>306246</v>
      </c>
      <c r="V28" s="195"/>
    </row>
    <row r="29" spans="1:22" x14ac:dyDescent="0.25">
      <c r="A29" s="202">
        <v>2021</v>
      </c>
      <c r="B29" s="202" t="s">
        <v>823</v>
      </c>
      <c r="C29" s="203" t="s">
        <v>47</v>
      </c>
      <c r="D29" s="204" t="s">
        <v>821</v>
      </c>
      <c r="E29" s="204" t="s">
        <v>821</v>
      </c>
      <c r="F29" s="204" t="s">
        <v>47</v>
      </c>
      <c r="G29" s="203" t="s">
        <v>402</v>
      </c>
      <c r="H29" s="205">
        <v>0</v>
      </c>
      <c r="I29" s="205">
        <v>10</v>
      </c>
      <c r="J29" s="206"/>
      <c r="K29" s="205">
        <v>143180.25</v>
      </c>
      <c r="L29" s="205">
        <v>0</v>
      </c>
      <c r="M29" s="205">
        <v>143180.25</v>
      </c>
      <c r="N29" s="206"/>
      <c r="O29" s="205">
        <v>58185.75</v>
      </c>
      <c r="P29" s="205">
        <v>0</v>
      </c>
      <c r="Q29" s="205">
        <v>58185.75</v>
      </c>
      <c r="R29" s="206"/>
      <c r="S29" s="205">
        <v>201366</v>
      </c>
      <c r="T29" s="205">
        <v>0</v>
      </c>
      <c r="U29" s="205">
        <v>201366</v>
      </c>
      <c r="V29" s="195"/>
    </row>
    <row r="30" spans="1:22" x14ac:dyDescent="0.25">
      <c r="A30" s="202">
        <v>2021</v>
      </c>
      <c r="B30" s="202" t="s">
        <v>827</v>
      </c>
      <c r="C30" s="203" t="s">
        <v>48</v>
      </c>
      <c r="D30" s="204" t="s">
        <v>821</v>
      </c>
      <c r="E30" s="204" t="s">
        <v>821</v>
      </c>
      <c r="F30" s="204" t="s">
        <v>48</v>
      </c>
      <c r="G30" s="203" t="s">
        <v>403</v>
      </c>
      <c r="H30" s="205">
        <v>1</v>
      </c>
      <c r="I30" s="205">
        <v>5</v>
      </c>
      <c r="J30" s="206"/>
      <c r="K30" s="205">
        <v>134185.5</v>
      </c>
      <c r="L30" s="205">
        <v>22364.25</v>
      </c>
      <c r="M30" s="205">
        <v>111821.25</v>
      </c>
      <c r="N30" s="206"/>
      <c r="O30" s="205">
        <v>46554.5</v>
      </c>
      <c r="P30" s="205">
        <v>7759.08</v>
      </c>
      <c r="Q30" s="205">
        <v>38795.42</v>
      </c>
      <c r="R30" s="206"/>
      <c r="S30" s="205">
        <v>180740</v>
      </c>
      <c r="T30" s="205">
        <v>30123.33</v>
      </c>
      <c r="U30" s="205">
        <v>150616.66999999998</v>
      </c>
      <c r="V30" s="195"/>
    </row>
    <row r="31" spans="1:22" x14ac:dyDescent="0.25">
      <c r="A31" s="202">
        <v>2021</v>
      </c>
      <c r="B31" s="202" t="s">
        <v>830</v>
      </c>
      <c r="C31" s="203" t="s">
        <v>49</v>
      </c>
      <c r="D31" s="204" t="s">
        <v>821</v>
      </c>
      <c r="E31" s="204" t="s">
        <v>821</v>
      </c>
      <c r="F31" s="204" t="s">
        <v>49</v>
      </c>
      <c r="G31" s="203" t="s">
        <v>404</v>
      </c>
      <c r="H31" s="205">
        <v>4</v>
      </c>
      <c r="I31" s="205">
        <v>0</v>
      </c>
      <c r="J31" s="206"/>
      <c r="K31" s="205">
        <v>151726.5</v>
      </c>
      <c r="L31" s="205">
        <v>151726.5</v>
      </c>
      <c r="M31" s="205">
        <v>0</v>
      </c>
      <c r="N31" s="206"/>
      <c r="O31" s="205">
        <v>63380.5</v>
      </c>
      <c r="P31" s="205">
        <v>63380.5</v>
      </c>
      <c r="Q31" s="205">
        <v>0</v>
      </c>
      <c r="R31" s="206"/>
      <c r="S31" s="205">
        <v>215107</v>
      </c>
      <c r="T31" s="205">
        <v>215107</v>
      </c>
      <c r="U31" s="205">
        <v>0</v>
      </c>
      <c r="V31" s="195"/>
    </row>
    <row r="32" spans="1:22" x14ac:dyDescent="0.25">
      <c r="A32" s="202">
        <v>2021</v>
      </c>
      <c r="B32" s="202" t="s">
        <v>822</v>
      </c>
      <c r="C32" s="203" t="s">
        <v>50</v>
      </c>
      <c r="D32" s="204" t="s">
        <v>821</v>
      </c>
      <c r="E32" s="204" t="s">
        <v>821</v>
      </c>
      <c r="F32" s="204" t="s">
        <v>50</v>
      </c>
      <c r="G32" s="203" t="s">
        <v>405</v>
      </c>
      <c r="H32" s="205">
        <v>0</v>
      </c>
      <c r="I32" s="205">
        <v>3</v>
      </c>
      <c r="J32" s="206"/>
      <c r="K32" s="205">
        <v>76185.75</v>
      </c>
      <c r="L32" s="205">
        <v>0</v>
      </c>
      <c r="M32" s="205">
        <v>76185.75</v>
      </c>
      <c r="N32" s="206"/>
      <c r="O32" s="205">
        <v>29324.25</v>
      </c>
      <c r="P32" s="205">
        <v>0</v>
      </c>
      <c r="Q32" s="205">
        <v>29324.25</v>
      </c>
      <c r="R32" s="206"/>
      <c r="S32" s="205">
        <v>105510</v>
      </c>
      <c r="T32" s="205">
        <v>0</v>
      </c>
      <c r="U32" s="205">
        <v>105510</v>
      </c>
      <c r="V32" s="195"/>
    </row>
    <row r="33" spans="1:22" x14ac:dyDescent="0.25">
      <c r="A33" s="202">
        <v>2021</v>
      </c>
      <c r="B33" s="202" t="s">
        <v>830</v>
      </c>
      <c r="C33" s="203" t="s">
        <v>51</v>
      </c>
      <c r="D33" s="204" t="s">
        <v>821</v>
      </c>
      <c r="E33" s="204" t="s">
        <v>821</v>
      </c>
      <c r="F33" s="204" t="s">
        <v>51</v>
      </c>
      <c r="G33" s="203" t="s">
        <v>406</v>
      </c>
      <c r="H33" s="205">
        <v>0</v>
      </c>
      <c r="I33" s="205">
        <v>1</v>
      </c>
      <c r="J33" s="206"/>
      <c r="K33" s="205">
        <v>11602.5</v>
      </c>
      <c r="L33" s="205">
        <v>0</v>
      </c>
      <c r="M33" s="205">
        <v>11602.5</v>
      </c>
      <c r="N33" s="206"/>
      <c r="O33" s="205">
        <v>3783.5</v>
      </c>
      <c r="P33" s="205">
        <v>0</v>
      </c>
      <c r="Q33" s="205">
        <v>3783.5</v>
      </c>
      <c r="R33" s="206"/>
      <c r="S33" s="205">
        <v>15386</v>
      </c>
      <c r="T33" s="205">
        <v>0</v>
      </c>
      <c r="U33" s="205">
        <v>15386</v>
      </c>
      <c r="V33" s="195"/>
    </row>
    <row r="34" spans="1:22" x14ac:dyDescent="0.25">
      <c r="A34" s="202">
        <v>2021</v>
      </c>
      <c r="B34" s="202" t="s">
        <v>827</v>
      </c>
      <c r="C34" s="203" t="s">
        <v>52</v>
      </c>
      <c r="D34" s="204" t="s">
        <v>821</v>
      </c>
      <c r="E34" s="204" t="s">
        <v>821</v>
      </c>
      <c r="F34" s="204" t="s">
        <v>52</v>
      </c>
      <c r="G34" s="203" t="s">
        <v>407</v>
      </c>
      <c r="H34" s="205">
        <v>0</v>
      </c>
      <c r="I34" s="205">
        <v>4</v>
      </c>
      <c r="J34" s="206"/>
      <c r="K34" s="205">
        <v>329938.5</v>
      </c>
      <c r="L34" s="205">
        <v>0</v>
      </c>
      <c r="M34" s="205">
        <v>329938.5</v>
      </c>
      <c r="N34" s="206"/>
      <c r="O34" s="205">
        <v>117845.5</v>
      </c>
      <c r="P34" s="205">
        <v>0</v>
      </c>
      <c r="Q34" s="205">
        <v>117845.5</v>
      </c>
      <c r="R34" s="206"/>
      <c r="S34" s="205">
        <v>447784</v>
      </c>
      <c r="T34" s="205">
        <v>0</v>
      </c>
      <c r="U34" s="205">
        <v>447784</v>
      </c>
      <c r="V34" s="195"/>
    </row>
    <row r="35" spans="1:22" x14ac:dyDescent="0.25">
      <c r="A35" s="202">
        <v>2021</v>
      </c>
      <c r="B35" s="202" t="s">
        <v>830</v>
      </c>
      <c r="C35" s="203" t="s">
        <v>53</v>
      </c>
      <c r="D35" s="204" t="s">
        <v>821</v>
      </c>
      <c r="E35" s="204" t="s">
        <v>821</v>
      </c>
      <c r="F35" s="204" t="s">
        <v>53</v>
      </c>
      <c r="G35" s="203" t="s">
        <v>408</v>
      </c>
      <c r="H35" s="205">
        <v>0</v>
      </c>
      <c r="I35" s="205">
        <v>0</v>
      </c>
      <c r="J35" s="206"/>
      <c r="K35" s="205">
        <v>0</v>
      </c>
      <c r="L35" s="205">
        <v>0</v>
      </c>
      <c r="M35" s="205">
        <v>0</v>
      </c>
      <c r="N35" s="206"/>
      <c r="O35" s="205">
        <v>0</v>
      </c>
      <c r="P35" s="205">
        <v>0</v>
      </c>
      <c r="Q35" s="205">
        <v>0</v>
      </c>
      <c r="R35" s="206"/>
      <c r="S35" s="205">
        <v>0</v>
      </c>
      <c r="T35" s="205">
        <v>0</v>
      </c>
      <c r="U35" s="205">
        <v>0</v>
      </c>
      <c r="V35" s="195"/>
    </row>
    <row r="36" spans="1:22" x14ac:dyDescent="0.25">
      <c r="A36" s="202">
        <v>2021</v>
      </c>
      <c r="B36" s="202" t="s">
        <v>820</v>
      </c>
      <c r="C36" s="203" t="s">
        <v>55</v>
      </c>
      <c r="D36" s="204" t="s">
        <v>821</v>
      </c>
      <c r="E36" s="204" t="s">
        <v>821</v>
      </c>
      <c r="F36" s="204" t="s">
        <v>55</v>
      </c>
      <c r="G36" s="203" t="s">
        <v>410</v>
      </c>
      <c r="H36" s="205">
        <v>0</v>
      </c>
      <c r="I36" s="205">
        <v>3</v>
      </c>
      <c r="J36" s="206"/>
      <c r="K36" s="205">
        <v>283572</v>
      </c>
      <c r="L36" s="205">
        <v>0</v>
      </c>
      <c r="M36" s="205">
        <v>283572</v>
      </c>
      <c r="N36" s="206"/>
      <c r="O36" s="205">
        <v>106392</v>
      </c>
      <c r="P36" s="205">
        <v>0</v>
      </c>
      <c r="Q36" s="205">
        <v>106392</v>
      </c>
      <c r="R36" s="206"/>
      <c r="S36" s="205">
        <v>389964</v>
      </c>
      <c r="T36" s="205">
        <v>0</v>
      </c>
      <c r="U36" s="205">
        <v>389964</v>
      </c>
      <c r="V36" s="195"/>
    </row>
    <row r="37" spans="1:22" x14ac:dyDescent="0.25">
      <c r="A37" s="202">
        <v>2021</v>
      </c>
      <c r="B37" s="202" t="s">
        <v>820</v>
      </c>
      <c r="C37" s="203" t="s">
        <v>56</v>
      </c>
      <c r="D37" s="204" t="s">
        <v>821</v>
      </c>
      <c r="E37" s="204" t="s">
        <v>821</v>
      </c>
      <c r="F37" s="204" t="s">
        <v>56</v>
      </c>
      <c r="G37" s="203" t="s">
        <v>411</v>
      </c>
      <c r="H37" s="205">
        <v>0</v>
      </c>
      <c r="I37" s="205">
        <v>4</v>
      </c>
      <c r="J37" s="206"/>
      <c r="K37" s="205">
        <v>405579</v>
      </c>
      <c r="L37" s="205">
        <v>0</v>
      </c>
      <c r="M37" s="205">
        <v>405579</v>
      </c>
      <c r="N37" s="206"/>
      <c r="O37" s="205">
        <v>148141</v>
      </c>
      <c r="P37" s="205">
        <v>0</v>
      </c>
      <c r="Q37" s="205">
        <v>148141</v>
      </c>
      <c r="R37" s="206"/>
      <c r="S37" s="205">
        <v>553720</v>
      </c>
      <c r="T37" s="205">
        <v>0</v>
      </c>
      <c r="U37" s="205">
        <v>553720</v>
      </c>
      <c r="V37" s="195"/>
    </row>
    <row r="38" spans="1:22" x14ac:dyDescent="0.25">
      <c r="A38" s="202">
        <v>2021</v>
      </c>
      <c r="B38" s="202" t="s">
        <v>824</v>
      </c>
      <c r="C38" s="203" t="s">
        <v>57</v>
      </c>
      <c r="D38" s="204" t="s">
        <v>821</v>
      </c>
      <c r="E38" s="204" t="s">
        <v>821</v>
      </c>
      <c r="F38" s="204" t="s">
        <v>57</v>
      </c>
      <c r="G38" s="203" t="s">
        <v>412</v>
      </c>
      <c r="H38" s="205">
        <v>0</v>
      </c>
      <c r="I38" s="205">
        <v>4</v>
      </c>
      <c r="J38" s="206"/>
      <c r="K38" s="205">
        <v>121431</v>
      </c>
      <c r="L38" s="205">
        <v>0</v>
      </c>
      <c r="M38" s="205">
        <v>121431</v>
      </c>
      <c r="N38" s="206"/>
      <c r="O38" s="205">
        <v>45138</v>
      </c>
      <c r="P38" s="205">
        <v>0</v>
      </c>
      <c r="Q38" s="205">
        <v>45138</v>
      </c>
      <c r="R38" s="206"/>
      <c r="S38" s="205">
        <v>166569</v>
      </c>
      <c r="T38" s="205">
        <v>0</v>
      </c>
      <c r="U38" s="205">
        <v>166569</v>
      </c>
      <c r="V38" s="195"/>
    </row>
    <row r="39" spans="1:22" x14ac:dyDescent="0.25">
      <c r="A39" s="202">
        <v>2021</v>
      </c>
      <c r="B39" s="202" t="s">
        <v>823</v>
      </c>
      <c r="C39" s="203" t="s">
        <v>113</v>
      </c>
      <c r="D39" s="204" t="s">
        <v>821</v>
      </c>
      <c r="E39" s="204" t="s">
        <v>821</v>
      </c>
      <c r="F39" s="204" t="s">
        <v>113</v>
      </c>
      <c r="G39" s="203" t="s">
        <v>466</v>
      </c>
      <c r="H39" s="205">
        <v>0</v>
      </c>
      <c r="I39" s="205">
        <v>10</v>
      </c>
      <c r="J39" s="206"/>
      <c r="K39" s="205">
        <v>158204.25</v>
      </c>
      <c r="L39" s="205">
        <v>0</v>
      </c>
      <c r="M39" s="205">
        <v>158204.25</v>
      </c>
      <c r="N39" s="206"/>
      <c r="O39" s="205">
        <v>58211.75</v>
      </c>
      <c r="P39" s="205">
        <v>0</v>
      </c>
      <c r="Q39" s="205">
        <v>58211.75</v>
      </c>
      <c r="R39" s="206"/>
      <c r="S39" s="205">
        <v>216416</v>
      </c>
      <c r="T39" s="205">
        <v>0</v>
      </c>
      <c r="U39" s="205">
        <v>216416</v>
      </c>
      <c r="V39" s="195"/>
    </row>
    <row r="40" spans="1:22" x14ac:dyDescent="0.25">
      <c r="A40" s="202">
        <v>2021</v>
      </c>
      <c r="B40" s="202" t="s">
        <v>822</v>
      </c>
      <c r="C40" s="203" t="s">
        <v>59</v>
      </c>
      <c r="D40" s="204" t="s">
        <v>821</v>
      </c>
      <c r="E40" s="204" t="s">
        <v>821</v>
      </c>
      <c r="F40" s="204" t="s">
        <v>59</v>
      </c>
      <c r="G40" s="203" t="s">
        <v>414</v>
      </c>
      <c r="H40" s="205">
        <v>3</v>
      </c>
      <c r="I40" s="205">
        <v>2</v>
      </c>
      <c r="J40" s="206"/>
      <c r="K40" s="205">
        <v>118373.25</v>
      </c>
      <c r="L40" s="205">
        <v>71023.95</v>
      </c>
      <c r="M40" s="205">
        <v>47349.3</v>
      </c>
      <c r="N40" s="206"/>
      <c r="O40" s="205">
        <v>56677.75</v>
      </c>
      <c r="P40" s="205">
        <v>34006.65</v>
      </c>
      <c r="Q40" s="205">
        <v>22671.1</v>
      </c>
      <c r="R40" s="206"/>
      <c r="S40" s="205">
        <v>175051</v>
      </c>
      <c r="T40" s="205">
        <v>105030.6</v>
      </c>
      <c r="U40" s="205">
        <v>70020.399999999994</v>
      </c>
      <c r="V40" s="195"/>
    </row>
    <row r="41" spans="1:22" x14ac:dyDescent="0.25">
      <c r="A41" s="202">
        <v>2021</v>
      </c>
      <c r="B41" s="202" t="s">
        <v>826</v>
      </c>
      <c r="C41" s="203" t="s">
        <v>61</v>
      </c>
      <c r="D41" s="204" t="s">
        <v>821</v>
      </c>
      <c r="E41" s="204" t="s">
        <v>821</v>
      </c>
      <c r="F41" s="204" t="s">
        <v>61</v>
      </c>
      <c r="G41" s="203" t="s">
        <v>416</v>
      </c>
      <c r="H41" s="205">
        <v>0</v>
      </c>
      <c r="I41" s="205">
        <v>0</v>
      </c>
      <c r="J41" s="206"/>
      <c r="K41" s="205">
        <v>0</v>
      </c>
      <c r="L41" s="205">
        <v>0</v>
      </c>
      <c r="M41" s="205">
        <v>0</v>
      </c>
      <c r="N41" s="206"/>
      <c r="O41" s="205">
        <v>0</v>
      </c>
      <c r="P41" s="205">
        <v>0</v>
      </c>
      <c r="Q41" s="205">
        <v>0</v>
      </c>
      <c r="R41" s="206"/>
      <c r="S41" s="205">
        <v>0</v>
      </c>
      <c r="T41" s="205">
        <v>0</v>
      </c>
      <c r="U41" s="205">
        <v>0</v>
      </c>
      <c r="V41" s="195"/>
    </row>
    <row r="42" spans="1:22" x14ac:dyDescent="0.25">
      <c r="A42" s="202">
        <v>2021</v>
      </c>
      <c r="B42" s="202" t="s">
        <v>822</v>
      </c>
      <c r="C42" s="203" t="s">
        <v>63</v>
      </c>
      <c r="D42" s="204" t="s">
        <v>821</v>
      </c>
      <c r="E42" s="204" t="s">
        <v>821</v>
      </c>
      <c r="F42" s="204" t="s">
        <v>63</v>
      </c>
      <c r="G42" s="203" t="s">
        <v>3</v>
      </c>
      <c r="H42" s="205">
        <v>3</v>
      </c>
      <c r="I42" s="205">
        <v>8</v>
      </c>
      <c r="J42" s="206"/>
      <c r="K42" s="205">
        <v>95676.75</v>
      </c>
      <c r="L42" s="205">
        <v>26093.66</v>
      </c>
      <c r="M42" s="205">
        <v>69583.09</v>
      </c>
      <c r="N42" s="206"/>
      <c r="O42" s="205">
        <v>34357.25</v>
      </c>
      <c r="P42" s="205">
        <v>9370.16</v>
      </c>
      <c r="Q42" s="205">
        <v>24987.09</v>
      </c>
      <c r="R42" s="206"/>
      <c r="S42" s="205">
        <v>130034</v>
      </c>
      <c r="T42" s="205">
        <v>35463.82</v>
      </c>
      <c r="U42" s="205">
        <v>94570.18</v>
      </c>
      <c r="V42" s="195"/>
    </row>
    <row r="43" spans="1:22" x14ac:dyDescent="0.25">
      <c r="A43" s="202">
        <v>2021</v>
      </c>
      <c r="B43" s="202" t="s">
        <v>830</v>
      </c>
      <c r="C43" s="203" t="s">
        <v>64</v>
      </c>
      <c r="D43" s="204" t="s">
        <v>821</v>
      </c>
      <c r="E43" s="204" t="s">
        <v>821</v>
      </c>
      <c r="F43" s="204" t="s">
        <v>64</v>
      </c>
      <c r="G43" s="203" t="s">
        <v>417</v>
      </c>
      <c r="H43" s="205">
        <v>0</v>
      </c>
      <c r="I43" s="205">
        <v>3</v>
      </c>
      <c r="J43" s="206"/>
      <c r="K43" s="205">
        <v>51897</v>
      </c>
      <c r="L43" s="205">
        <v>0</v>
      </c>
      <c r="M43" s="205">
        <v>51897</v>
      </c>
      <c r="N43" s="206"/>
      <c r="O43" s="205">
        <v>18110</v>
      </c>
      <c r="P43" s="205">
        <v>0</v>
      </c>
      <c r="Q43" s="205">
        <v>18110</v>
      </c>
      <c r="R43" s="206"/>
      <c r="S43" s="205">
        <v>70007</v>
      </c>
      <c r="T43" s="205">
        <v>0</v>
      </c>
      <c r="U43" s="205">
        <v>70007</v>
      </c>
      <c r="V43" s="195"/>
    </row>
    <row r="44" spans="1:22" x14ac:dyDescent="0.25">
      <c r="A44" s="202">
        <v>2021</v>
      </c>
      <c r="B44" s="202" t="s">
        <v>823</v>
      </c>
      <c r="C44" s="203" t="s">
        <v>62</v>
      </c>
      <c r="D44" s="204" t="s">
        <v>821</v>
      </c>
      <c r="E44" s="204" t="s">
        <v>821</v>
      </c>
      <c r="F44" s="204" t="s">
        <v>62</v>
      </c>
      <c r="G44" s="203" t="s">
        <v>2</v>
      </c>
      <c r="H44" s="205">
        <v>0</v>
      </c>
      <c r="I44" s="205">
        <v>10</v>
      </c>
      <c r="J44" s="206"/>
      <c r="K44" s="205">
        <v>163948.5</v>
      </c>
      <c r="L44" s="205">
        <v>0</v>
      </c>
      <c r="M44" s="205">
        <v>163948.5</v>
      </c>
      <c r="N44" s="206"/>
      <c r="O44" s="205">
        <v>60099.5</v>
      </c>
      <c r="P44" s="205">
        <v>0</v>
      </c>
      <c r="Q44" s="205">
        <v>60099.5</v>
      </c>
      <c r="R44" s="206"/>
      <c r="S44" s="205">
        <v>224048</v>
      </c>
      <c r="T44" s="205">
        <v>0</v>
      </c>
      <c r="U44" s="205">
        <v>224048</v>
      </c>
      <c r="V44" s="195"/>
    </row>
    <row r="45" spans="1:22" x14ac:dyDescent="0.25">
      <c r="A45" s="202">
        <v>2021</v>
      </c>
      <c r="B45" s="202" t="s">
        <v>830</v>
      </c>
      <c r="C45" s="203" t="s">
        <v>65</v>
      </c>
      <c r="D45" s="204" t="s">
        <v>821</v>
      </c>
      <c r="E45" s="204" t="s">
        <v>821</v>
      </c>
      <c r="F45" s="204" t="s">
        <v>65</v>
      </c>
      <c r="G45" s="203" t="s">
        <v>418</v>
      </c>
      <c r="H45" s="205">
        <v>0</v>
      </c>
      <c r="I45" s="205">
        <v>0</v>
      </c>
      <c r="J45" s="206"/>
      <c r="K45" s="205">
        <v>0</v>
      </c>
      <c r="L45" s="205">
        <v>0</v>
      </c>
      <c r="M45" s="205">
        <v>0</v>
      </c>
      <c r="N45" s="206"/>
      <c r="O45" s="205">
        <v>0</v>
      </c>
      <c r="P45" s="205">
        <v>0</v>
      </c>
      <c r="Q45" s="205">
        <v>0</v>
      </c>
      <c r="R45" s="206"/>
      <c r="S45" s="205">
        <v>0</v>
      </c>
      <c r="T45" s="205">
        <v>0</v>
      </c>
      <c r="U45" s="205">
        <v>0</v>
      </c>
      <c r="V45" s="195"/>
    </row>
    <row r="46" spans="1:22" x14ac:dyDescent="0.25">
      <c r="A46" s="202">
        <v>2021</v>
      </c>
      <c r="B46" s="202" t="s">
        <v>826</v>
      </c>
      <c r="C46" s="203" t="s">
        <v>66</v>
      </c>
      <c r="D46" s="204" t="s">
        <v>821</v>
      </c>
      <c r="E46" s="204" t="s">
        <v>821</v>
      </c>
      <c r="F46" s="204" t="s">
        <v>66</v>
      </c>
      <c r="G46" s="203" t="s">
        <v>419</v>
      </c>
      <c r="H46" s="205">
        <v>0</v>
      </c>
      <c r="I46" s="205">
        <v>10</v>
      </c>
      <c r="J46" s="206"/>
      <c r="K46" s="205">
        <v>224721</v>
      </c>
      <c r="L46" s="205">
        <v>0</v>
      </c>
      <c r="M46" s="205">
        <v>224721</v>
      </c>
      <c r="N46" s="206"/>
      <c r="O46" s="205">
        <v>76226</v>
      </c>
      <c r="P46" s="205">
        <v>0</v>
      </c>
      <c r="Q46" s="205">
        <v>76226</v>
      </c>
      <c r="R46" s="206"/>
      <c r="S46" s="205">
        <v>300947</v>
      </c>
      <c r="T46" s="205">
        <v>0</v>
      </c>
      <c r="U46" s="205">
        <v>300947</v>
      </c>
      <c r="V46" s="195"/>
    </row>
    <row r="47" spans="1:22" x14ac:dyDescent="0.25">
      <c r="A47" s="202">
        <v>2021</v>
      </c>
      <c r="B47" s="202" t="s">
        <v>820</v>
      </c>
      <c r="C47" s="203" t="s">
        <v>67</v>
      </c>
      <c r="D47" s="204" t="s">
        <v>821</v>
      </c>
      <c r="E47" s="204" t="s">
        <v>821</v>
      </c>
      <c r="F47" s="204" t="s">
        <v>67</v>
      </c>
      <c r="G47" s="203" t="s">
        <v>420</v>
      </c>
      <c r="H47" s="205">
        <v>0</v>
      </c>
      <c r="I47" s="205">
        <v>0</v>
      </c>
      <c r="J47" s="206"/>
      <c r="K47" s="205">
        <v>0</v>
      </c>
      <c r="L47" s="205">
        <v>0</v>
      </c>
      <c r="M47" s="205">
        <v>0</v>
      </c>
      <c r="N47" s="206"/>
      <c r="O47" s="205">
        <v>0</v>
      </c>
      <c r="P47" s="205">
        <v>0</v>
      </c>
      <c r="Q47" s="205">
        <v>0</v>
      </c>
      <c r="R47" s="206"/>
      <c r="S47" s="205">
        <v>0</v>
      </c>
      <c r="T47" s="205">
        <v>0</v>
      </c>
      <c r="U47" s="205">
        <v>0</v>
      </c>
      <c r="V47" s="195"/>
    </row>
    <row r="48" spans="1:22" x14ac:dyDescent="0.25">
      <c r="A48" s="202">
        <v>2021</v>
      </c>
      <c r="B48" s="202" t="s">
        <v>820</v>
      </c>
      <c r="C48" s="203" t="s">
        <v>68</v>
      </c>
      <c r="D48" s="204" t="s">
        <v>821</v>
      </c>
      <c r="E48" s="204" t="s">
        <v>821</v>
      </c>
      <c r="F48" s="204" t="s">
        <v>68</v>
      </c>
      <c r="G48" s="203" t="s">
        <v>421</v>
      </c>
      <c r="H48" s="205">
        <v>0</v>
      </c>
      <c r="I48" s="205">
        <v>3</v>
      </c>
      <c r="J48" s="206"/>
      <c r="K48" s="205">
        <v>363668.25</v>
      </c>
      <c r="L48" s="205">
        <v>0</v>
      </c>
      <c r="M48" s="205">
        <v>363668.25</v>
      </c>
      <c r="N48" s="206"/>
      <c r="O48" s="205">
        <v>133124.75</v>
      </c>
      <c r="P48" s="205">
        <v>0</v>
      </c>
      <c r="Q48" s="205">
        <v>133124.75</v>
      </c>
      <c r="R48" s="206"/>
      <c r="S48" s="205">
        <v>496793</v>
      </c>
      <c r="T48" s="205">
        <v>0</v>
      </c>
      <c r="U48" s="205">
        <v>496793</v>
      </c>
      <c r="V48" s="195"/>
    </row>
    <row r="49" spans="1:22" x14ac:dyDescent="0.25">
      <c r="A49" s="202">
        <v>2021</v>
      </c>
      <c r="B49" s="202" t="s">
        <v>822</v>
      </c>
      <c r="C49" s="203" t="s">
        <v>69</v>
      </c>
      <c r="D49" s="204" t="s">
        <v>821</v>
      </c>
      <c r="E49" s="204" t="s">
        <v>821</v>
      </c>
      <c r="F49" s="204" t="s">
        <v>69</v>
      </c>
      <c r="G49" s="203" t="s">
        <v>422</v>
      </c>
      <c r="H49" s="205">
        <v>0</v>
      </c>
      <c r="I49" s="205">
        <v>0</v>
      </c>
      <c r="J49" s="206"/>
      <c r="K49" s="205">
        <v>0</v>
      </c>
      <c r="L49" s="205">
        <v>0</v>
      </c>
      <c r="M49" s="205">
        <v>0</v>
      </c>
      <c r="N49" s="206"/>
      <c r="O49" s="205">
        <v>0</v>
      </c>
      <c r="P49" s="205">
        <v>0</v>
      </c>
      <c r="Q49" s="205">
        <v>0</v>
      </c>
      <c r="R49" s="206"/>
      <c r="S49" s="205">
        <v>0</v>
      </c>
      <c r="T49" s="205">
        <v>0</v>
      </c>
      <c r="U49" s="205">
        <v>0</v>
      </c>
      <c r="V49" s="195"/>
    </row>
    <row r="50" spans="1:22" x14ac:dyDescent="0.25">
      <c r="A50" s="202">
        <v>2021</v>
      </c>
      <c r="B50" s="202" t="s">
        <v>827</v>
      </c>
      <c r="C50" s="203" t="s">
        <v>70</v>
      </c>
      <c r="D50" s="204" t="s">
        <v>821</v>
      </c>
      <c r="E50" s="204" t="s">
        <v>821</v>
      </c>
      <c r="F50" s="204" t="s">
        <v>70</v>
      </c>
      <c r="G50" s="203" t="s">
        <v>423</v>
      </c>
      <c r="H50" s="205">
        <v>0</v>
      </c>
      <c r="I50" s="205">
        <v>5</v>
      </c>
      <c r="J50" s="206"/>
      <c r="K50" s="205">
        <v>5505719.25</v>
      </c>
      <c r="L50" s="205">
        <v>0</v>
      </c>
      <c r="M50" s="205">
        <v>5505719.25</v>
      </c>
      <c r="N50" s="206"/>
      <c r="O50" s="205">
        <v>2145388.75</v>
      </c>
      <c r="P50" s="205">
        <v>0</v>
      </c>
      <c r="Q50" s="205">
        <v>2145388.75</v>
      </c>
      <c r="R50" s="206"/>
      <c r="S50" s="205">
        <v>7651108</v>
      </c>
      <c r="T50" s="205">
        <v>0</v>
      </c>
      <c r="U50" s="205">
        <v>7651108</v>
      </c>
      <c r="V50" s="195"/>
    </row>
    <row r="51" spans="1:22" x14ac:dyDescent="0.25">
      <c r="A51" s="202">
        <v>2021</v>
      </c>
      <c r="B51" s="202" t="s">
        <v>827</v>
      </c>
      <c r="C51" s="203" t="s">
        <v>71</v>
      </c>
      <c r="D51" s="204" t="s">
        <v>821</v>
      </c>
      <c r="E51" s="204" t="s">
        <v>821</v>
      </c>
      <c r="F51" s="204" t="s">
        <v>71</v>
      </c>
      <c r="G51" s="203" t="s">
        <v>424</v>
      </c>
      <c r="H51" s="205">
        <v>0</v>
      </c>
      <c r="I51" s="205">
        <v>6</v>
      </c>
      <c r="J51" s="206"/>
      <c r="K51" s="205">
        <v>351669.75</v>
      </c>
      <c r="L51" s="205">
        <v>0</v>
      </c>
      <c r="M51" s="205">
        <v>351669.75</v>
      </c>
      <c r="N51" s="206"/>
      <c r="O51" s="205">
        <v>126639.25</v>
      </c>
      <c r="P51" s="205">
        <v>0</v>
      </c>
      <c r="Q51" s="205">
        <v>126639.25</v>
      </c>
      <c r="R51" s="206"/>
      <c r="S51" s="205">
        <v>478309</v>
      </c>
      <c r="T51" s="205">
        <v>0</v>
      </c>
      <c r="U51" s="205">
        <v>478309</v>
      </c>
      <c r="V51" s="195"/>
    </row>
    <row r="52" spans="1:22" x14ac:dyDescent="0.25">
      <c r="A52" s="202">
        <v>2021</v>
      </c>
      <c r="B52" s="202" t="s">
        <v>826</v>
      </c>
      <c r="C52" s="203" t="s">
        <v>72</v>
      </c>
      <c r="D52" s="204" t="s">
        <v>821</v>
      </c>
      <c r="E52" s="204" t="s">
        <v>821</v>
      </c>
      <c r="F52" s="204" t="s">
        <v>72</v>
      </c>
      <c r="G52" s="203" t="s">
        <v>425</v>
      </c>
      <c r="H52" s="205">
        <v>2</v>
      </c>
      <c r="I52" s="205">
        <v>1</v>
      </c>
      <c r="J52" s="206"/>
      <c r="K52" s="205">
        <v>117495.75</v>
      </c>
      <c r="L52" s="205">
        <v>78330.5</v>
      </c>
      <c r="M52" s="205">
        <v>39165.25</v>
      </c>
      <c r="N52" s="206"/>
      <c r="O52" s="205">
        <v>50214.25</v>
      </c>
      <c r="P52" s="205">
        <v>33476.17</v>
      </c>
      <c r="Q52" s="205">
        <v>16738.080000000002</v>
      </c>
      <c r="R52" s="206"/>
      <c r="S52" s="205">
        <v>167710</v>
      </c>
      <c r="T52" s="205">
        <v>111806.67</v>
      </c>
      <c r="U52" s="205">
        <v>55903.33</v>
      </c>
      <c r="V52" s="195"/>
    </row>
    <row r="53" spans="1:22" x14ac:dyDescent="0.25">
      <c r="A53" s="202">
        <v>2021</v>
      </c>
      <c r="B53" s="202" t="s">
        <v>827</v>
      </c>
      <c r="C53" s="203" t="s">
        <v>76</v>
      </c>
      <c r="D53" s="204" t="s">
        <v>821</v>
      </c>
      <c r="E53" s="204" t="s">
        <v>821</v>
      </c>
      <c r="F53" s="204" t="s">
        <v>76</v>
      </c>
      <c r="G53" s="203" t="s">
        <v>429</v>
      </c>
      <c r="H53" s="205">
        <v>0</v>
      </c>
      <c r="I53" s="205">
        <v>0</v>
      </c>
      <c r="J53" s="206"/>
      <c r="K53" s="205">
        <v>0</v>
      </c>
      <c r="L53" s="205">
        <v>0</v>
      </c>
      <c r="M53" s="205">
        <v>0</v>
      </c>
      <c r="N53" s="206"/>
      <c r="O53" s="205">
        <v>0</v>
      </c>
      <c r="P53" s="205">
        <v>0</v>
      </c>
      <c r="Q53" s="205">
        <v>0</v>
      </c>
      <c r="R53" s="206"/>
      <c r="S53" s="205">
        <v>0</v>
      </c>
      <c r="T53" s="205">
        <v>0</v>
      </c>
      <c r="U53" s="205">
        <v>0</v>
      </c>
      <c r="V53" s="195"/>
    </row>
    <row r="54" spans="1:22" x14ac:dyDescent="0.25">
      <c r="A54" s="202">
        <v>2021</v>
      </c>
      <c r="B54" s="202" t="s">
        <v>829</v>
      </c>
      <c r="C54" s="203" t="s">
        <v>74</v>
      </c>
      <c r="D54" s="204" t="s">
        <v>821</v>
      </c>
      <c r="E54" s="204" t="s">
        <v>821</v>
      </c>
      <c r="F54" s="204" t="s">
        <v>74</v>
      </c>
      <c r="G54" s="203" t="s">
        <v>427</v>
      </c>
      <c r="H54" s="205">
        <v>0</v>
      </c>
      <c r="I54" s="205">
        <v>1</v>
      </c>
      <c r="J54" s="206"/>
      <c r="K54" s="205">
        <v>26837.25</v>
      </c>
      <c r="L54" s="205">
        <v>0</v>
      </c>
      <c r="M54" s="205">
        <v>26837.25</v>
      </c>
      <c r="N54" s="206"/>
      <c r="O54" s="205">
        <v>11165.75</v>
      </c>
      <c r="P54" s="205">
        <v>0</v>
      </c>
      <c r="Q54" s="205">
        <v>11165.75</v>
      </c>
      <c r="R54" s="206"/>
      <c r="S54" s="205">
        <v>38003</v>
      </c>
      <c r="T54" s="205">
        <v>0</v>
      </c>
      <c r="U54" s="205">
        <v>38003</v>
      </c>
      <c r="V54" s="195"/>
    </row>
    <row r="55" spans="1:22" x14ac:dyDescent="0.25">
      <c r="A55" s="202">
        <v>2021</v>
      </c>
      <c r="B55" s="202" t="s">
        <v>830</v>
      </c>
      <c r="C55" s="203" t="s">
        <v>75</v>
      </c>
      <c r="D55" s="204" t="s">
        <v>821</v>
      </c>
      <c r="E55" s="204" t="s">
        <v>821</v>
      </c>
      <c r="F55" s="204" t="s">
        <v>75</v>
      </c>
      <c r="G55" s="203" t="s">
        <v>428</v>
      </c>
      <c r="H55" s="205">
        <v>0</v>
      </c>
      <c r="I55" s="205">
        <v>7</v>
      </c>
      <c r="J55" s="206"/>
      <c r="K55" s="205">
        <v>523118.25</v>
      </c>
      <c r="L55" s="205">
        <v>0</v>
      </c>
      <c r="M55" s="205">
        <v>523118.25</v>
      </c>
      <c r="N55" s="206"/>
      <c r="O55" s="205">
        <v>191129.75</v>
      </c>
      <c r="P55" s="205">
        <v>0</v>
      </c>
      <c r="Q55" s="205">
        <v>191129.75</v>
      </c>
      <c r="R55" s="206"/>
      <c r="S55" s="205">
        <v>714248</v>
      </c>
      <c r="T55" s="205">
        <v>0</v>
      </c>
      <c r="U55" s="205">
        <v>714248</v>
      </c>
      <c r="V55" s="195"/>
    </row>
    <row r="56" spans="1:22" x14ac:dyDescent="0.25">
      <c r="A56" s="202">
        <v>2021</v>
      </c>
      <c r="B56" s="202" t="s">
        <v>823</v>
      </c>
      <c r="C56" s="203" t="s">
        <v>77</v>
      </c>
      <c r="D56" s="204" t="s">
        <v>821</v>
      </c>
      <c r="E56" s="204" t="s">
        <v>821</v>
      </c>
      <c r="F56" s="204" t="s">
        <v>77</v>
      </c>
      <c r="G56" s="203" t="s">
        <v>430</v>
      </c>
      <c r="H56" s="205">
        <v>0</v>
      </c>
      <c r="I56" s="205">
        <v>2</v>
      </c>
      <c r="J56" s="206"/>
      <c r="K56" s="205">
        <v>34384.5</v>
      </c>
      <c r="L56" s="205">
        <v>0</v>
      </c>
      <c r="M56" s="205">
        <v>34384.5</v>
      </c>
      <c r="N56" s="206"/>
      <c r="O56" s="205">
        <v>13517.5</v>
      </c>
      <c r="P56" s="205">
        <v>0</v>
      </c>
      <c r="Q56" s="205">
        <v>13517.5</v>
      </c>
      <c r="R56" s="206"/>
      <c r="S56" s="205">
        <v>47902</v>
      </c>
      <c r="T56" s="205">
        <v>0</v>
      </c>
      <c r="U56" s="205">
        <v>47902</v>
      </c>
      <c r="V56" s="195"/>
    </row>
    <row r="57" spans="1:22" x14ac:dyDescent="0.25">
      <c r="A57" s="202">
        <v>2021</v>
      </c>
      <c r="B57" s="202" t="s">
        <v>826</v>
      </c>
      <c r="C57" s="203" t="s">
        <v>73</v>
      </c>
      <c r="D57" s="204" t="s">
        <v>821</v>
      </c>
      <c r="E57" s="204" t="s">
        <v>821</v>
      </c>
      <c r="F57" s="204" t="s">
        <v>73</v>
      </c>
      <c r="G57" s="203" t="s">
        <v>426</v>
      </c>
      <c r="H57" s="205">
        <v>0</v>
      </c>
      <c r="I57" s="205">
        <v>1</v>
      </c>
      <c r="J57" s="206"/>
      <c r="K57" s="205">
        <v>31892.25</v>
      </c>
      <c r="L57" s="205">
        <v>0</v>
      </c>
      <c r="M57" s="205">
        <v>31892.25</v>
      </c>
      <c r="N57" s="206"/>
      <c r="O57" s="205">
        <v>11226.75</v>
      </c>
      <c r="P57" s="205">
        <v>0</v>
      </c>
      <c r="Q57" s="205">
        <v>11226.75</v>
      </c>
      <c r="R57" s="206"/>
      <c r="S57" s="205">
        <v>43119</v>
      </c>
      <c r="T57" s="205">
        <v>0</v>
      </c>
      <c r="U57" s="205">
        <v>43119</v>
      </c>
      <c r="V57" s="195"/>
    </row>
    <row r="58" spans="1:22" x14ac:dyDescent="0.25">
      <c r="A58" s="202">
        <v>2021</v>
      </c>
      <c r="B58" s="202" t="s">
        <v>824</v>
      </c>
      <c r="C58" s="203" t="s">
        <v>78</v>
      </c>
      <c r="D58" s="204" t="s">
        <v>821</v>
      </c>
      <c r="E58" s="204" t="s">
        <v>821</v>
      </c>
      <c r="F58" s="204" t="s">
        <v>78</v>
      </c>
      <c r="G58" s="203" t="s">
        <v>431</v>
      </c>
      <c r="H58" s="205">
        <v>0</v>
      </c>
      <c r="I58" s="205">
        <v>8</v>
      </c>
      <c r="J58" s="206"/>
      <c r="K58" s="205">
        <v>285503.25</v>
      </c>
      <c r="L58" s="205">
        <v>0</v>
      </c>
      <c r="M58" s="205">
        <v>285503.25</v>
      </c>
      <c r="N58" s="206"/>
      <c r="O58" s="205">
        <v>103264.75</v>
      </c>
      <c r="P58" s="205">
        <v>0</v>
      </c>
      <c r="Q58" s="205">
        <v>103264.75</v>
      </c>
      <c r="R58" s="206"/>
      <c r="S58" s="205">
        <v>388768</v>
      </c>
      <c r="T58" s="205">
        <v>0</v>
      </c>
      <c r="U58" s="205">
        <v>388768</v>
      </c>
      <c r="V58" s="195"/>
    </row>
    <row r="59" spans="1:22" x14ac:dyDescent="0.25">
      <c r="A59" s="202">
        <v>2021</v>
      </c>
      <c r="B59" s="202" t="s">
        <v>822</v>
      </c>
      <c r="C59" s="203" t="s">
        <v>230</v>
      </c>
      <c r="D59" s="204" t="s">
        <v>821</v>
      </c>
      <c r="E59" s="204" t="s">
        <v>821</v>
      </c>
      <c r="F59" s="204" t="s">
        <v>230</v>
      </c>
      <c r="G59" s="203" t="s">
        <v>580</v>
      </c>
      <c r="H59" s="205">
        <v>0</v>
      </c>
      <c r="I59" s="205">
        <v>7</v>
      </c>
      <c r="J59" s="206"/>
      <c r="K59" s="205">
        <v>237122.25</v>
      </c>
      <c r="L59" s="205">
        <v>0</v>
      </c>
      <c r="M59" s="205">
        <v>237122.25</v>
      </c>
      <c r="N59" s="206"/>
      <c r="O59" s="205">
        <v>90397.75</v>
      </c>
      <c r="P59" s="205">
        <v>0</v>
      </c>
      <c r="Q59" s="205">
        <v>90397.75</v>
      </c>
      <c r="R59" s="206"/>
      <c r="S59" s="205">
        <v>327520</v>
      </c>
      <c r="T59" s="205">
        <v>0</v>
      </c>
      <c r="U59" s="205">
        <v>327520</v>
      </c>
      <c r="V59" s="195"/>
    </row>
    <row r="60" spans="1:22" x14ac:dyDescent="0.25">
      <c r="A60" s="202">
        <v>2021</v>
      </c>
      <c r="B60" s="202" t="s">
        <v>826</v>
      </c>
      <c r="C60" s="203" t="s">
        <v>79</v>
      </c>
      <c r="D60" s="204" t="s">
        <v>821</v>
      </c>
      <c r="E60" s="204" t="s">
        <v>821</v>
      </c>
      <c r="F60" s="204" t="s">
        <v>79</v>
      </c>
      <c r="G60" s="203" t="s">
        <v>432</v>
      </c>
      <c r="H60" s="205">
        <v>1</v>
      </c>
      <c r="I60" s="205">
        <v>1</v>
      </c>
      <c r="J60" s="206"/>
      <c r="K60" s="205">
        <v>96325.5</v>
      </c>
      <c r="L60" s="205">
        <v>48162.75</v>
      </c>
      <c r="M60" s="205">
        <v>48162.75</v>
      </c>
      <c r="N60" s="206"/>
      <c r="O60" s="205">
        <v>35620.5</v>
      </c>
      <c r="P60" s="205">
        <v>17810.25</v>
      </c>
      <c r="Q60" s="205">
        <v>17810.25</v>
      </c>
      <c r="R60" s="206"/>
      <c r="S60" s="205">
        <v>131946</v>
      </c>
      <c r="T60" s="205">
        <v>65973</v>
      </c>
      <c r="U60" s="205">
        <v>65973</v>
      </c>
      <c r="V60" s="195"/>
    </row>
    <row r="61" spans="1:22" x14ac:dyDescent="0.25">
      <c r="A61" s="202">
        <v>2021</v>
      </c>
      <c r="B61" s="202" t="s">
        <v>822</v>
      </c>
      <c r="C61" s="203" t="s">
        <v>80</v>
      </c>
      <c r="D61" s="204" t="s">
        <v>821</v>
      </c>
      <c r="E61" s="204" t="s">
        <v>821</v>
      </c>
      <c r="F61" s="204" t="s">
        <v>80</v>
      </c>
      <c r="G61" s="203" t="s">
        <v>433</v>
      </c>
      <c r="H61" s="205">
        <v>1</v>
      </c>
      <c r="I61" s="205">
        <v>5</v>
      </c>
      <c r="J61" s="206"/>
      <c r="K61" s="205">
        <v>410794.5</v>
      </c>
      <c r="L61" s="205">
        <v>68465.75</v>
      </c>
      <c r="M61" s="205">
        <v>342328.75</v>
      </c>
      <c r="N61" s="206"/>
      <c r="O61" s="205">
        <v>151354.5</v>
      </c>
      <c r="P61" s="205">
        <v>25225.75</v>
      </c>
      <c r="Q61" s="205">
        <v>126128.75</v>
      </c>
      <c r="R61" s="206"/>
      <c r="S61" s="205">
        <v>562149</v>
      </c>
      <c r="T61" s="205">
        <v>93691.5</v>
      </c>
      <c r="U61" s="205">
        <v>468457.5</v>
      </c>
      <c r="V61" s="195"/>
    </row>
    <row r="62" spans="1:22" x14ac:dyDescent="0.25">
      <c r="A62" s="202">
        <v>2021</v>
      </c>
      <c r="B62" s="202" t="s">
        <v>824</v>
      </c>
      <c r="C62" s="203" t="s">
        <v>81</v>
      </c>
      <c r="D62" s="204" t="s">
        <v>821</v>
      </c>
      <c r="E62" s="204" t="s">
        <v>821</v>
      </c>
      <c r="F62" s="204" t="s">
        <v>81</v>
      </c>
      <c r="G62" s="203" t="s">
        <v>434</v>
      </c>
      <c r="H62" s="205">
        <v>3</v>
      </c>
      <c r="I62" s="205">
        <v>3</v>
      </c>
      <c r="J62" s="206"/>
      <c r="K62" s="205">
        <v>73758</v>
      </c>
      <c r="L62" s="205">
        <v>36879</v>
      </c>
      <c r="M62" s="205">
        <v>36879</v>
      </c>
      <c r="N62" s="206"/>
      <c r="O62" s="205">
        <v>25684</v>
      </c>
      <c r="P62" s="205">
        <v>12842</v>
      </c>
      <c r="Q62" s="205">
        <v>12842</v>
      </c>
      <c r="R62" s="206"/>
      <c r="S62" s="205">
        <v>99442</v>
      </c>
      <c r="T62" s="205">
        <v>49721</v>
      </c>
      <c r="U62" s="205">
        <v>49721</v>
      </c>
      <c r="V62" s="195"/>
    </row>
    <row r="63" spans="1:22" x14ac:dyDescent="0.25">
      <c r="A63" s="202">
        <v>2021</v>
      </c>
      <c r="B63" s="202" t="s">
        <v>824</v>
      </c>
      <c r="C63" s="203" t="s">
        <v>82</v>
      </c>
      <c r="D63" s="204" t="s">
        <v>821</v>
      </c>
      <c r="E63" s="204" t="s">
        <v>821</v>
      </c>
      <c r="F63" s="204" t="s">
        <v>82</v>
      </c>
      <c r="G63" s="203" t="s">
        <v>435</v>
      </c>
      <c r="H63" s="205">
        <v>0</v>
      </c>
      <c r="I63" s="205">
        <v>5</v>
      </c>
      <c r="J63" s="206"/>
      <c r="K63" s="205">
        <v>224491.5</v>
      </c>
      <c r="L63" s="205">
        <v>0</v>
      </c>
      <c r="M63" s="205">
        <v>224491.5</v>
      </c>
      <c r="N63" s="206"/>
      <c r="O63" s="205">
        <v>78186.5</v>
      </c>
      <c r="P63" s="205">
        <v>0</v>
      </c>
      <c r="Q63" s="205">
        <v>78186.5</v>
      </c>
      <c r="R63" s="206"/>
      <c r="S63" s="205">
        <v>302678</v>
      </c>
      <c r="T63" s="205">
        <v>0</v>
      </c>
      <c r="U63" s="205">
        <v>302678</v>
      </c>
      <c r="V63" s="195"/>
    </row>
    <row r="64" spans="1:22" x14ac:dyDescent="0.25">
      <c r="A64" s="202">
        <v>2021</v>
      </c>
      <c r="B64" s="202" t="s">
        <v>823</v>
      </c>
      <c r="C64" s="203" t="s">
        <v>83</v>
      </c>
      <c r="D64" s="204" t="s">
        <v>821</v>
      </c>
      <c r="E64" s="204" t="s">
        <v>821</v>
      </c>
      <c r="F64" s="204" t="s">
        <v>83</v>
      </c>
      <c r="G64" s="203" t="s">
        <v>436</v>
      </c>
      <c r="H64" s="205">
        <v>0</v>
      </c>
      <c r="I64" s="205">
        <v>8</v>
      </c>
      <c r="J64" s="206"/>
      <c r="K64" s="205">
        <v>308267.25</v>
      </c>
      <c r="L64" s="205">
        <v>0</v>
      </c>
      <c r="M64" s="205">
        <v>308267.25</v>
      </c>
      <c r="N64" s="206"/>
      <c r="O64" s="205">
        <v>113459.75</v>
      </c>
      <c r="P64" s="205">
        <v>0</v>
      </c>
      <c r="Q64" s="205">
        <v>113459.75</v>
      </c>
      <c r="R64" s="206"/>
      <c r="S64" s="205">
        <v>421727</v>
      </c>
      <c r="T64" s="205">
        <v>0</v>
      </c>
      <c r="U64" s="205">
        <v>421727</v>
      </c>
      <c r="V64" s="195"/>
    </row>
    <row r="65" spans="1:22" x14ac:dyDescent="0.25">
      <c r="A65" s="202">
        <v>2021</v>
      </c>
      <c r="B65" s="202" t="s">
        <v>825</v>
      </c>
      <c r="C65" s="203" t="s">
        <v>84</v>
      </c>
      <c r="D65" s="204" t="s">
        <v>831</v>
      </c>
      <c r="E65" s="204" t="s">
        <v>821</v>
      </c>
      <c r="F65" s="204" t="s">
        <v>84</v>
      </c>
      <c r="G65" s="203" t="s">
        <v>437</v>
      </c>
      <c r="H65" s="205">
        <v>0</v>
      </c>
      <c r="I65" s="205">
        <v>8</v>
      </c>
      <c r="J65" s="206"/>
      <c r="K65" s="205">
        <v>266000.25</v>
      </c>
      <c r="L65" s="205">
        <v>0</v>
      </c>
      <c r="M65" s="205">
        <v>266000.25</v>
      </c>
      <c r="N65" s="206"/>
      <c r="O65" s="205">
        <v>99973.75</v>
      </c>
      <c r="P65" s="205">
        <v>0</v>
      </c>
      <c r="Q65" s="205">
        <v>99973.75</v>
      </c>
      <c r="R65" s="206"/>
      <c r="S65" s="205">
        <v>365974</v>
      </c>
      <c r="T65" s="205">
        <v>0</v>
      </c>
      <c r="U65" s="205">
        <v>365974</v>
      </c>
      <c r="V65" s="195"/>
    </row>
    <row r="66" spans="1:22" x14ac:dyDescent="0.25">
      <c r="A66" s="202">
        <v>2021</v>
      </c>
      <c r="B66" s="202" t="s">
        <v>823</v>
      </c>
      <c r="C66" s="203" t="s">
        <v>85</v>
      </c>
      <c r="D66" s="204" t="s">
        <v>821</v>
      </c>
      <c r="E66" s="204" t="s">
        <v>821</v>
      </c>
      <c r="F66" s="204" t="s">
        <v>85</v>
      </c>
      <c r="G66" s="203" t="s">
        <v>438</v>
      </c>
      <c r="H66" s="205">
        <v>5</v>
      </c>
      <c r="I66" s="205">
        <v>0</v>
      </c>
      <c r="J66" s="206"/>
      <c r="K66" s="205">
        <v>224106.75</v>
      </c>
      <c r="L66" s="205">
        <v>224106.75</v>
      </c>
      <c r="M66" s="205">
        <v>0</v>
      </c>
      <c r="N66" s="206"/>
      <c r="O66" s="205">
        <v>81950.25</v>
      </c>
      <c r="P66" s="205">
        <v>81950.25</v>
      </c>
      <c r="Q66" s="205">
        <v>0</v>
      </c>
      <c r="R66" s="206"/>
      <c r="S66" s="205">
        <v>306057</v>
      </c>
      <c r="T66" s="205">
        <v>306057</v>
      </c>
      <c r="U66" s="205">
        <v>0</v>
      </c>
      <c r="V66" s="195"/>
    </row>
    <row r="67" spans="1:22" x14ac:dyDescent="0.25">
      <c r="A67" s="202">
        <v>2021</v>
      </c>
      <c r="B67" s="202" t="s">
        <v>822</v>
      </c>
      <c r="C67" s="203" t="s">
        <v>86</v>
      </c>
      <c r="D67" s="204" t="s">
        <v>821</v>
      </c>
      <c r="E67" s="204" t="s">
        <v>821</v>
      </c>
      <c r="F67" s="204" t="s">
        <v>86</v>
      </c>
      <c r="G67" s="203" t="s">
        <v>439</v>
      </c>
      <c r="H67" s="205">
        <v>3</v>
      </c>
      <c r="I67" s="205">
        <v>6</v>
      </c>
      <c r="J67" s="206"/>
      <c r="K67" s="205">
        <v>112521</v>
      </c>
      <c r="L67" s="205">
        <v>37507</v>
      </c>
      <c r="M67" s="205">
        <v>75014</v>
      </c>
      <c r="N67" s="206"/>
      <c r="O67" s="205">
        <v>41097</v>
      </c>
      <c r="P67" s="205">
        <v>13699</v>
      </c>
      <c r="Q67" s="205">
        <v>27398</v>
      </c>
      <c r="R67" s="206"/>
      <c r="S67" s="205">
        <v>153618</v>
      </c>
      <c r="T67" s="205">
        <v>51206</v>
      </c>
      <c r="U67" s="205">
        <v>102412</v>
      </c>
      <c r="V67" s="195"/>
    </row>
    <row r="68" spans="1:22" x14ac:dyDescent="0.25">
      <c r="A68" s="202">
        <v>2021</v>
      </c>
      <c r="B68" s="202" t="s">
        <v>825</v>
      </c>
      <c r="C68" s="203" t="s">
        <v>87</v>
      </c>
      <c r="D68" s="204" t="s">
        <v>821</v>
      </c>
      <c r="E68" s="204" t="s">
        <v>821</v>
      </c>
      <c r="F68" s="204" t="s">
        <v>87</v>
      </c>
      <c r="G68" s="203" t="s">
        <v>440</v>
      </c>
      <c r="H68" s="205">
        <v>0</v>
      </c>
      <c r="I68" s="205">
        <v>1</v>
      </c>
      <c r="J68" s="206"/>
      <c r="K68" s="205">
        <v>16466.25</v>
      </c>
      <c r="L68" s="205">
        <v>0</v>
      </c>
      <c r="M68" s="205">
        <v>16466.25</v>
      </c>
      <c r="N68" s="206"/>
      <c r="O68" s="205">
        <v>6004.75</v>
      </c>
      <c r="P68" s="205">
        <v>0</v>
      </c>
      <c r="Q68" s="205">
        <v>6004.75</v>
      </c>
      <c r="R68" s="206"/>
      <c r="S68" s="205">
        <v>22471</v>
      </c>
      <c r="T68" s="205">
        <v>0</v>
      </c>
      <c r="U68" s="205">
        <v>22471</v>
      </c>
      <c r="V68" s="195"/>
    </row>
    <row r="69" spans="1:22" x14ac:dyDescent="0.25">
      <c r="A69" s="202">
        <v>2021</v>
      </c>
      <c r="B69" s="202" t="s">
        <v>829</v>
      </c>
      <c r="C69" s="203" t="s">
        <v>150</v>
      </c>
      <c r="D69" s="204" t="s">
        <v>821</v>
      </c>
      <c r="E69" s="204" t="s">
        <v>821</v>
      </c>
      <c r="F69" s="204" t="s">
        <v>150</v>
      </c>
      <c r="G69" s="203" t="s">
        <v>502</v>
      </c>
      <c r="H69" s="205">
        <v>0</v>
      </c>
      <c r="I69" s="205">
        <v>0</v>
      </c>
      <c r="J69" s="206"/>
      <c r="K69" s="205">
        <v>0</v>
      </c>
      <c r="L69" s="205">
        <v>0</v>
      </c>
      <c r="M69" s="205">
        <v>0</v>
      </c>
      <c r="N69" s="206"/>
      <c r="O69" s="205">
        <v>0</v>
      </c>
      <c r="P69" s="205">
        <v>0</v>
      </c>
      <c r="Q69" s="205">
        <v>0</v>
      </c>
      <c r="R69" s="206"/>
      <c r="S69" s="205">
        <v>0</v>
      </c>
      <c r="T69" s="205">
        <v>0</v>
      </c>
      <c r="U69" s="205">
        <v>0</v>
      </c>
      <c r="V69" s="195"/>
    </row>
    <row r="70" spans="1:22" x14ac:dyDescent="0.25">
      <c r="A70" s="202">
        <v>2021</v>
      </c>
      <c r="B70" s="202" t="s">
        <v>827</v>
      </c>
      <c r="C70" s="203" t="s">
        <v>88</v>
      </c>
      <c r="D70" s="204" t="s">
        <v>832</v>
      </c>
      <c r="E70" s="204" t="s">
        <v>821</v>
      </c>
      <c r="F70" s="204" t="s">
        <v>88</v>
      </c>
      <c r="G70" s="203" t="s">
        <v>441</v>
      </c>
      <c r="H70" s="205">
        <v>3</v>
      </c>
      <c r="I70" s="205">
        <v>4</v>
      </c>
      <c r="J70" s="206"/>
      <c r="K70" s="205">
        <v>954420.75</v>
      </c>
      <c r="L70" s="205">
        <v>409037.46</v>
      </c>
      <c r="M70" s="205">
        <v>545383.29</v>
      </c>
      <c r="N70" s="206"/>
      <c r="O70" s="205">
        <v>360442.25</v>
      </c>
      <c r="P70" s="205">
        <v>154475.25</v>
      </c>
      <c r="Q70" s="205">
        <v>205967</v>
      </c>
      <c r="R70" s="206"/>
      <c r="S70" s="205">
        <v>1314863</v>
      </c>
      <c r="T70" s="205">
        <v>563512.71</v>
      </c>
      <c r="U70" s="205">
        <v>751350.29</v>
      </c>
      <c r="V70" s="195"/>
    </row>
    <row r="71" spans="1:22" x14ac:dyDescent="0.25">
      <c r="A71" s="202">
        <v>2021</v>
      </c>
      <c r="B71" s="202" t="s">
        <v>822</v>
      </c>
      <c r="C71" s="203" t="s">
        <v>89</v>
      </c>
      <c r="D71" s="204" t="s">
        <v>821</v>
      </c>
      <c r="E71" s="204" t="s">
        <v>821</v>
      </c>
      <c r="F71" s="204" t="s">
        <v>89</v>
      </c>
      <c r="G71" s="203" t="s">
        <v>442</v>
      </c>
      <c r="H71" s="205">
        <v>0</v>
      </c>
      <c r="I71" s="205">
        <v>5</v>
      </c>
      <c r="J71" s="206"/>
      <c r="K71" s="205">
        <v>415358.25</v>
      </c>
      <c r="L71" s="205">
        <v>0</v>
      </c>
      <c r="M71" s="205">
        <v>415358.25</v>
      </c>
      <c r="N71" s="206"/>
      <c r="O71" s="205">
        <v>183202.75</v>
      </c>
      <c r="P71" s="205">
        <v>0</v>
      </c>
      <c r="Q71" s="205">
        <v>183202.75</v>
      </c>
      <c r="R71" s="206"/>
      <c r="S71" s="205">
        <v>598561</v>
      </c>
      <c r="T71" s="205">
        <v>0</v>
      </c>
      <c r="U71" s="205">
        <v>598561</v>
      </c>
      <c r="V71" s="195"/>
    </row>
    <row r="72" spans="1:22" x14ac:dyDescent="0.25">
      <c r="A72" s="202">
        <v>2021</v>
      </c>
      <c r="B72" s="202" t="s">
        <v>830</v>
      </c>
      <c r="C72" s="203" t="s">
        <v>90</v>
      </c>
      <c r="D72" s="204" t="s">
        <v>821</v>
      </c>
      <c r="E72" s="204" t="s">
        <v>821</v>
      </c>
      <c r="F72" s="204" t="s">
        <v>90</v>
      </c>
      <c r="G72" s="203" t="s">
        <v>443</v>
      </c>
      <c r="H72" s="205">
        <v>0</v>
      </c>
      <c r="I72" s="205">
        <v>7</v>
      </c>
      <c r="J72" s="206"/>
      <c r="K72" s="205">
        <v>955956.75</v>
      </c>
      <c r="L72" s="205">
        <v>0</v>
      </c>
      <c r="M72" s="205">
        <v>955956.75</v>
      </c>
      <c r="N72" s="206"/>
      <c r="O72" s="205">
        <v>395456.25</v>
      </c>
      <c r="P72" s="205">
        <v>0</v>
      </c>
      <c r="Q72" s="205">
        <v>395456.25</v>
      </c>
      <c r="R72" s="206"/>
      <c r="S72" s="205">
        <v>1351413</v>
      </c>
      <c r="T72" s="205">
        <v>0</v>
      </c>
      <c r="U72" s="205">
        <v>1351413</v>
      </c>
      <c r="V72" s="195"/>
    </row>
    <row r="73" spans="1:22" x14ac:dyDescent="0.25">
      <c r="A73" s="202">
        <v>2021</v>
      </c>
      <c r="B73" s="202" t="s">
        <v>820</v>
      </c>
      <c r="C73" s="203" t="s">
        <v>91</v>
      </c>
      <c r="D73" s="204" t="s">
        <v>821</v>
      </c>
      <c r="E73" s="204" t="s">
        <v>821</v>
      </c>
      <c r="F73" s="204" t="s">
        <v>91</v>
      </c>
      <c r="G73" s="203" t="s">
        <v>444</v>
      </c>
      <c r="H73" s="205">
        <v>0</v>
      </c>
      <c r="I73" s="205">
        <v>5</v>
      </c>
      <c r="J73" s="206"/>
      <c r="K73" s="205">
        <v>162601.5</v>
      </c>
      <c r="L73" s="205">
        <v>0</v>
      </c>
      <c r="M73" s="205">
        <v>162601.5</v>
      </c>
      <c r="N73" s="206"/>
      <c r="O73" s="205">
        <v>57584.5</v>
      </c>
      <c r="P73" s="205">
        <v>0</v>
      </c>
      <c r="Q73" s="205">
        <v>57584.5</v>
      </c>
      <c r="R73" s="206"/>
      <c r="S73" s="205">
        <v>220186</v>
      </c>
      <c r="T73" s="205">
        <v>0</v>
      </c>
      <c r="U73" s="205">
        <v>220186</v>
      </c>
      <c r="V73" s="195"/>
    </row>
    <row r="74" spans="1:22" x14ac:dyDescent="0.25">
      <c r="A74" s="202">
        <v>2021</v>
      </c>
      <c r="B74" s="202" t="s">
        <v>827</v>
      </c>
      <c r="C74" s="203" t="s">
        <v>92</v>
      </c>
      <c r="D74" s="204" t="s">
        <v>821</v>
      </c>
      <c r="E74" s="204" t="s">
        <v>821</v>
      </c>
      <c r="F74" s="204" t="s">
        <v>92</v>
      </c>
      <c r="G74" s="203" t="s">
        <v>445</v>
      </c>
      <c r="H74" s="205">
        <v>0</v>
      </c>
      <c r="I74" s="205">
        <v>0</v>
      </c>
      <c r="J74" s="206"/>
      <c r="K74" s="205">
        <v>0</v>
      </c>
      <c r="L74" s="205">
        <v>0</v>
      </c>
      <c r="M74" s="205">
        <v>0</v>
      </c>
      <c r="N74" s="206"/>
      <c r="O74" s="205">
        <v>0</v>
      </c>
      <c r="P74" s="205">
        <v>0</v>
      </c>
      <c r="Q74" s="205">
        <v>0</v>
      </c>
      <c r="R74" s="206"/>
      <c r="S74" s="205">
        <v>0</v>
      </c>
      <c r="T74" s="205">
        <v>0</v>
      </c>
      <c r="U74" s="205">
        <v>0</v>
      </c>
      <c r="V74" s="195"/>
    </row>
    <row r="75" spans="1:22" x14ac:dyDescent="0.25">
      <c r="A75" s="202">
        <v>2021</v>
      </c>
      <c r="B75" s="202" t="s">
        <v>820</v>
      </c>
      <c r="C75" s="203" t="s">
        <v>93</v>
      </c>
      <c r="D75" s="204" t="s">
        <v>821</v>
      </c>
      <c r="E75" s="204" t="s">
        <v>821</v>
      </c>
      <c r="F75" s="204" t="s">
        <v>93</v>
      </c>
      <c r="G75" s="203" t="s">
        <v>446</v>
      </c>
      <c r="H75" s="205">
        <v>0</v>
      </c>
      <c r="I75" s="205">
        <v>7</v>
      </c>
      <c r="J75" s="206"/>
      <c r="K75" s="205">
        <v>159029.25</v>
      </c>
      <c r="L75" s="205">
        <v>0</v>
      </c>
      <c r="M75" s="205">
        <v>159029.25</v>
      </c>
      <c r="N75" s="206"/>
      <c r="O75" s="205">
        <v>56510.75</v>
      </c>
      <c r="P75" s="205">
        <v>0</v>
      </c>
      <c r="Q75" s="205">
        <v>56510.75</v>
      </c>
      <c r="R75" s="206"/>
      <c r="S75" s="205">
        <v>215540</v>
      </c>
      <c r="T75" s="205">
        <v>0</v>
      </c>
      <c r="U75" s="205">
        <v>215540</v>
      </c>
      <c r="V75" s="195"/>
    </row>
    <row r="76" spans="1:22" x14ac:dyDescent="0.25">
      <c r="A76" s="202">
        <v>2021</v>
      </c>
      <c r="B76" s="202" t="s">
        <v>820</v>
      </c>
      <c r="C76" s="203" t="s">
        <v>94</v>
      </c>
      <c r="D76" s="204" t="s">
        <v>821</v>
      </c>
      <c r="E76" s="204" t="s">
        <v>821</v>
      </c>
      <c r="F76" s="204" t="s">
        <v>94</v>
      </c>
      <c r="G76" s="203" t="s">
        <v>447</v>
      </c>
      <c r="H76" s="205">
        <v>0</v>
      </c>
      <c r="I76" s="205">
        <v>0</v>
      </c>
      <c r="J76" s="206"/>
      <c r="K76" s="205">
        <v>0</v>
      </c>
      <c r="L76" s="205">
        <v>0</v>
      </c>
      <c r="M76" s="205">
        <v>0</v>
      </c>
      <c r="N76" s="206"/>
      <c r="O76" s="205">
        <v>0</v>
      </c>
      <c r="P76" s="205">
        <v>0</v>
      </c>
      <c r="Q76" s="205">
        <v>0</v>
      </c>
      <c r="R76" s="206"/>
      <c r="S76" s="205">
        <v>0</v>
      </c>
      <c r="T76" s="205">
        <v>0</v>
      </c>
      <c r="U76" s="205">
        <v>0</v>
      </c>
      <c r="V76" s="195"/>
    </row>
    <row r="77" spans="1:22" x14ac:dyDescent="0.25">
      <c r="A77" s="202">
        <v>2021</v>
      </c>
      <c r="B77" s="202" t="s">
        <v>830</v>
      </c>
      <c r="C77" s="203" t="s">
        <v>95</v>
      </c>
      <c r="D77" s="204" t="s">
        <v>821</v>
      </c>
      <c r="E77" s="204" t="s">
        <v>821</v>
      </c>
      <c r="F77" s="204" t="s">
        <v>95</v>
      </c>
      <c r="G77" s="203" t="s">
        <v>448</v>
      </c>
      <c r="H77" s="205">
        <v>0</v>
      </c>
      <c r="I77" s="205">
        <v>10</v>
      </c>
      <c r="J77" s="206"/>
      <c r="K77" s="205">
        <v>252201.75</v>
      </c>
      <c r="L77" s="205">
        <v>0</v>
      </c>
      <c r="M77" s="205">
        <v>252201.75</v>
      </c>
      <c r="N77" s="206"/>
      <c r="O77" s="205">
        <v>88338.25</v>
      </c>
      <c r="P77" s="205">
        <v>0</v>
      </c>
      <c r="Q77" s="205">
        <v>88338.25</v>
      </c>
      <c r="R77" s="206"/>
      <c r="S77" s="205">
        <v>340540</v>
      </c>
      <c r="T77" s="205">
        <v>0</v>
      </c>
      <c r="U77" s="205">
        <v>340540</v>
      </c>
      <c r="V77" s="195"/>
    </row>
    <row r="78" spans="1:22" x14ac:dyDescent="0.25">
      <c r="A78" s="202">
        <v>2021</v>
      </c>
      <c r="B78" s="202" t="s">
        <v>820</v>
      </c>
      <c r="C78" s="203" t="s">
        <v>96</v>
      </c>
      <c r="D78" s="204" t="s">
        <v>821</v>
      </c>
      <c r="E78" s="204" t="s">
        <v>821</v>
      </c>
      <c r="F78" s="204" t="s">
        <v>96</v>
      </c>
      <c r="G78" s="203" t="s">
        <v>449</v>
      </c>
      <c r="H78" s="205">
        <v>0</v>
      </c>
      <c r="I78" s="205">
        <v>12</v>
      </c>
      <c r="J78" s="206"/>
      <c r="K78" s="205">
        <v>173153.25</v>
      </c>
      <c r="L78" s="205">
        <v>0</v>
      </c>
      <c r="M78" s="205">
        <v>173153.25</v>
      </c>
      <c r="N78" s="206"/>
      <c r="O78" s="205">
        <v>59913.75</v>
      </c>
      <c r="P78" s="205">
        <v>0</v>
      </c>
      <c r="Q78" s="205">
        <v>59913.75</v>
      </c>
      <c r="R78" s="206"/>
      <c r="S78" s="205">
        <v>233067</v>
      </c>
      <c r="T78" s="205">
        <v>0</v>
      </c>
      <c r="U78" s="205">
        <v>233067</v>
      </c>
      <c r="V78" s="195"/>
    </row>
    <row r="79" spans="1:22" x14ac:dyDescent="0.25">
      <c r="A79" s="202">
        <v>2021</v>
      </c>
      <c r="B79" s="202" t="s">
        <v>823</v>
      </c>
      <c r="C79" s="203" t="s">
        <v>97</v>
      </c>
      <c r="D79" s="204" t="s">
        <v>821</v>
      </c>
      <c r="E79" s="204" t="s">
        <v>821</v>
      </c>
      <c r="F79" s="204" t="s">
        <v>97</v>
      </c>
      <c r="G79" s="203" t="s">
        <v>450</v>
      </c>
      <c r="H79" s="205">
        <v>0</v>
      </c>
      <c r="I79" s="205">
        <v>7</v>
      </c>
      <c r="J79" s="206"/>
      <c r="K79" s="205">
        <v>117904.5</v>
      </c>
      <c r="L79" s="205">
        <v>0</v>
      </c>
      <c r="M79" s="205">
        <v>117904.5</v>
      </c>
      <c r="N79" s="206"/>
      <c r="O79" s="205">
        <v>45119.5</v>
      </c>
      <c r="P79" s="205">
        <v>0</v>
      </c>
      <c r="Q79" s="205">
        <v>45119.5</v>
      </c>
      <c r="R79" s="206"/>
      <c r="S79" s="205">
        <v>163024</v>
      </c>
      <c r="T79" s="205">
        <v>0</v>
      </c>
      <c r="U79" s="205">
        <v>163024</v>
      </c>
      <c r="V79" s="195"/>
    </row>
    <row r="80" spans="1:22" x14ac:dyDescent="0.25">
      <c r="A80" s="202">
        <v>2021</v>
      </c>
      <c r="B80" s="202" t="s">
        <v>823</v>
      </c>
      <c r="C80" s="203" t="s">
        <v>98</v>
      </c>
      <c r="D80" s="204" t="s">
        <v>821</v>
      </c>
      <c r="E80" s="204" t="s">
        <v>821</v>
      </c>
      <c r="F80" s="204" t="s">
        <v>98</v>
      </c>
      <c r="G80" s="203" t="s">
        <v>451</v>
      </c>
      <c r="H80" s="205">
        <v>0</v>
      </c>
      <c r="I80" s="205">
        <v>0</v>
      </c>
      <c r="J80" s="206"/>
      <c r="K80" s="205">
        <v>0</v>
      </c>
      <c r="L80" s="205">
        <v>0</v>
      </c>
      <c r="M80" s="205">
        <v>0</v>
      </c>
      <c r="N80" s="206"/>
      <c r="O80" s="205">
        <v>0</v>
      </c>
      <c r="P80" s="205">
        <v>0</v>
      </c>
      <c r="Q80" s="205">
        <v>0</v>
      </c>
      <c r="R80" s="206"/>
      <c r="S80" s="205">
        <v>0</v>
      </c>
      <c r="T80" s="205">
        <v>0</v>
      </c>
      <c r="U80" s="205">
        <v>0</v>
      </c>
      <c r="V80" s="195"/>
    </row>
    <row r="81" spans="1:22" x14ac:dyDescent="0.25">
      <c r="A81" s="202">
        <v>2021</v>
      </c>
      <c r="B81" s="202" t="s">
        <v>823</v>
      </c>
      <c r="C81" s="203" t="s">
        <v>99</v>
      </c>
      <c r="D81" s="204" t="s">
        <v>833</v>
      </c>
      <c r="E81" s="204" t="s">
        <v>821</v>
      </c>
      <c r="F81" s="204" t="s">
        <v>99</v>
      </c>
      <c r="G81" s="203" t="s">
        <v>452</v>
      </c>
      <c r="H81" s="205">
        <v>2</v>
      </c>
      <c r="I81" s="205">
        <v>4</v>
      </c>
      <c r="J81" s="206"/>
      <c r="K81" s="205">
        <v>332652</v>
      </c>
      <c r="L81" s="205">
        <v>110884</v>
      </c>
      <c r="M81" s="205">
        <v>221768</v>
      </c>
      <c r="N81" s="206"/>
      <c r="O81" s="205">
        <v>123461</v>
      </c>
      <c r="P81" s="205">
        <v>41153.67</v>
      </c>
      <c r="Q81" s="205">
        <v>82307.33</v>
      </c>
      <c r="R81" s="206"/>
      <c r="S81" s="205">
        <v>456113</v>
      </c>
      <c r="T81" s="205">
        <v>152037.66999999998</v>
      </c>
      <c r="U81" s="205">
        <v>304075.33</v>
      </c>
      <c r="V81" s="195"/>
    </row>
    <row r="82" spans="1:22" x14ac:dyDescent="0.25">
      <c r="A82" s="202">
        <v>2021</v>
      </c>
      <c r="B82" s="202" t="s">
        <v>820</v>
      </c>
      <c r="C82" s="203" t="s">
        <v>100</v>
      </c>
      <c r="D82" s="204" t="s">
        <v>821</v>
      </c>
      <c r="E82" s="204" t="s">
        <v>821</v>
      </c>
      <c r="F82" s="204" t="s">
        <v>100</v>
      </c>
      <c r="G82" s="203" t="s">
        <v>453</v>
      </c>
      <c r="H82" s="205">
        <v>0</v>
      </c>
      <c r="I82" s="205">
        <v>0</v>
      </c>
      <c r="J82" s="206"/>
      <c r="K82" s="205">
        <v>0</v>
      </c>
      <c r="L82" s="205">
        <v>0</v>
      </c>
      <c r="M82" s="205">
        <v>0</v>
      </c>
      <c r="N82" s="206"/>
      <c r="O82" s="205">
        <v>0</v>
      </c>
      <c r="P82" s="205">
        <v>0</v>
      </c>
      <c r="Q82" s="205">
        <v>0</v>
      </c>
      <c r="R82" s="206"/>
      <c r="S82" s="205">
        <v>0</v>
      </c>
      <c r="T82" s="205">
        <v>0</v>
      </c>
      <c r="U82" s="205">
        <v>0</v>
      </c>
      <c r="V82" s="195"/>
    </row>
    <row r="83" spans="1:22" x14ac:dyDescent="0.25">
      <c r="A83" s="202">
        <v>2021</v>
      </c>
      <c r="B83" s="202" t="s">
        <v>826</v>
      </c>
      <c r="C83" s="203" t="s">
        <v>101</v>
      </c>
      <c r="D83" s="204" t="s">
        <v>821</v>
      </c>
      <c r="E83" s="204" t="s">
        <v>821</v>
      </c>
      <c r="F83" s="204" t="s">
        <v>101</v>
      </c>
      <c r="G83" s="203" t="s">
        <v>454</v>
      </c>
      <c r="H83" s="205">
        <v>0</v>
      </c>
      <c r="I83" s="205">
        <v>2</v>
      </c>
      <c r="J83" s="206"/>
      <c r="K83" s="205">
        <v>43204.5</v>
      </c>
      <c r="L83" s="205">
        <v>0</v>
      </c>
      <c r="M83" s="205">
        <v>43204.5</v>
      </c>
      <c r="N83" s="206"/>
      <c r="O83" s="205">
        <v>15996.5</v>
      </c>
      <c r="P83" s="205">
        <v>0</v>
      </c>
      <c r="Q83" s="205">
        <v>15996.5</v>
      </c>
      <c r="R83" s="206"/>
      <c r="S83" s="205">
        <v>59201</v>
      </c>
      <c r="T83" s="205">
        <v>0</v>
      </c>
      <c r="U83" s="205">
        <v>59201</v>
      </c>
      <c r="V83" s="195"/>
    </row>
    <row r="84" spans="1:22" x14ac:dyDescent="0.25">
      <c r="A84" s="202">
        <v>2021</v>
      </c>
      <c r="B84" s="202" t="s">
        <v>830</v>
      </c>
      <c r="C84" s="203" t="s">
        <v>102</v>
      </c>
      <c r="D84" s="204" t="s">
        <v>821</v>
      </c>
      <c r="E84" s="204" t="s">
        <v>821</v>
      </c>
      <c r="F84" s="204" t="s">
        <v>102</v>
      </c>
      <c r="G84" s="203" t="s">
        <v>455</v>
      </c>
      <c r="H84" s="205">
        <v>0</v>
      </c>
      <c r="I84" s="205">
        <v>0</v>
      </c>
      <c r="J84" s="206"/>
      <c r="K84" s="205">
        <v>0</v>
      </c>
      <c r="L84" s="205">
        <v>0</v>
      </c>
      <c r="M84" s="205">
        <v>0</v>
      </c>
      <c r="N84" s="206"/>
      <c r="O84" s="205">
        <v>0</v>
      </c>
      <c r="P84" s="205">
        <v>0</v>
      </c>
      <c r="Q84" s="205">
        <v>0</v>
      </c>
      <c r="R84" s="206"/>
      <c r="S84" s="205">
        <v>0</v>
      </c>
      <c r="T84" s="205">
        <v>0</v>
      </c>
      <c r="U84" s="205">
        <v>0</v>
      </c>
      <c r="V84" s="195"/>
    </row>
    <row r="85" spans="1:22" x14ac:dyDescent="0.25">
      <c r="A85" s="202">
        <v>2021</v>
      </c>
      <c r="B85" s="202" t="s">
        <v>826</v>
      </c>
      <c r="C85" s="203" t="s">
        <v>103</v>
      </c>
      <c r="D85" s="204" t="s">
        <v>821</v>
      </c>
      <c r="E85" s="204" t="s">
        <v>821</v>
      </c>
      <c r="F85" s="204" t="s">
        <v>103</v>
      </c>
      <c r="G85" s="203" t="s">
        <v>456</v>
      </c>
      <c r="H85" s="205">
        <v>0</v>
      </c>
      <c r="I85" s="205">
        <v>1</v>
      </c>
      <c r="J85" s="206"/>
      <c r="K85" s="205">
        <v>46596</v>
      </c>
      <c r="L85" s="205">
        <v>0</v>
      </c>
      <c r="M85" s="205">
        <v>46596</v>
      </c>
      <c r="N85" s="206"/>
      <c r="O85" s="205">
        <v>18067</v>
      </c>
      <c r="P85" s="205">
        <v>0</v>
      </c>
      <c r="Q85" s="205">
        <v>18067</v>
      </c>
      <c r="R85" s="206"/>
      <c r="S85" s="205">
        <v>64663</v>
      </c>
      <c r="T85" s="205">
        <v>0</v>
      </c>
      <c r="U85" s="205">
        <v>64663</v>
      </c>
      <c r="V85" s="195"/>
    </row>
    <row r="86" spans="1:22" x14ac:dyDescent="0.25">
      <c r="A86" s="202">
        <v>2021</v>
      </c>
      <c r="B86" s="202" t="s">
        <v>829</v>
      </c>
      <c r="C86" s="203" t="s">
        <v>104</v>
      </c>
      <c r="D86" s="204" t="s">
        <v>240</v>
      </c>
      <c r="E86" s="204" t="s">
        <v>821</v>
      </c>
      <c r="F86" s="204" t="s">
        <v>104</v>
      </c>
      <c r="G86" s="203" t="s">
        <v>457</v>
      </c>
      <c r="H86" s="205">
        <v>0</v>
      </c>
      <c r="I86" s="205">
        <v>7</v>
      </c>
      <c r="J86" s="206"/>
      <c r="K86" s="205">
        <v>647433.75</v>
      </c>
      <c r="L86" s="205">
        <v>0</v>
      </c>
      <c r="M86" s="205">
        <v>647433.75</v>
      </c>
      <c r="N86" s="206"/>
      <c r="O86" s="205">
        <v>257850.25</v>
      </c>
      <c r="P86" s="205">
        <v>0</v>
      </c>
      <c r="Q86" s="205">
        <v>257850.25</v>
      </c>
      <c r="R86" s="206"/>
      <c r="S86" s="205">
        <v>905284</v>
      </c>
      <c r="T86" s="205">
        <v>0</v>
      </c>
      <c r="U86" s="205">
        <v>905284</v>
      </c>
      <c r="V86" s="195"/>
    </row>
    <row r="87" spans="1:22" x14ac:dyDescent="0.25">
      <c r="A87" s="202">
        <v>2021</v>
      </c>
      <c r="B87" s="202" t="s">
        <v>830</v>
      </c>
      <c r="C87" s="203" t="s">
        <v>105</v>
      </c>
      <c r="D87" s="204" t="s">
        <v>821</v>
      </c>
      <c r="E87" s="204" t="s">
        <v>821</v>
      </c>
      <c r="F87" s="204" t="s">
        <v>105</v>
      </c>
      <c r="G87" s="203" t="s">
        <v>458</v>
      </c>
      <c r="H87" s="205">
        <v>0</v>
      </c>
      <c r="I87" s="205">
        <v>8</v>
      </c>
      <c r="J87" s="206"/>
      <c r="K87" s="205">
        <v>60780.75</v>
      </c>
      <c r="L87" s="205">
        <v>0</v>
      </c>
      <c r="M87" s="205">
        <v>60780.75</v>
      </c>
      <c r="N87" s="206"/>
      <c r="O87" s="205">
        <v>20941.25</v>
      </c>
      <c r="P87" s="205">
        <v>0</v>
      </c>
      <c r="Q87" s="205">
        <v>20941.25</v>
      </c>
      <c r="R87" s="206"/>
      <c r="S87" s="205">
        <v>81722</v>
      </c>
      <c r="T87" s="205">
        <v>0</v>
      </c>
      <c r="U87" s="205">
        <v>81722</v>
      </c>
      <c r="V87" s="195"/>
    </row>
    <row r="88" spans="1:22" x14ac:dyDescent="0.25">
      <c r="A88" s="202">
        <v>2021</v>
      </c>
      <c r="B88" s="202" t="s">
        <v>824</v>
      </c>
      <c r="C88" s="203" t="s">
        <v>106</v>
      </c>
      <c r="D88" s="204" t="s">
        <v>821</v>
      </c>
      <c r="E88" s="204" t="s">
        <v>821</v>
      </c>
      <c r="F88" s="204" t="s">
        <v>106</v>
      </c>
      <c r="G88" s="203" t="s">
        <v>459</v>
      </c>
      <c r="H88" s="205">
        <v>0</v>
      </c>
      <c r="I88" s="205">
        <v>5</v>
      </c>
      <c r="J88" s="206"/>
      <c r="K88" s="205">
        <v>330759.75</v>
      </c>
      <c r="L88" s="205">
        <v>0</v>
      </c>
      <c r="M88" s="205">
        <v>330759.75</v>
      </c>
      <c r="N88" s="206"/>
      <c r="O88" s="205">
        <v>136268.25</v>
      </c>
      <c r="P88" s="205">
        <v>0</v>
      </c>
      <c r="Q88" s="205">
        <v>136268.25</v>
      </c>
      <c r="R88" s="206"/>
      <c r="S88" s="205">
        <v>467028</v>
      </c>
      <c r="T88" s="205">
        <v>0</v>
      </c>
      <c r="U88" s="205">
        <v>467028</v>
      </c>
      <c r="V88" s="195"/>
    </row>
    <row r="89" spans="1:22" x14ac:dyDescent="0.25">
      <c r="A89" s="202">
        <v>2021</v>
      </c>
      <c r="B89" s="202" t="s">
        <v>822</v>
      </c>
      <c r="C89" s="203" t="s">
        <v>107</v>
      </c>
      <c r="D89" s="204" t="s">
        <v>821</v>
      </c>
      <c r="E89" s="204" t="s">
        <v>821</v>
      </c>
      <c r="F89" s="204" t="s">
        <v>107</v>
      </c>
      <c r="G89" s="203" t="s">
        <v>460</v>
      </c>
      <c r="H89" s="205">
        <v>0</v>
      </c>
      <c r="I89" s="205">
        <v>4</v>
      </c>
      <c r="J89" s="206"/>
      <c r="K89" s="205">
        <v>168369.75</v>
      </c>
      <c r="L89" s="205">
        <v>0</v>
      </c>
      <c r="M89" s="205">
        <v>168369.75</v>
      </c>
      <c r="N89" s="206"/>
      <c r="O89" s="205">
        <v>62660.25</v>
      </c>
      <c r="P89" s="205">
        <v>0</v>
      </c>
      <c r="Q89" s="205">
        <v>62660.25</v>
      </c>
      <c r="R89" s="206"/>
      <c r="S89" s="205">
        <v>231030</v>
      </c>
      <c r="T89" s="205">
        <v>0</v>
      </c>
      <c r="U89" s="205">
        <v>231030</v>
      </c>
      <c r="V89" s="195"/>
    </row>
    <row r="90" spans="1:22" x14ac:dyDescent="0.25">
      <c r="A90" s="202">
        <v>2021</v>
      </c>
      <c r="B90" s="202" t="s">
        <v>820</v>
      </c>
      <c r="C90" s="203" t="s">
        <v>108</v>
      </c>
      <c r="D90" s="204" t="s">
        <v>821</v>
      </c>
      <c r="E90" s="204" t="s">
        <v>821</v>
      </c>
      <c r="F90" s="204" t="s">
        <v>108</v>
      </c>
      <c r="G90" s="203" t="s">
        <v>461</v>
      </c>
      <c r="H90" s="205">
        <v>0</v>
      </c>
      <c r="I90" s="205">
        <v>0</v>
      </c>
      <c r="J90" s="206"/>
      <c r="K90" s="205">
        <v>0</v>
      </c>
      <c r="L90" s="205">
        <v>0</v>
      </c>
      <c r="M90" s="205">
        <v>0</v>
      </c>
      <c r="N90" s="206"/>
      <c r="O90" s="205">
        <v>0</v>
      </c>
      <c r="P90" s="205">
        <v>0</v>
      </c>
      <c r="Q90" s="205">
        <v>0</v>
      </c>
      <c r="R90" s="206"/>
      <c r="S90" s="205">
        <v>0</v>
      </c>
      <c r="T90" s="205">
        <v>0</v>
      </c>
      <c r="U90" s="205">
        <v>0</v>
      </c>
      <c r="V90" s="195"/>
    </row>
    <row r="91" spans="1:22" x14ac:dyDescent="0.25">
      <c r="A91" s="202">
        <v>2021</v>
      </c>
      <c r="B91" s="202" t="s">
        <v>823</v>
      </c>
      <c r="C91" s="203" t="s">
        <v>109</v>
      </c>
      <c r="D91" s="204" t="s">
        <v>821</v>
      </c>
      <c r="E91" s="204" t="s">
        <v>821</v>
      </c>
      <c r="F91" s="204" t="s">
        <v>109</v>
      </c>
      <c r="G91" s="203" t="s">
        <v>462</v>
      </c>
      <c r="H91" s="205">
        <v>0</v>
      </c>
      <c r="I91" s="205">
        <v>5</v>
      </c>
      <c r="J91" s="206"/>
      <c r="K91" s="205">
        <v>13567.5</v>
      </c>
      <c r="L91" s="205">
        <v>0</v>
      </c>
      <c r="M91" s="205">
        <v>13567.5</v>
      </c>
      <c r="N91" s="206"/>
      <c r="O91" s="205">
        <v>9381.5</v>
      </c>
      <c r="P91" s="205">
        <v>0</v>
      </c>
      <c r="Q91" s="205">
        <v>9381.5</v>
      </c>
      <c r="R91" s="206"/>
      <c r="S91" s="205">
        <v>22949</v>
      </c>
      <c r="T91" s="205">
        <v>0</v>
      </c>
      <c r="U91" s="205">
        <v>22949</v>
      </c>
      <c r="V91" s="195"/>
    </row>
    <row r="92" spans="1:22" x14ac:dyDescent="0.25">
      <c r="A92" s="202">
        <v>2021</v>
      </c>
      <c r="B92" s="202" t="s">
        <v>822</v>
      </c>
      <c r="C92" s="203" t="s">
        <v>110</v>
      </c>
      <c r="D92" s="204" t="s">
        <v>821</v>
      </c>
      <c r="E92" s="204" t="s">
        <v>821</v>
      </c>
      <c r="F92" s="204" t="s">
        <v>110</v>
      </c>
      <c r="G92" s="203" t="s">
        <v>463</v>
      </c>
      <c r="H92" s="205">
        <v>0</v>
      </c>
      <c r="I92" s="205">
        <v>7</v>
      </c>
      <c r="J92" s="206"/>
      <c r="K92" s="205">
        <v>284910.75</v>
      </c>
      <c r="L92" s="205">
        <v>0</v>
      </c>
      <c r="M92" s="205">
        <v>284910.75</v>
      </c>
      <c r="N92" s="206"/>
      <c r="O92" s="205">
        <v>102765.25</v>
      </c>
      <c r="P92" s="205">
        <v>0</v>
      </c>
      <c r="Q92" s="205">
        <v>102765.25</v>
      </c>
      <c r="R92" s="206"/>
      <c r="S92" s="205">
        <v>387676</v>
      </c>
      <c r="T92" s="205">
        <v>0</v>
      </c>
      <c r="U92" s="205">
        <v>387676</v>
      </c>
      <c r="V92" s="195"/>
    </row>
    <row r="93" spans="1:22" x14ac:dyDescent="0.25">
      <c r="A93" s="202">
        <v>2021</v>
      </c>
      <c r="B93" s="202" t="s">
        <v>829</v>
      </c>
      <c r="C93" s="203" t="s">
        <v>111</v>
      </c>
      <c r="D93" s="204" t="s">
        <v>821</v>
      </c>
      <c r="E93" s="204" t="s">
        <v>821</v>
      </c>
      <c r="F93" s="204" t="s">
        <v>111</v>
      </c>
      <c r="G93" s="203" t="s">
        <v>464</v>
      </c>
      <c r="H93" s="205">
        <v>0</v>
      </c>
      <c r="I93" s="205">
        <v>0</v>
      </c>
      <c r="J93" s="206"/>
      <c r="K93" s="205">
        <v>0</v>
      </c>
      <c r="L93" s="205">
        <v>0</v>
      </c>
      <c r="M93" s="205">
        <v>0</v>
      </c>
      <c r="N93" s="206"/>
      <c r="O93" s="205">
        <v>0</v>
      </c>
      <c r="P93" s="205">
        <v>0</v>
      </c>
      <c r="Q93" s="205">
        <v>0</v>
      </c>
      <c r="R93" s="206"/>
      <c r="S93" s="205">
        <v>0</v>
      </c>
      <c r="T93" s="205">
        <v>0</v>
      </c>
      <c r="U93" s="205">
        <v>0</v>
      </c>
      <c r="V93" s="195"/>
    </row>
    <row r="94" spans="1:22" x14ac:dyDescent="0.25">
      <c r="A94" s="202">
        <v>2021</v>
      </c>
      <c r="B94" s="202" t="s">
        <v>822</v>
      </c>
      <c r="C94" s="203" t="s">
        <v>112</v>
      </c>
      <c r="D94" s="204" t="s">
        <v>821</v>
      </c>
      <c r="E94" s="204" t="s">
        <v>821</v>
      </c>
      <c r="F94" s="204" t="s">
        <v>112</v>
      </c>
      <c r="G94" s="203" t="s">
        <v>465</v>
      </c>
      <c r="H94" s="205">
        <v>0</v>
      </c>
      <c r="I94" s="205">
        <v>4</v>
      </c>
      <c r="J94" s="206"/>
      <c r="K94" s="205">
        <v>71681.25</v>
      </c>
      <c r="L94" s="205">
        <v>0</v>
      </c>
      <c r="M94" s="205">
        <v>71681.25</v>
      </c>
      <c r="N94" s="206"/>
      <c r="O94" s="205">
        <v>26090.75</v>
      </c>
      <c r="P94" s="205">
        <v>0</v>
      </c>
      <c r="Q94" s="205">
        <v>26090.75</v>
      </c>
      <c r="R94" s="206"/>
      <c r="S94" s="205">
        <v>97772</v>
      </c>
      <c r="T94" s="205">
        <v>0</v>
      </c>
      <c r="U94" s="205">
        <v>97772</v>
      </c>
      <c r="V94" s="195"/>
    </row>
    <row r="95" spans="1:22" x14ac:dyDescent="0.25">
      <c r="A95" s="202">
        <v>2021</v>
      </c>
      <c r="B95" s="202" t="s">
        <v>830</v>
      </c>
      <c r="C95" s="203" t="s">
        <v>114</v>
      </c>
      <c r="D95" s="204" t="s">
        <v>821</v>
      </c>
      <c r="E95" s="204" t="s">
        <v>821</v>
      </c>
      <c r="F95" s="204" t="s">
        <v>114</v>
      </c>
      <c r="G95" s="203" t="s">
        <v>467</v>
      </c>
      <c r="H95" s="205">
        <v>4</v>
      </c>
      <c r="I95" s="205">
        <v>5</v>
      </c>
      <c r="J95" s="206"/>
      <c r="K95" s="205">
        <v>228045.75</v>
      </c>
      <c r="L95" s="205">
        <v>101353.67</v>
      </c>
      <c r="M95" s="205">
        <v>126692.08</v>
      </c>
      <c r="N95" s="206"/>
      <c r="O95" s="205">
        <v>97556.25</v>
      </c>
      <c r="P95" s="205">
        <v>43358.33</v>
      </c>
      <c r="Q95" s="205">
        <v>54197.919999999998</v>
      </c>
      <c r="R95" s="206"/>
      <c r="S95" s="205">
        <v>325602</v>
      </c>
      <c r="T95" s="205">
        <v>144712</v>
      </c>
      <c r="U95" s="205">
        <v>180890</v>
      </c>
      <c r="V95" s="195"/>
    </row>
    <row r="96" spans="1:22" x14ac:dyDescent="0.25">
      <c r="A96" s="202">
        <v>2021</v>
      </c>
      <c r="B96" s="202" t="s">
        <v>825</v>
      </c>
      <c r="C96" s="203" t="s">
        <v>116</v>
      </c>
      <c r="D96" s="204" t="s">
        <v>821</v>
      </c>
      <c r="E96" s="204" t="s">
        <v>821</v>
      </c>
      <c r="F96" s="204" t="s">
        <v>116</v>
      </c>
      <c r="G96" s="203" t="s">
        <v>469</v>
      </c>
      <c r="H96" s="205">
        <v>0</v>
      </c>
      <c r="I96" s="205">
        <v>7</v>
      </c>
      <c r="J96" s="206"/>
      <c r="K96" s="205">
        <v>177118.5</v>
      </c>
      <c r="L96" s="205">
        <v>0</v>
      </c>
      <c r="M96" s="205">
        <v>177118.5</v>
      </c>
      <c r="N96" s="206"/>
      <c r="O96" s="205">
        <v>63926.5</v>
      </c>
      <c r="P96" s="205">
        <v>0</v>
      </c>
      <c r="Q96" s="205">
        <v>63926.5</v>
      </c>
      <c r="R96" s="206"/>
      <c r="S96" s="205">
        <v>241045</v>
      </c>
      <c r="T96" s="205">
        <v>0</v>
      </c>
      <c r="U96" s="205">
        <v>241045</v>
      </c>
      <c r="V96" s="195"/>
    </row>
    <row r="97" spans="1:22" x14ac:dyDescent="0.25">
      <c r="A97" s="202">
        <v>2021</v>
      </c>
      <c r="B97" s="202" t="s">
        <v>820</v>
      </c>
      <c r="C97" s="203" t="s">
        <v>117</v>
      </c>
      <c r="D97" s="204" t="s">
        <v>821</v>
      </c>
      <c r="E97" s="204" t="s">
        <v>821</v>
      </c>
      <c r="F97" s="204" t="s">
        <v>117</v>
      </c>
      <c r="G97" s="203" t="s">
        <v>470</v>
      </c>
      <c r="H97" s="205">
        <v>0</v>
      </c>
      <c r="I97" s="205">
        <v>0</v>
      </c>
      <c r="J97" s="206"/>
      <c r="K97" s="205">
        <v>0</v>
      </c>
      <c r="L97" s="205">
        <v>0</v>
      </c>
      <c r="M97" s="205">
        <v>0</v>
      </c>
      <c r="N97" s="206"/>
      <c r="O97" s="205">
        <v>0</v>
      </c>
      <c r="P97" s="205">
        <v>0</v>
      </c>
      <c r="Q97" s="205">
        <v>0</v>
      </c>
      <c r="R97" s="206"/>
      <c r="S97" s="205">
        <v>0</v>
      </c>
      <c r="T97" s="205">
        <v>0</v>
      </c>
      <c r="U97" s="205">
        <v>0</v>
      </c>
      <c r="V97" s="195"/>
    </row>
    <row r="98" spans="1:22" x14ac:dyDescent="0.25">
      <c r="A98" s="202">
        <v>2021</v>
      </c>
      <c r="B98" s="202" t="s">
        <v>822</v>
      </c>
      <c r="C98" s="203" t="s">
        <v>118</v>
      </c>
      <c r="D98" s="204" t="s">
        <v>821</v>
      </c>
      <c r="E98" s="204" t="s">
        <v>821</v>
      </c>
      <c r="F98" s="204" t="s">
        <v>118</v>
      </c>
      <c r="G98" s="203" t="s">
        <v>471</v>
      </c>
      <c r="H98" s="205">
        <v>0</v>
      </c>
      <c r="I98" s="205">
        <v>5</v>
      </c>
      <c r="J98" s="206"/>
      <c r="K98" s="205">
        <v>106860</v>
      </c>
      <c r="L98" s="205">
        <v>0</v>
      </c>
      <c r="M98" s="205">
        <v>106860</v>
      </c>
      <c r="N98" s="206"/>
      <c r="O98" s="205">
        <v>46111</v>
      </c>
      <c r="P98" s="205">
        <v>0</v>
      </c>
      <c r="Q98" s="205">
        <v>46111</v>
      </c>
      <c r="R98" s="206"/>
      <c r="S98" s="205">
        <v>152971</v>
      </c>
      <c r="T98" s="205">
        <v>0</v>
      </c>
      <c r="U98" s="205">
        <v>152971</v>
      </c>
      <c r="V98" s="195"/>
    </row>
    <row r="99" spans="1:22" x14ac:dyDescent="0.25">
      <c r="A99" s="202">
        <v>2021</v>
      </c>
      <c r="B99" s="202" t="s">
        <v>822</v>
      </c>
      <c r="C99" s="203" t="s">
        <v>183</v>
      </c>
      <c r="D99" s="204" t="s">
        <v>821</v>
      </c>
      <c r="E99" s="204" t="s">
        <v>821</v>
      </c>
      <c r="F99" s="204" t="s">
        <v>697</v>
      </c>
      <c r="G99" s="203" t="s">
        <v>533</v>
      </c>
      <c r="H99" s="205">
        <v>0</v>
      </c>
      <c r="I99" s="205">
        <v>10</v>
      </c>
      <c r="J99" s="206"/>
      <c r="K99" s="205">
        <v>268324.5</v>
      </c>
      <c r="L99" s="205">
        <v>0</v>
      </c>
      <c r="M99" s="205">
        <v>268324.5</v>
      </c>
      <c r="N99" s="206"/>
      <c r="O99" s="205">
        <v>93429.5</v>
      </c>
      <c r="P99" s="205">
        <v>0</v>
      </c>
      <c r="Q99" s="205">
        <v>93429.5</v>
      </c>
      <c r="R99" s="206"/>
      <c r="S99" s="205">
        <v>361754</v>
      </c>
      <c r="T99" s="205">
        <v>0</v>
      </c>
      <c r="U99" s="205">
        <v>361754</v>
      </c>
      <c r="V99" s="195"/>
    </row>
    <row r="100" spans="1:22" x14ac:dyDescent="0.25">
      <c r="A100" s="202">
        <v>2021</v>
      </c>
      <c r="B100" s="202" t="s">
        <v>823</v>
      </c>
      <c r="C100" s="203" t="s">
        <v>196</v>
      </c>
      <c r="D100" s="204" t="s">
        <v>834</v>
      </c>
      <c r="E100" s="204" t="s">
        <v>821</v>
      </c>
      <c r="F100" s="204" t="s">
        <v>196</v>
      </c>
      <c r="G100" s="203" t="s">
        <v>546</v>
      </c>
      <c r="H100" s="205">
        <v>1</v>
      </c>
      <c r="I100" s="205">
        <v>10</v>
      </c>
      <c r="J100" s="206"/>
      <c r="K100" s="205">
        <v>198597.75</v>
      </c>
      <c r="L100" s="205">
        <v>18054.34</v>
      </c>
      <c r="M100" s="205">
        <v>180543.41</v>
      </c>
      <c r="N100" s="206"/>
      <c r="O100" s="205">
        <v>73827.25</v>
      </c>
      <c r="P100" s="205">
        <v>6711.57</v>
      </c>
      <c r="Q100" s="205">
        <v>67115.679999999993</v>
      </c>
      <c r="R100" s="206"/>
      <c r="S100" s="205">
        <v>272425</v>
      </c>
      <c r="T100" s="205">
        <v>24765.91</v>
      </c>
      <c r="U100" s="205">
        <v>247659.09</v>
      </c>
      <c r="V100" s="195"/>
    </row>
    <row r="101" spans="1:22" x14ac:dyDescent="0.25">
      <c r="A101" s="202">
        <v>2021</v>
      </c>
      <c r="B101" s="202" t="s">
        <v>825</v>
      </c>
      <c r="C101" s="203" t="s">
        <v>322</v>
      </c>
      <c r="D101" s="204" t="s">
        <v>821</v>
      </c>
      <c r="E101" s="204" t="s">
        <v>821</v>
      </c>
      <c r="F101" s="204" t="s">
        <v>322</v>
      </c>
      <c r="G101" s="203" t="s">
        <v>665</v>
      </c>
      <c r="H101" s="205">
        <v>0</v>
      </c>
      <c r="I101" s="205">
        <v>1</v>
      </c>
      <c r="J101" s="206"/>
      <c r="K101" s="205">
        <v>44648.25</v>
      </c>
      <c r="L101" s="205">
        <v>0</v>
      </c>
      <c r="M101" s="205">
        <v>44648.25</v>
      </c>
      <c r="N101" s="206"/>
      <c r="O101" s="205">
        <v>15848.75</v>
      </c>
      <c r="P101" s="205">
        <v>0</v>
      </c>
      <c r="Q101" s="205">
        <v>15848.75</v>
      </c>
      <c r="R101" s="206"/>
      <c r="S101" s="205">
        <v>60497</v>
      </c>
      <c r="T101" s="205">
        <v>0</v>
      </c>
      <c r="U101" s="205">
        <v>60497</v>
      </c>
      <c r="V101" s="195"/>
    </row>
    <row r="102" spans="1:22" x14ac:dyDescent="0.25">
      <c r="A102" s="202">
        <v>2021</v>
      </c>
      <c r="B102" s="202" t="s">
        <v>823</v>
      </c>
      <c r="C102" s="203" t="s">
        <v>120</v>
      </c>
      <c r="D102" s="204" t="s">
        <v>821</v>
      </c>
      <c r="E102" s="204" t="s">
        <v>821</v>
      </c>
      <c r="F102" s="204" t="s">
        <v>120</v>
      </c>
      <c r="G102" s="203" t="s">
        <v>473</v>
      </c>
      <c r="H102" s="205">
        <v>0</v>
      </c>
      <c r="I102" s="205">
        <v>12</v>
      </c>
      <c r="J102" s="206"/>
      <c r="K102" s="205">
        <v>186993.75</v>
      </c>
      <c r="L102" s="205">
        <v>0</v>
      </c>
      <c r="M102" s="205">
        <v>186993.75</v>
      </c>
      <c r="N102" s="206"/>
      <c r="O102" s="205">
        <v>72900.25</v>
      </c>
      <c r="P102" s="205">
        <v>0</v>
      </c>
      <c r="Q102" s="205">
        <v>72900.25</v>
      </c>
      <c r="R102" s="206"/>
      <c r="S102" s="205">
        <v>259894</v>
      </c>
      <c r="T102" s="205">
        <v>0</v>
      </c>
      <c r="U102" s="205">
        <v>259894</v>
      </c>
      <c r="V102" s="195"/>
    </row>
    <row r="103" spans="1:22" x14ac:dyDescent="0.25">
      <c r="A103" s="202">
        <v>2021</v>
      </c>
      <c r="B103" s="202" t="s">
        <v>829</v>
      </c>
      <c r="C103" s="203" t="s">
        <v>121</v>
      </c>
      <c r="D103" s="204" t="s">
        <v>821</v>
      </c>
      <c r="E103" s="204" t="s">
        <v>821</v>
      </c>
      <c r="F103" s="204" t="s">
        <v>121</v>
      </c>
      <c r="G103" s="203" t="s">
        <v>474</v>
      </c>
      <c r="H103" s="205">
        <v>0</v>
      </c>
      <c r="I103" s="205">
        <v>10</v>
      </c>
      <c r="J103" s="206"/>
      <c r="K103" s="205">
        <v>122813.25</v>
      </c>
      <c r="L103" s="205">
        <v>0</v>
      </c>
      <c r="M103" s="205">
        <v>122813.25</v>
      </c>
      <c r="N103" s="206"/>
      <c r="O103" s="205">
        <v>43603.75</v>
      </c>
      <c r="P103" s="205">
        <v>0</v>
      </c>
      <c r="Q103" s="205">
        <v>43603.75</v>
      </c>
      <c r="R103" s="206"/>
      <c r="S103" s="205">
        <v>166417</v>
      </c>
      <c r="T103" s="205">
        <v>0</v>
      </c>
      <c r="U103" s="205">
        <v>166417</v>
      </c>
      <c r="V103" s="195"/>
    </row>
    <row r="104" spans="1:22" x14ac:dyDescent="0.25">
      <c r="A104" s="202">
        <v>2021</v>
      </c>
      <c r="B104" s="202" t="s">
        <v>830</v>
      </c>
      <c r="C104" s="203" t="s">
        <v>119</v>
      </c>
      <c r="D104" s="204" t="s">
        <v>821</v>
      </c>
      <c r="E104" s="204" t="s">
        <v>821</v>
      </c>
      <c r="F104" s="204" t="s">
        <v>119</v>
      </c>
      <c r="G104" s="203" t="s">
        <v>472</v>
      </c>
      <c r="H104" s="205">
        <v>0</v>
      </c>
      <c r="I104" s="205">
        <v>4</v>
      </c>
      <c r="J104" s="206"/>
      <c r="K104" s="205">
        <v>99811.5</v>
      </c>
      <c r="L104" s="205">
        <v>0</v>
      </c>
      <c r="M104" s="205">
        <v>99811.5</v>
      </c>
      <c r="N104" s="206"/>
      <c r="O104" s="205">
        <v>34432.5</v>
      </c>
      <c r="P104" s="205">
        <v>0</v>
      </c>
      <c r="Q104" s="205">
        <v>34432.5</v>
      </c>
      <c r="R104" s="206"/>
      <c r="S104" s="205">
        <v>134244</v>
      </c>
      <c r="T104" s="205">
        <v>0</v>
      </c>
      <c r="U104" s="205">
        <v>134244</v>
      </c>
      <c r="V104" s="195"/>
    </row>
    <row r="105" spans="1:22" x14ac:dyDescent="0.25">
      <c r="A105" s="202">
        <v>2021</v>
      </c>
      <c r="B105" s="202" t="s">
        <v>826</v>
      </c>
      <c r="C105" s="203" t="s">
        <v>54</v>
      </c>
      <c r="D105" s="204" t="s">
        <v>821</v>
      </c>
      <c r="E105" s="204" t="s">
        <v>821</v>
      </c>
      <c r="F105" s="204" t="s">
        <v>54</v>
      </c>
      <c r="G105" s="203" t="s">
        <v>409</v>
      </c>
      <c r="H105" s="205">
        <v>0</v>
      </c>
      <c r="I105" s="205">
        <v>5</v>
      </c>
      <c r="J105" s="206"/>
      <c r="K105" s="205">
        <v>148032.75</v>
      </c>
      <c r="L105" s="205">
        <v>0</v>
      </c>
      <c r="M105" s="205">
        <v>148032.75</v>
      </c>
      <c r="N105" s="206"/>
      <c r="O105" s="205">
        <v>62964.25</v>
      </c>
      <c r="P105" s="205">
        <v>0</v>
      </c>
      <c r="Q105" s="205">
        <v>62964.25</v>
      </c>
      <c r="R105" s="206"/>
      <c r="S105" s="205">
        <v>210997</v>
      </c>
      <c r="T105" s="205">
        <v>0</v>
      </c>
      <c r="U105" s="205">
        <v>210997</v>
      </c>
      <c r="V105" s="195"/>
    </row>
    <row r="106" spans="1:22" x14ac:dyDescent="0.25">
      <c r="A106" s="202">
        <v>2021</v>
      </c>
      <c r="B106" s="202" t="s">
        <v>829</v>
      </c>
      <c r="C106" s="203" t="s">
        <v>123</v>
      </c>
      <c r="D106" s="204" t="s">
        <v>821</v>
      </c>
      <c r="E106" s="204" t="s">
        <v>821</v>
      </c>
      <c r="F106" s="204" t="s">
        <v>123</v>
      </c>
      <c r="G106" s="203" t="s">
        <v>476</v>
      </c>
      <c r="H106" s="205">
        <v>1</v>
      </c>
      <c r="I106" s="205">
        <v>1</v>
      </c>
      <c r="J106" s="206"/>
      <c r="K106" s="205">
        <v>36800.25</v>
      </c>
      <c r="L106" s="205">
        <v>18400.13</v>
      </c>
      <c r="M106" s="205">
        <v>18400.12</v>
      </c>
      <c r="N106" s="206"/>
      <c r="O106" s="205">
        <v>13030.75</v>
      </c>
      <c r="P106" s="205">
        <v>6515.38</v>
      </c>
      <c r="Q106" s="205">
        <v>6515.37</v>
      </c>
      <c r="R106" s="206"/>
      <c r="S106" s="205">
        <v>49831</v>
      </c>
      <c r="T106" s="205">
        <v>24915.510000000002</v>
      </c>
      <c r="U106" s="205">
        <v>24915.489999999998</v>
      </c>
      <c r="V106" s="195"/>
    </row>
    <row r="107" spans="1:22" x14ac:dyDescent="0.25">
      <c r="A107" s="202">
        <v>2021</v>
      </c>
      <c r="B107" s="202" t="s">
        <v>822</v>
      </c>
      <c r="C107" s="203" t="s">
        <v>124</v>
      </c>
      <c r="D107" s="204" t="s">
        <v>821</v>
      </c>
      <c r="E107" s="204" t="s">
        <v>821</v>
      </c>
      <c r="F107" s="204" t="s">
        <v>124</v>
      </c>
      <c r="G107" s="203" t="s">
        <v>477</v>
      </c>
      <c r="H107" s="205">
        <v>0</v>
      </c>
      <c r="I107" s="205">
        <v>5</v>
      </c>
      <c r="J107" s="206"/>
      <c r="K107" s="205">
        <v>108663</v>
      </c>
      <c r="L107" s="205">
        <v>0</v>
      </c>
      <c r="M107" s="205">
        <v>108663</v>
      </c>
      <c r="N107" s="206"/>
      <c r="O107" s="205">
        <v>38978</v>
      </c>
      <c r="P107" s="205">
        <v>0</v>
      </c>
      <c r="Q107" s="205">
        <v>38978</v>
      </c>
      <c r="R107" s="206"/>
      <c r="S107" s="205">
        <v>147641</v>
      </c>
      <c r="T107" s="205">
        <v>0</v>
      </c>
      <c r="U107" s="205">
        <v>147641</v>
      </c>
      <c r="V107" s="195"/>
    </row>
    <row r="108" spans="1:22" x14ac:dyDescent="0.25">
      <c r="A108" s="202">
        <v>2021</v>
      </c>
      <c r="B108" s="202" t="s">
        <v>825</v>
      </c>
      <c r="C108" s="203" t="s">
        <v>125</v>
      </c>
      <c r="D108" s="204" t="s">
        <v>821</v>
      </c>
      <c r="E108" s="204" t="s">
        <v>821</v>
      </c>
      <c r="F108" s="204" t="s">
        <v>125</v>
      </c>
      <c r="G108" s="203" t="s">
        <v>478</v>
      </c>
      <c r="H108" s="205">
        <v>6</v>
      </c>
      <c r="I108" s="205">
        <v>7</v>
      </c>
      <c r="J108" s="206"/>
      <c r="K108" s="205">
        <v>403869.75</v>
      </c>
      <c r="L108" s="205">
        <v>186401.42</v>
      </c>
      <c r="M108" s="205">
        <v>217468.33</v>
      </c>
      <c r="N108" s="206"/>
      <c r="O108" s="205">
        <v>150151.25</v>
      </c>
      <c r="P108" s="205">
        <v>69300.58</v>
      </c>
      <c r="Q108" s="205">
        <v>80850.67</v>
      </c>
      <c r="R108" s="206"/>
      <c r="S108" s="205">
        <v>554021</v>
      </c>
      <c r="T108" s="205">
        <v>255702</v>
      </c>
      <c r="U108" s="205">
        <v>298319</v>
      </c>
      <c r="V108" s="195"/>
    </row>
    <row r="109" spans="1:22" x14ac:dyDescent="0.25">
      <c r="A109" s="202">
        <v>2021</v>
      </c>
      <c r="B109" s="202" t="s">
        <v>827</v>
      </c>
      <c r="C109" s="203" t="s">
        <v>126</v>
      </c>
      <c r="D109" s="204" t="s">
        <v>821</v>
      </c>
      <c r="E109" s="204" t="s">
        <v>821</v>
      </c>
      <c r="F109" s="204" t="s">
        <v>126</v>
      </c>
      <c r="G109" s="203" t="s">
        <v>479</v>
      </c>
      <c r="H109" s="205">
        <v>5</v>
      </c>
      <c r="I109" s="205">
        <v>11</v>
      </c>
      <c r="J109" s="206"/>
      <c r="K109" s="205">
        <v>254736.75</v>
      </c>
      <c r="L109" s="205">
        <v>79605.23</v>
      </c>
      <c r="M109" s="205">
        <v>175131.52000000002</v>
      </c>
      <c r="N109" s="206"/>
      <c r="O109" s="205">
        <v>94200.25</v>
      </c>
      <c r="P109" s="205">
        <v>29437.58</v>
      </c>
      <c r="Q109" s="205">
        <v>64762.67</v>
      </c>
      <c r="R109" s="206"/>
      <c r="S109" s="205">
        <v>348937</v>
      </c>
      <c r="T109" s="205">
        <v>109042.81</v>
      </c>
      <c r="U109" s="205">
        <v>239894.19</v>
      </c>
      <c r="V109" s="195"/>
    </row>
    <row r="110" spans="1:22" x14ac:dyDescent="0.25">
      <c r="A110" s="202">
        <v>2021</v>
      </c>
      <c r="B110" s="202" t="s">
        <v>823</v>
      </c>
      <c r="C110" s="203" t="s">
        <v>127</v>
      </c>
      <c r="D110" s="204" t="s">
        <v>821</v>
      </c>
      <c r="E110" s="204" t="s">
        <v>821</v>
      </c>
      <c r="F110" s="204" t="s">
        <v>127</v>
      </c>
      <c r="G110" s="203" t="s">
        <v>480</v>
      </c>
      <c r="H110" s="205">
        <v>0</v>
      </c>
      <c r="I110" s="205">
        <v>9</v>
      </c>
      <c r="J110" s="206"/>
      <c r="K110" s="205">
        <v>65577.75</v>
      </c>
      <c r="L110" s="205">
        <v>0</v>
      </c>
      <c r="M110" s="205">
        <v>65577.75</v>
      </c>
      <c r="N110" s="206"/>
      <c r="O110" s="205">
        <v>24073.25</v>
      </c>
      <c r="P110" s="205">
        <v>0</v>
      </c>
      <c r="Q110" s="205">
        <v>24073.25</v>
      </c>
      <c r="R110" s="206"/>
      <c r="S110" s="205">
        <v>89651</v>
      </c>
      <c r="T110" s="205">
        <v>0</v>
      </c>
      <c r="U110" s="205">
        <v>89651</v>
      </c>
      <c r="V110" s="195"/>
    </row>
    <row r="111" spans="1:22" x14ac:dyDescent="0.25">
      <c r="A111" s="202">
        <v>2021</v>
      </c>
      <c r="B111" s="202" t="s">
        <v>825</v>
      </c>
      <c r="C111" s="203" t="s">
        <v>128</v>
      </c>
      <c r="D111" s="204" t="s">
        <v>821</v>
      </c>
      <c r="E111" s="204" t="s">
        <v>821</v>
      </c>
      <c r="F111" s="204" t="s">
        <v>128</v>
      </c>
      <c r="G111" s="203" t="s">
        <v>481</v>
      </c>
      <c r="H111" s="205">
        <v>0</v>
      </c>
      <c r="I111" s="205">
        <v>10</v>
      </c>
      <c r="J111" s="206"/>
      <c r="K111" s="205">
        <v>410370</v>
      </c>
      <c r="L111" s="205">
        <v>0</v>
      </c>
      <c r="M111" s="205">
        <v>410370</v>
      </c>
      <c r="N111" s="206"/>
      <c r="O111" s="205">
        <v>145975</v>
      </c>
      <c r="P111" s="205">
        <v>0</v>
      </c>
      <c r="Q111" s="205">
        <v>145975</v>
      </c>
      <c r="R111" s="206"/>
      <c r="S111" s="205">
        <v>556345</v>
      </c>
      <c r="T111" s="205">
        <v>0</v>
      </c>
      <c r="U111" s="205">
        <v>556345</v>
      </c>
      <c r="V111" s="195"/>
    </row>
    <row r="112" spans="1:22" x14ac:dyDescent="0.25">
      <c r="A112" s="202">
        <v>2021</v>
      </c>
      <c r="B112" s="202" t="s">
        <v>820</v>
      </c>
      <c r="C112" s="203" t="s">
        <v>129</v>
      </c>
      <c r="D112" s="204" t="s">
        <v>821</v>
      </c>
      <c r="E112" s="204" t="s">
        <v>821</v>
      </c>
      <c r="F112" s="204" t="s">
        <v>129</v>
      </c>
      <c r="G112" s="203" t="s">
        <v>482</v>
      </c>
      <c r="H112" s="205">
        <v>0</v>
      </c>
      <c r="I112" s="205">
        <v>6</v>
      </c>
      <c r="J112" s="206"/>
      <c r="K112" s="205">
        <v>123681</v>
      </c>
      <c r="L112" s="205">
        <v>0</v>
      </c>
      <c r="M112" s="205">
        <v>123681</v>
      </c>
      <c r="N112" s="206"/>
      <c r="O112" s="205">
        <v>52104</v>
      </c>
      <c r="P112" s="205">
        <v>0</v>
      </c>
      <c r="Q112" s="205">
        <v>52104</v>
      </c>
      <c r="R112" s="206"/>
      <c r="S112" s="205">
        <v>175785</v>
      </c>
      <c r="T112" s="205">
        <v>0</v>
      </c>
      <c r="U112" s="205">
        <v>175785</v>
      </c>
      <c r="V112" s="195"/>
    </row>
    <row r="113" spans="1:22" x14ac:dyDescent="0.25">
      <c r="A113" s="202">
        <v>2021</v>
      </c>
      <c r="B113" s="202" t="s">
        <v>826</v>
      </c>
      <c r="C113" s="203" t="s">
        <v>130</v>
      </c>
      <c r="D113" s="204" t="s">
        <v>821</v>
      </c>
      <c r="E113" s="204" t="s">
        <v>821</v>
      </c>
      <c r="F113" s="204" t="s">
        <v>130</v>
      </c>
      <c r="G113" s="203" t="s">
        <v>483</v>
      </c>
      <c r="H113" s="205">
        <v>0</v>
      </c>
      <c r="I113" s="205">
        <v>1</v>
      </c>
      <c r="J113" s="206"/>
      <c r="K113" s="205">
        <v>82254</v>
      </c>
      <c r="L113" s="205">
        <v>0</v>
      </c>
      <c r="M113" s="205">
        <v>82254</v>
      </c>
      <c r="N113" s="206"/>
      <c r="O113" s="205">
        <v>40453</v>
      </c>
      <c r="P113" s="205">
        <v>0</v>
      </c>
      <c r="Q113" s="205">
        <v>40453</v>
      </c>
      <c r="R113" s="206"/>
      <c r="S113" s="205">
        <v>122707</v>
      </c>
      <c r="T113" s="205">
        <v>0</v>
      </c>
      <c r="U113" s="205">
        <v>122707</v>
      </c>
      <c r="V113" s="195"/>
    </row>
    <row r="114" spans="1:22" x14ac:dyDescent="0.25">
      <c r="A114" s="202">
        <v>2021</v>
      </c>
      <c r="B114" s="202" t="s">
        <v>822</v>
      </c>
      <c r="C114" s="203" t="s">
        <v>131</v>
      </c>
      <c r="D114" s="204" t="s">
        <v>821</v>
      </c>
      <c r="E114" s="204" t="s">
        <v>821</v>
      </c>
      <c r="F114" s="204" t="s">
        <v>131</v>
      </c>
      <c r="G114" s="203" t="s">
        <v>484</v>
      </c>
      <c r="H114" s="205">
        <v>2</v>
      </c>
      <c r="I114" s="205">
        <v>8</v>
      </c>
      <c r="J114" s="206"/>
      <c r="K114" s="205">
        <v>498936.75</v>
      </c>
      <c r="L114" s="205">
        <v>99787.35</v>
      </c>
      <c r="M114" s="205">
        <v>399149.4</v>
      </c>
      <c r="N114" s="206"/>
      <c r="O114" s="205">
        <v>177599.25</v>
      </c>
      <c r="P114" s="205">
        <v>35519.85</v>
      </c>
      <c r="Q114" s="205">
        <v>142079.4</v>
      </c>
      <c r="R114" s="206"/>
      <c r="S114" s="205">
        <v>676536</v>
      </c>
      <c r="T114" s="205">
        <v>135307.20000000001</v>
      </c>
      <c r="U114" s="205">
        <v>541228.80000000005</v>
      </c>
      <c r="V114" s="195"/>
    </row>
    <row r="115" spans="1:22" x14ac:dyDescent="0.25">
      <c r="A115" s="202">
        <v>2021</v>
      </c>
      <c r="B115" s="202" t="s">
        <v>825</v>
      </c>
      <c r="C115" s="203" t="s">
        <v>132</v>
      </c>
      <c r="D115" s="204" t="s">
        <v>821</v>
      </c>
      <c r="E115" s="204" t="s">
        <v>821</v>
      </c>
      <c r="F115" s="204" t="s">
        <v>132</v>
      </c>
      <c r="G115" s="203" t="s">
        <v>485</v>
      </c>
      <c r="H115" s="205">
        <v>1</v>
      </c>
      <c r="I115" s="205">
        <v>1</v>
      </c>
      <c r="J115" s="206"/>
      <c r="K115" s="205">
        <v>344050.5</v>
      </c>
      <c r="L115" s="205">
        <v>172025.25</v>
      </c>
      <c r="M115" s="205">
        <v>172025.25</v>
      </c>
      <c r="N115" s="206"/>
      <c r="O115" s="205">
        <v>138821.5</v>
      </c>
      <c r="P115" s="205">
        <v>69410.75</v>
      </c>
      <c r="Q115" s="205">
        <v>69410.75</v>
      </c>
      <c r="R115" s="206"/>
      <c r="S115" s="205">
        <v>482872</v>
      </c>
      <c r="T115" s="205">
        <v>241436</v>
      </c>
      <c r="U115" s="205">
        <v>241436</v>
      </c>
      <c r="V115" s="195"/>
    </row>
    <row r="116" spans="1:22" x14ac:dyDescent="0.25">
      <c r="A116" s="202">
        <v>2021</v>
      </c>
      <c r="B116" s="202" t="s">
        <v>826</v>
      </c>
      <c r="C116" s="203" t="s">
        <v>133</v>
      </c>
      <c r="D116" s="204" t="s">
        <v>821</v>
      </c>
      <c r="E116" s="204" t="s">
        <v>821</v>
      </c>
      <c r="F116" s="204" t="s">
        <v>133</v>
      </c>
      <c r="G116" s="203" t="s">
        <v>486</v>
      </c>
      <c r="H116" s="205">
        <v>0</v>
      </c>
      <c r="I116" s="205">
        <v>6</v>
      </c>
      <c r="J116" s="206"/>
      <c r="K116" s="205">
        <v>710770.5</v>
      </c>
      <c r="L116" s="205">
        <v>0</v>
      </c>
      <c r="M116" s="205">
        <v>710770.5</v>
      </c>
      <c r="N116" s="206"/>
      <c r="O116" s="205">
        <v>273090.5</v>
      </c>
      <c r="P116" s="205">
        <v>0</v>
      </c>
      <c r="Q116" s="205">
        <v>273090.5</v>
      </c>
      <c r="R116" s="206"/>
      <c r="S116" s="205">
        <v>983861</v>
      </c>
      <c r="T116" s="205">
        <v>0</v>
      </c>
      <c r="U116" s="205">
        <v>983861</v>
      </c>
      <c r="V116" s="195"/>
    </row>
    <row r="117" spans="1:22" x14ac:dyDescent="0.25">
      <c r="A117" s="202">
        <v>2021</v>
      </c>
      <c r="B117" s="202" t="s">
        <v>823</v>
      </c>
      <c r="C117" s="203" t="s">
        <v>134</v>
      </c>
      <c r="D117" s="204" t="s">
        <v>821</v>
      </c>
      <c r="E117" s="204" t="s">
        <v>821</v>
      </c>
      <c r="F117" s="204" t="s">
        <v>134</v>
      </c>
      <c r="G117" s="203" t="s">
        <v>487</v>
      </c>
      <c r="H117" s="205">
        <v>7</v>
      </c>
      <c r="I117" s="205">
        <v>10</v>
      </c>
      <c r="J117" s="206"/>
      <c r="K117" s="205">
        <v>229766.25</v>
      </c>
      <c r="L117" s="205">
        <v>94609.63</v>
      </c>
      <c r="M117" s="205">
        <v>135156.62</v>
      </c>
      <c r="N117" s="206"/>
      <c r="O117" s="205">
        <v>89318.75</v>
      </c>
      <c r="P117" s="205">
        <v>36778.31</v>
      </c>
      <c r="Q117" s="205">
        <v>52540.44</v>
      </c>
      <c r="R117" s="206"/>
      <c r="S117" s="205">
        <v>319085</v>
      </c>
      <c r="T117" s="205">
        <v>131387.94</v>
      </c>
      <c r="U117" s="205">
        <v>187697.06</v>
      </c>
      <c r="V117" s="195"/>
    </row>
    <row r="118" spans="1:22" x14ac:dyDescent="0.25">
      <c r="A118" s="202">
        <v>2021</v>
      </c>
      <c r="B118" s="202" t="s">
        <v>824</v>
      </c>
      <c r="C118" s="203" t="s">
        <v>135</v>
      </c>
      <c r="D118" s="204" t="s">
        <v>821</v>
      </c>
      <c r="E118" s="204" t="s">
        <v>821</v>
      </c>
      <c r="F118" s="204" t="s">
        <v>135</v>
      </c>
      <c r="G118" s="203" t="s">
        <v>488</v>
      </c>
      <c r="H118" s="205">
        <v>5</v>
      </c>
      <c r="I118" s="205">
        <v>5</v>
      </c>
      <c r="J118" s="206"/>
      <c r="K118" s="205">
        <v>247420.5</v>
      </c>
      <c r="L118" s="205">
        <v>123710.25</v>
      </c>
      <c r="M118" s="205">
        <v>123710.25</v>
      </c>
      <c r="N118" s="206"/>
      <c r="O118" s="205">
        <v>93384.5</v>
      </c>
      <c r="P118" s="205">
        <v>46692.25</v>
      </c>
      <c r="Q118" s="205">
        <v>46692.25</v>
      </c>
      <c r="R118" s="206"/>
      <c r="S118" s="205">
        <v>340805</v>
      </c>
      <c r="T118" s="205">
        <v>170402.5</v>
      </c>
      <c r="U118" s="205">
        <v>170402.5</v>
      </c>
      <c r="V118" s="195"/>
    </row>
    <row r="119" spans="1:22" x14ac:dyDescent="0.25">
      <c r="A119" s="202">
        <v>2021</v>
      </c>
      <c r="B119" s="202" t="s">
        <v>822</v>
      </c>
      <c r="C119" s="203" t="s">
        <v>136</v>
      </c>
      <c r="D119" s="204" t="s">
        <v>821</v>
      </c>
      <c r="E119" s="204" t="s">
        <v>821</v>
      </c>
      <c r="F119" s="204" t="s">
        <v>136</v>
      </c>
      <c r="G119" s="203" t="s">
        <v>489</v>
      </c>
      <c r="H119" s="205">
        <v>3</v>
      </c>
      <c r="I119" s="205">
        <v>0</v>
      </c>
      <c r="J119" s="206"/>
      <c r="K119" s="205">
        <v>129993.75</v>
      </c>
      <c r="L119" s="205">
        <v>129993.75</v>
      </c>
      <c r="M119" s="205">
        <v>0</v>
      </c>
      <c r="N119" s="206"/>
      <c r="O119" s="205">
        <v>45275.25</v>
      </c>
      <c r="P119" s="205">
        <v>45275.25</v>
      </c>
      <c r="Q119" s="205">
        <v>0</v>
      </c>
      <c r="R119" s="206"/>
      <c r="S119" s="205">
        <v>175269</v>
      </c>
      <c r="T119" s="205">
        <v>175269</v>
      </c>
      <c r="U119" s="205">
        <v>0</v>
      </c>
      <c r="V119" s="195"/>
    </row>
    <row r="120" spans="1:22" x14ac:dyDescent="0.25">
      <c r="A120" s="202">
        <v>2021</v>
      </c>
      <c r="B120" s="202" t="s">
        <v>824</v>
      </c>
      <c r="C120" s="203" t="s">
        <v>137</v>
      </c>
      <c r="D120" s="204" t="s">
        <v>821</v>
      </c>
      <c r="E120" s="204" t="s">
        <v>821</v>
      </c>
      <c r="F120" s="204" t="s">
        <v>137</v>
      </c>
      <c r="G120" s="203" t="s">
        <v>490</v>
      </c>
      <c r="H120" s="205">
        <v>3</v>
      </c>
      <c r="I120" s="205">
        <v>9</v>
      </c>
      <c r="J120" s="206"/>
      <c r="K120" s="205">
        <v>173470.5</v>
      </c>
      <c r="L120" s="205">
        <v>43367.63</v>
      </c>
      <c r="M120" s="205">
        <v>130102.87</v>
      </c>
      <c r="N120" s="206"/>
      <c r="O120" s="205">
        <v>59802.5</v>
      </c>
      <c r="P120" s="205">
        <v>14950.63</v>
      </c>
      <c r="Q120" s="205">
        <v>44851.87</v>
      </c>
      <c r="R120" s="206"/>
      <c r="S120" s="205">
        <v>233273</v>
      </c>
      <c r="T120" s="205">
        <v>58318.259999999995</v>
      </c>
      <c r="U120" s="205">
        <v>174954.74</v>
      </c>
      <c r="V120" s="195"/>
    </row>
    <row r="121" spans="1:22" x14ac:dyDescent="0.25">
      <c r="A121" s="202">
        <v>2021</v>
      </c>
      <c r="B121" s="202" t="s">
        <v>820</v>
      </c>
      <c r="C121" s="203" t="s">
        <v>138</v>
      </c>
      <c r="D121" s="204" t="s">
        <v>821</v>
      </c>
      <c r="E121" s="204" t="s">
        <v>821</v>
      </c>
      <c r="F121" s="204" t="s">
        <v>138</v>
      </c>
      <c r="G121" s="203" t="s">
        <v>491</v>
      </c>
      <c r="H121" s="205">
        <v>0</v>
      </c>
      <c r="I121" s="205">
        <v>0</v>
      </c>
      <c r="J121" s="206"/>
      <c r="K121" s="205">
        <v>0</v>
      </c>
      <c r="L121" s="205">
        <v>0</v>
      </c>
      <c r="M121" s="205">
        <v>0</v>
      </c>
      <c r="N121" s="206"/>
      <c r="O121" s="205">
        <v>0</v>
      </c>
      <c r="P121" s="205">
        <v>0</v>
      </c>
      <c r="Q121" s="205">
        <v>0</v>
      </c>
      <c r="R121" s="206"/>
      <c r="S121" s="205">
        <v>0</v>
      </c>
      <c r="T121" s="205">
        <v>0</v>
      </c>
      <c r="U121" s="205">
        <v>0</v>
      </c>
      <c r="V121" s="195"/>
    </row>
    <row r="122" spans="1:22" x14ac:dyDescent="0.25">
      <c r="A122" s="202">
        <v>2021</v>
      </c>
      <c r="B122" s="202" t="s">
        <v>825</v>
      </c>
      <c r="C122" s="203" t="s">
        <v>139</v>
      </c>
      <c r="D122" s="204" t="s">
        <v>821</v>
      </c>
      <c r="E122" s="204" t="s">
        <v>821</v>
      </c>
      <c r="F122" s="204" t="s">
        <v>139</v>
      </c>
      <c r="G122" s="203" t="s">
        <v>492</v>
      </c>
      <c r="H122" s="205">
        <v>0</v>
      </c>
      <c r="I122" s="205">
        <v>5</v>
      </c>
      <c r="J122" s="206"/>
      <c r="K122" s="205">
        <v>24669.75</v>
      </c>
      <c r="L122" s="205">
        <v>0</v>
      </c>
      <c r="M122" s="205">
        <v>24669.75</v>
      </c>
      <c r="N122" s="206"/>
      <c r="O122" s="205">
        <v>8780.25</v>
      </c>
      <c r="P122" s="205">
        <v>0</v>
      </c>
      <c r="Q122" s="205">
        <v>8780.25</v>
      </c>
      <c r="R122" s="206"/>
      <c r="S122" s="205">
        <v>33450</v>
      </c>
      <c r="T122" s="205">
        <v>0</v>
      </c>
      <c r="U122" s="205">
        <v>33450</v>
      </c>
      <c r="V122" s="195"/>
    </row>
    <row r="123" spans="1:22" x14ac:dyDescent="0.25">
      <c r="A123" s="202">
        <v>2021</v>
      </c>
      <c r="B123" s="202" t="s">
        <v>822</v>
      </c>
      <c r="C123" s="203" t="s">
        <v>140</v>
      </c>
      <c r="D123" s="204" t="s">
        <v>821</v>
      </c>
      <c r="E123" s="204" t="s">
        <v>821</v>
      </c>
      <c r="F123" s="204" t="s">
        <v>140</v>
      </c>
      <c r="G123" s="203" t="s">
        <v>493</v>
      </c>
      <c r="H123" s="205">
        <v>1</v>
      </c>
      <c r="I123" s="205">
        <v>2</v>
      </c>
      <c r="J123" s="206"/>
      <c r="K123" s="205">
        <v>100714.5</v>
      </c>
      <c r="L123" s="205">
        <v>33571.5</v>
      </c>
      <c r="M123" s="205">
        <v>67143</v>
      </c>
      <c r="N123" s="206"/>
      <c r="O123" s="205">
        <v>37268.5</v>
      </c>
      <c r="P123" s="205">
        <v>12422.83</v>
      </c>
      <c r="Q123" s="205">
        <v>24845.67</v>
      </c>
      <c r="R123" s="206"/>
      <c r="S123" s="205">
        <v>137983</v>
      </c>
      <c r="T123" s="205">
        <v>45994.33</v>
      </c>
      <c r="U123" s="205">
        <v>91988.67</v>
      </c>
      <c r="V123" s="195"/>
    </row>
    <row r="124" spans="1:22" x14ac:dyDescent="0.25">
      <c r="A124" s="202">
        <v>2021</v>
      </c>
      <c r="B124" s="202" t="s">
        <v>823</v>
      </c>
      <c r="C124" s="203" t="s">
        <v>141</v>
      </c>
      <c r="D124" s="204" t="s">
        <v>821</v>
      </c>
      <c r="E124" s="204" t="s">
        <v>821</v>
      </c>
      <c r="F124" s="204" t="s">
        <v>141</v>
      </c>
      <c r="G124" s="203" t="s">
        <v>494</v>
      </c>
      <c r="H124" s="205">
        <v>0</v>
      </c>
      <c r="I124" s="205">
        <v>1</v>
      </c>
      <c r="J124" s="206"/>
      <c r="K124" s="205">
        <v>58553.25</v>
      </c>
      <c r="L124" s="205">
        <v>0</v>
      </c>
      <c r="M124" s="205">
        <v>58553.25</v>
      </c>
      <c r="N124" s="206"/>
      <c r="O124" s="205">
        <v>24940.75</v>
      </c>
      <c r="P124" s="205">
        <v>0</v>
      </c>
      <c r="Q124" s="205">
        <v>24940.75</v>
      </c>
      <c r="R124" s="206"/>
      <c r="S124" s="205">
        <v>83494</v>
      </c>
      <c r="T124" s="205">
        <v>0</v>
      </c>
      <c r="U124" s="205">
        <v>83494</v>
      </c>
      <c r="V124" s="195"/>
    </row>
    <row r="125" spans="1:22" x14ac:dyDescent="0.25">
      <c r="A125" s="202">
        <v>2021</v>
      </c>
      <c r="B125" s="202" t="s">
        <v>820</v>
      </c>
      <c r="C125" s="203" t="s">
        <v>142</v>
      </c>
      <c r="D125" s="204" t="s">
        <v>821</v>
      </c>
      <c r="E125" s="204" t="s">
        <v>821</v>
      </c>
      <c r="F125" s="204" t="s">
        <v>142</v>
      </c>
      <c r="G125" s="203" t="s">
        <v>495</v>
      </c>
      <c r="H125" s="205">
        <v>0</v>
      </c>
      <c r="I125" s="205">
        <v>5</v>
      </c>
      <c r="J125" s="206"/>
      <c r="K125" s="205">
        <v>69668.25</v>
      </c>
      <c r="L125" s="205">
        <v>0</v>
      </c>
      <c r="M125" s="205">
        <v>69668.25</v>
      </c>
      <c r="N125" s="206"/>
      <c r="O125" s="205">
        <v>25453.75</v>
      </c>
      <c r="P125" s="205">
        <v>0</v>
      </c>
      <c r="Q125" s="205">
        <v>25453.75</v>
      </c>
      <c r="R125" s="206"/>
      <c r="S125" s="205">
        <v>95122</v>
      </c>
      <c r="T125" s="205">
        <v>0</v>
      </c>
      <c r="U125" s="205">
        <v>95122</v>
      </c>
      <c r="V125" s="195"/>
    </row>
    <row r="126" spans="1:22" x14ac:dyDescent="0.25">
      <c r="A126" s="202">
        <v>2021</v>
      </c>
      <c r="B126" s="202" t="s">
        <v>822</v>
      </c>
      <c r="C126" s="203" t="s">
        <v>145</v>
      </c>
      <c r="D126" s="204" t="s">
        <v>821</v>
      </c>
      <c r="E126" s="204" t="s">
        <v>821</v>
      </c>
      <c r="F126" s="204" t="s">
        <v>145</v>
      </c>
      <c r="G126" s="203" t="s">
        <v>4</v>
      </c>
      <c r="H126" s="205">
        <v>0</v>
      </c>
      <c r="I126" s="205">
        <v>10</v>
      </c>
      <c r="J126" s="206"/>
      <c r="K126" s="205">
        <v>124943.25</v>
      </c>
      <c r="L126" s="205">
        <v>0</v>
      </c>
      <c r="M126" s="205">
        <v>124943.25</v>
      </c>
      <c r="N126" s="206"/>
      <c r="O126" s="205">
        <v>45252.75</v>
      </c>
      <c r="P126" s="205">
        <v>0</v>
      </c>
      <c r="Q126" s="205">
        <v>45252.75</v>
      </c>
      <c r="R126" s="206"/>
      <c r="S126" s="205">
        <v>170196</v>
      </c>
      <c r="T126" s="205">
        <v>0</v>
      </c>
      <c r="U126" s="205">
        <v>170196</v>
      </c>
      <c r="V126" s="195"/>
    </row>
    <row r="127" spans="1:22" x14ac:dyDescent="0.25">
      <c r="A127" s="202">
        <v>2021</v>
      </c>
      <c r="B127" s="202" t="s">
        <v>825</v>
      </c>
      <c r="C127" s="203" t="s">
        <v>143</v>
      </c>
      <c r="D127" s="204" t="s">
        <v>821</v>
      </c>
      <c r="E127" s="204" t="s">
        <v>821</v>
      </c>
      <c r="F127" s="204" t="s">
        <v>143</v>
      </c>
      <c r="G127" s="203" t="s">
        <v>496</v>
      </c>
      <c r="H127" s="205">
        <v>10</v>
      </c>
      <c r="I127" s="205">
        <v>10</v>
      </c>
      <c r="J127" s="206"/>
      <c r="K127" s="205">
        <v>289683</v>
      </c>
      <c r="L127" s="205">
        <v>144841.5</v>
      </c>
      <c r="M127" s="205">
        <v>144841.5</v>
      </c>
      <c r="N127" s="206"/>
      <c r="O127" s="205">
        <v>102861</v>
      </c>
      <c r="P127" s="205">
        <v>51430.5</v>
      </c>
      <c r="Q127" s="205">
        <v>51430.5</v>
      </c>
      <c r="R127" s="206"/>
      <c r="S127" s="205">
        <v>392544</v>
      </c>
      <c r="T127" s="205">
        <v>196272</v>
      </c>
      <c r="U127" s="205">
        <v>196272</v>
      </c>
      <c r="V127" s="195"/>
    </row>
    <row r="128" spans="1:22" x14ac:dyDescent="0.25">
      <c r="A128" s="202">
        <v>2021</v>
      </c>
      <c r="B128" s="202" t="s">
        <v>825</v>
      </c>
      <c r="C128" s="203" t="s">
        <v>172</v>
      </c>
      <c r="D128" s="204" t="s">
        <v>821</v>
      </c>
      <c r="E128" s="204" t="s">
        <v>821</v>
      </c>
      <c r="F128" s="204" t="s">
        <v>172</v>
      </c>
      <c r="G128" s="203" t="s">
        <v>522</v>
      </c>
      <c r="H128" s="205">
        <v>4</v>
      </c>
      <c r="I128" s="205">
        <v>8</v>
      </c>
      <c r="J128" s="206"/>
      <c r="K128" s="205">
        <v>565653.75</v>
      </c>
      <c r="L128" s="205">
        <v>188551.25</v>
      </c>
      <c r="M128" s="205">
        <v>377102.5</v>
      </c>
      <c r="N128" s="206"/>
      <c r="O128" s="205">
        <v>211703.25</v>
      </c>
      <c r="P128" s="205">
        <v>70567.75</v>
      </c>
      <c r="Q128" s="205">
        <v>141135.5</v>
      </c>
      <c r="R128" s="206"/>
      <c r="S128" s="205">
        <v>777357</v>
      </c>
      <c r="T128" s="205">
        <v>259119</v>
      </c>
      <c r="U128" s="205">
        <v>518238</v>
      </c>
      <c r="V128" s="195"/>
    </row>
    <row r="129" spans="1:22" x14ac:dyDescent="0.25">
      <c r="A129" s="202">
        <v>2021</v>
      </c>
      <c r="B129" s="202" t="s">
        <v>822</v>
      </c>
      <c r="C129" s="203" t="s">
        <v>146</v>
      </c>
      <c r="D129" s="204" t="s">
        <v>821</v>
      </c>
      <c r="E129" s="204" t="s">
        <v>821</v>
      </c>
      <c r="F129" s="204" t="s">
        <v>146</v>
      </c>
      <c r="G129" s="203" t="s">
        <v>498</v>
      </c>
      <c r="H129" s="205">
        <v>1</v>
      </c>
      <c r="I129" s="205">
        <v>1</v>
      </c>
      <c r="J129" s="206"/>
      <c r="K129" s="205">
        <v>166989</v>
      </c>
      <c r="L129" s="205">
        <v>83494.5</v>
      </c>
      <c r="M129" s="205">
        <v>83494.5</v>
      </c>
      <c r="N129" s="206"/>
      <c r="O129" s="205">
        <v>63433</v>
      </c>
      <c r="P129" s="205">
        <v>31716.5</v>
      </c>
      <c r="Q129" s="205">
        <v>31716.5</v>
      </c>
      <c r="R129" s="206"/>
      <c r="S129" s="205">
        <v>230422</v>
      </c>
      <c r="T129" s="205">
        <v>115211</v>
      </c>
      <c r="U129" s="205">
        <v>115211</v>
      </c>
      <c r="V129" s="195"/>
    </row>
    <row r="130" spans="1:22" x14ac:dyDescent="0.25">
      <c r="A130" s="202">
        <v>2021</v>
      </c>
      <c r="B130" s="202" t="s">
        <v>823</v>
      </c>
      <c r="C130" s="203" t="s">
        <v>147</v>
      </c>
      <c r="D130" s="204" t="s">
        <v>821</v>
      </c>
      <c r="E130" s="204" t="s">
        <v>821</v>
      </c>
      <c r="F130" s="204" t="s">
        <v>147</v>
      </c>
      <c r="G130" s="203" t="s">
        <v>499</v>
      </c>
      <c r="H130" s="205">
        <v>0</v>
      </c>
      <c r="I130" s="205">
        <v>9</v>
      </c>
      <c r="J130" s="206"/>
      <c r="K130" s="205">
        <v>174192.75</v>
      </c>
      <c r="L130" s="205">
        <v>0</v>
      </c>
      <c r="M130" s="205">
        <v>174192.75</v>
      </c>
      <c r="N130" s="206"/>
      <c r="O130" s="205">
        <v>62983.25</v>
      </c>
      <c r="P130" s="205">
        <v>0</v>
      </c>
      <c r="Q130" s="205">
        <v>62983.25</v>
      </c>
      <c r="R130" s="206"/>
      <c r="S130" s="205">
        <v>237176</v>
      </c>
      <c r="T130" s="205">
        <v>0</v>
      </c>
      <c r="U130" s="205">
        <v>237176</v>
      </c>
      <c r="V130" s="195"/>
    </row>
    <row r="131" spans="1:22" x14ac:dyDescent="0.25">
      <c r="A131" s="202">
        <v>2021</v>
      </c>
      <c r="B131" s="202" t="s">
        <v>822</v>
      </c>
      <c r="C131" s="203" t="s">
        <v>148</v>
      </c>
      <c r="D131" s="204" t="s">
        <v>821</v>
      </c>
      <c r="E131" s="204" t="s">
        <v>821</v>
      </c>
      <c r="F131" s="204" t="s">
        <v>148</v>
      </c>
      <c r="G131" s="203" t="s">
        <v>500</v>
      </c>
      <c r="H131" s="205">
        <v>0</v>
      </c>
      <c r="I131" s="205">
        <v>4</v>
      </c>
      <c r="J131" s="206"/>
      <c r="K131" s="205">
        <v>110714.25</v>
      </c>
      <c r="L131" s="205">
        <v>0</v>
      </c>
      <c r="M131" s="205">
        <v>110714.25</v>
      </c>
      <c r="N131" s="206"/>
      <c r="O131" s="205">
        <v>41145.75</v>
      </c>
      <c r="P131" s="205">
        <v>0</v>
      </c>
      <c r="Q131" s="205">
        <v>41145.75</v>
      </c>
      <c r="R131" s="206"/>
      <c r="S131" s="205">
        <v>151860</v>
      </c>
      <c r="T131" s="205">
        <v>0</v>
      </c>
      <c r="U131" s="205">
        <v>151860</v>
      </c>
      <c r="V131" s="195"/>
    </row>
    <row r="132" spans="1:22" x14ac:dyDescent="0.25">
      <c r="A132" s="202">
        <v>2021</v>
      </c>
      <c r="B132" s="202" t="s">
        <v>820</v>
      </c>
      <c r="C132" s="203" t="s">
        <v>149</v>
      </c>
      <c r="D132" s="204" t="s">
        <v>821</v>
      </c>
      <c r="E132" s="204" t="s">
        <v>821</v>
      </c>
      <c r="F132" s="204" t="s">
        <v>149</v>
      </c>
      <c r="G132" s="203" t="s">
        <v>501</v>
      </c>
      <c r="H132" s="205">
        <v>0</v>
      </c>
      <c r="I132" s="205">
        <v>7</v>
      </c>
      <c r="J132" s="206"/>
      <c r="K132" s="205">
        <v>147332.25</v>
      </c>
      <c r="L132" s="205">
        <v>0</v>
      </c>
      <c r="M132" s="205">
        <v>147332.25</v>
      </c>
      <c r="N132" s="206"/>
      <c r="O132" s="205">
        <v>49509.75</v>
      </c>
      <c r="P132" s="205">
        <v>0</v>
      </c>
      <c r="Q132" s="205">
        <v>49509.75</v>
      </c>
      <c r="R132" s="206"/>
      <c r="S132" s="205">
        <v>196842</v>
      </c>
      <c r="T132" s="205">
        <v>0</v>
      </c>
      <c r="U132" s="205">
        <v>196842</v>
      </c>
      <c r="V132" s="195"/>
    </row>
    <row r="133" spans="1:22" x14ac:dyDescent="0.25">
      <c r="A133" s="202">
        <v>2021</v>
      </c>
      <c r="B133" s="202" t="s">
        <v>823</v>
      </c>
      <c r="C133" s="203" t="s">
        <v>152</v>
      </c>
      <c r="D133" s="204" t="s">
        <v>821</v>
      </c>
      <c r="E133" s="204" t="s">
        <v>821</v>
      </c>
      <c r="F133" s="204" t="s">
        <v>152</v>
      </c>
      <c r="G133" s="203" t="s">
        <v>503</v>
      </c>
      <c r="H133" s="205">
        <v>4</v>
      </c>
      <c r="I133" s="205">
        <v>3</v>
      </c>
      <c r="J133" s="206"/>
      <c r="K133" s="205">
        <v>63985.5</v>
      </c>
      <c r="L133" s="205">
        <v>36563.14</v>
      </c>
      <c r="M133" s="205">
        <v>27422.36</v>
      </c>
      <c r="N133" s="206"/>
      <c r="O133" s="205">
        <v>23592.5</v>
      </c>
      <c r="P133" s="205">
        <v>13481.43</v>
      </c>
      <c r="Q133" s="205">
        <v>10111.07</v>
      </c>
      <c r="R133" s="206"/>
      <c r="S133" s="205">
        <v>87578</v>
      </c>
      <c r="T133" s="205">
        <v>50044.57</v>
      </c>
      <c r="U133" s="205">
        <v>37533.43</v>
      </c>
      <c r="V133" s="195"/>
    </row>
    <row r="134" spans="1:22" x14ac:dyDescent="0.25">
      <c r="A134" s="202">
        <v>2021</v>
      </c>
      <c r="B134" s="202" t="s">
        <v>822</v>
      </c>
      <c r="C134" s="203" t="s">
        <v>153</v>
      </c>
      <c r="D134" s="204" t="s">
        <v>821</v>
      </c>
      <c r="E134" s="204" t="s">
        <v>821</v>
      </c>
      <c r="F134" s="204" t="s">
        <v>153</v>
      </c>
      <c r="G134" s="203" t="s">
        <v>504</v>
      </c>
      <c r="H134" s="205">
        <v>0</v>
      </c>
      <c r="I134" s="205">
        <v>3</v>
      </c>
      <c r="J134" s="206"/>
      <c r="K134" s="205">
        <v>122384.25</v>
      </c>
      <c r="L134" s="205">
        <v>0</v>
      </c>
      <c r="M134" s="205">
        <v>122384.25</v>
      </c>
      <c r="N134" s="206"/>
      <c r="O134" s="205">
        <v>47183.75</v>
      </c>
      <c r="P134" s="205">
        <v>0</v>
      </c>
      <c r="Q134" s="205">
        <v>47183.75</v>
      </c>
      <c r="R134" s="206"/>
      <c r="S134" s="205">
        <v>169568</v>
      </c>
      <c r="T134" s="205">
        <v>0</v>
      </c>
      <c r="U134" s="205">
        <v>169568</v>
      </c>
      <c r="V134" s="195"/>
    </row>
    <row r="135" spans="1:22" x14ac:dyDescent="0.25">
      <c r="A135" s="202">
        <v>2021</v>
      </c>
      <c r="B135" s="202" t="s">
        <v>823</v>
      </c>
      <c r="C135" s="203" t="s">
        <v>154</v>
      </c>
      <c r="D135" s="204" t="s">
        <v>821</v>
      </c>
      <c r="E135" s="204" t="s">
        <v>821</v>
      </c>
      <c r="F135" s="204" t="s">
        <v>154</v>
      </c>
      <c r="G135" s="203" t="s">
        <v>505</v>
      </c>
      <c r="H135" s="205">
        <v>0</v>
      </c>
      <c r="I135" s="205">
        <v>7</v>
      </c>
      <c r="J135" s="206"/>
      <c r="K135" s="205">
        <v>471591.75</v>
      </c>
      <c r="L135" s="205">
        <v>0</v>
      </c>
      <c r="M135" s="205">
        <v>471591.75</v>
      </c>
      <c r="N135" s="206"/>
      <c r="O135" s="205">
        <v>170066.25</v>
      </c>
      <c r="P135" s="205">
        <v>0</v>
      </c>
      <c r="Q135" s="205">
        <v>170066.25</v>
      </c>
      <c r="R135" s="206"/>
      <c r="S135" s="205">
        <v>641658</v>
      </c>
      <c r="T135" s="205">
        <v>0</v>
      </c>
      <c r="U135" s="205">
        <v>641658</v>
      </c>
      <c r="V135" s="195"/>
    </row>
    <row r="136" spans="1:22" x14ac:dyDescent="0.25">
      <c r="A136" s="202">
        <v>2021</v>
      </c>
      <c r="B136" s="202" t="s">
        <v>825</v>
      </c>
      <c r="C136" s="203" t="s">
        <v>156</v>
      </c>
      <c r="D136" s="204" t="s">
        <v>821</v>
      </c>
      <c r="E136" s="204" t="s">
        <v>821</v>
      </c>
      <c r="F136" s="204" t="s">
        <v>156</v>
      </c>
      <c r="G136" s="203" t="s">
        <v>506</v>
      </c>
      <c r="H136" s="205">
        <v>0</v>
      </c>
      <c r="I136" s="205">
        <v>0</v>
      </c>
      <c r="J136" s="206"/>
      <c r="K136" s="205">
        <v>0</v>
      </c>
      <c r="L136" s="205">
        <v>0</v>
      </c>
      <c r="M136" s="205">
        <v>0</v>
      </c>
      <c r="N136" s="206"/>
      <c r="O136" s="205">
        <v>0</v>
      </c>
      <c r="P136" s="205">
        <v>0</v>
      </c>
      <c r="Q136" s="205">
        <v>0</v>
      </c>
      <c r="R136" s="206"/>
      <c r="S136" s="205">
        <v>0</v>
      </c>
      <c r="T136" s="205">
        <v>0</v>
      </c>
      <c r="U136" s="205">
        <v>0</v>
      </c>
      <c r="V136" s="195"/>
    </row>
    <row r="137" spans="1:22" x14ac:dyDescent="0.25">
      <c r="A137" s="202">
        <v>2021</v>
      </c>
      <c r="B137" s="202" t="s">
        <v>824</v>
      </c>
      <c r="C137" s="203" t="s">
        <v>157</v>
      </c>
      <c r="D137" s="204" t="s">
        <v>821</v>
      </c>
      <c r="E137" s="204" t="s">
        <v>821</v>
      </c>
      <c r="F137" s="204" t="s">
        <v>157</v>
      </c>
      <c r="G137" s="203" t="s">
        <v>507</v>
      </c>
      <c r="H137" s="205">
        <v>2</v>
      </c>
      <c r="I137" s="205">
        <v>5</v>
      </c>
      <c r="J137" s="206"/>
      <c r="K137" s="205">
        <v>199692.75</v>
      </c>
      <c r="L137" s="205">
        <v>57055.07</v>
      </c>
      <c r="M137" s="205">
        <v>142637.68</v>
      </c>
      <c r="N137" s="206"/>
      <c r="O137" s="205">
        <v>71549.25</v>
      </c>
      <c r="P137" s="205">
        <v>20442.64</v>
      </c>
      <c r="Q137" s="205">
        <v>51106.61</v>
      </c>
      <c r="R137" s="206"/>
      <c r="S137" s="205">
        <v>271242</v>
      </c>
      <c r="T137" s="205">
        <v>77497.709999999992</v>
      </c>
      <c r="U137" s="205">
        <v>193744.28999999998</v>
      </c>
      <c r="V137" s="195"/>
    </row>
    <row r="138" spans="1:22" x14ac:dyDescent="0.25">
      <c r="A138" s="202">
        <v>2021</v>
      </c>
      <c r="B138" s="202" t="s">
        <v>827</v>
      </c>
      <c r="C138" s="203" t="s">
        <v>158</v>
      </c>
      <c r="D138" s="204" t="s">
        <v>821</v>
      </c>
      <c r="E138" s="204" t="s">
        <v>821</v>
      </c>
      <c r="F138" s="204" t="s">
        <v>158</v>
      </c>
      <c r="G138" s="203" t="s">
        <v>508</v>
      </c>
      <c r="H138" s="205">
        <v>0</v>
      </c>
      <c r="I138" s="205">
        <v>2</v>
      </c>
      <c r="J138" s="206"/>
      <c r="K138" s="205">
        <v>65023.5</v>
      </c>
      <c r="L138" s="205">
        <v>0</v>
      </c>
      <c r="M138" s="205">
        <v>65023.5</v>
      </c>
      <c r="N138" s="206"/>
      <c r="O138" s="205">
        <v>32349.5</v>
      </c>
      <c r="P138" s="205">
        <v>0</v>
      </c>
      <c r="Q138" s="205">
        <v>32349.5</v>
      </c>
      <c r="R138" s="206"/>
      <c r="S138" s="205">
        <v>97373</v>
      </c>
      <c r="T138" s="205">
        <v>0</v>
      </c>
      <c r="U138" s="205">
        <v>97373</v>
      </c>
      <c r="V138" s="195"/>
    </row>
    <row r="139" spans="1:22" x14ac:dyDescent="0.25">
      <c r="A139" s="202">
        <v>2021</v>
      </c>
      <c r="B139" s="202" t="s">
        <v>824</v>
      </c>
      <c r="C139" s="203" t="s">
        <v>159</v>
      </c>
      <c r="D139" s="204" t="s">
        <v>821</v>
      </c>
      <c r="E139" s="204" t="s">
        <v>821</v>
      </c>
      <c r="F139" s="204" t="s">
        <v>159</v>
      </c>
      <c r="G139" s="203" t="s">
        <v>509</v>
      </c>
      <c r="H139" s="205">
        <v>0</v>
      </c>
      <c r="I139" s="205">
        <v>6</v>
      </c>
      <c r="J139" s="206"/>
      <c r="K139" s="205">
        <v>180717</v>
      </c>
      <c r="L139" s="205">
        <v>0</v>
      </c>
      <c r="M139" s="205">
        <v>180717</v>
      </c>
      <c r="N139" s="206"/>
      <c r="O139" s="205">
        <v>115044</v>
      </c>
      <c r="P139" s="205">
        <v>0</v>
      </c>
      <c r="Q139" s="205">
        <v>115044</v>
      </c>
      <c r="R139" s="206"/>
      <c r="S139" s="205">
        <v>295761</v>
      </c>
      <c r="T139" s="205">
        <v>0</v>
      </c>
      <c r="U139" s="205">
        <v>295761</v>
      </c>
      <c r="V139" s="195"/>
    </row>
    <row r="140" spans="1:22" x14ac:dyDescent="0.25">
      <c r="A140" s="202">
        <v>2021</v>
      </c>
      <c r="B140" s="202" t="s">
        <v>827</v>
      </c>
      <c r="C140" s="203" t="s">
        <v>151</v>
      </c>
      <c r="D140" s="204" t="s">
        <v>821</v>
      </c>
      <c r="E140" s="204" t="s">
        <v>821</v>
      </c>
      <c r="F140" s="204" t="s">
        <v>151</v>
      </c>
      <c r="G140" s="203" t="s">
        <v>5</v>
      </c>
      <c r="H140" s="205">
        <v>0</v>
      </c>
      <c r="I140" s="205">
        <v>1</v>
      </c>
      <c r="J140" s="206"/>
      <c r="K140" s="205">
        <v>14871.75</v>
      </c>
      <c r="L140" s="205">
        <v>0</v>
      </c>
      <c r="M140" s="205">
        <v>14871.75</v>
      </c>
      <c r="N140" s="206"/>
      <c r="O140" s="205">
        <v>5217.25</v>
      </c>
      <c r="P140" s="205">
        <v>0</v>
      </c>
      <c r="Q140" s="205">
        <v>5217.25</v>
      </c>
      <c r="R140" s="206"/>
      <c r="S140" s="205">
        <v>20089</v>
      </c>
      <c r="T140" s="205">
        <v>0</v>
      </c>
      <c r="U140" s="205">
        <v>20089</v>
      </c>
      <c r="V140" s="195"/>
    </row>
    <row r="141" spans="1:22" x14ac:dyDescent="0.25">
      <c r="A141" s="202">
        <v>2021</v>
      </c>
      <c r="B141" s="202" t="s">
        <v>829</v>
      </c>
      <c r="C141" s="203" t="s">
        <v>160</v>
      </c>
      <c r="D141" s="204" t="s">
        <v>821</v>
      </c>
      <c r="E141" s="204" t="s">
        <v>821</v>
      </c>
      <c r="F141" s="204" t="s">
        <v>160</v>
      </c>
      <c r="G141" s="203" t="s">
        <v>510</v>
      </c>
      <c r="H141" s="205">
        <v>3</v>
      </c>
      <c r="I141" s="205">
        <v>3</v>
      </c>
      <c r="J141" s="206"/>
      <c r="K141" s="205">
        <v>289565.25</v>
      </c>
      <c r="L141" s="205">
        <v>144782.63</v>
      </c>
      <c r="M141" s="205">
        <v>144782.62</v>
      </c>
      <c r="N141" s="206"/>
      <c r="O141" s="205">
        <v>108614.75</v>
      </c>
      <c r="P141" s="205">
        <v>54307.38</v>
      </c>
      <c r="Q141" s="205">
        <v>54307.37</v>
      </c>
      <c r="R141" s="206"/>
      <c r="S141" s="205">
        <v>398180</v>
      </c>
      <c r="T141" s="205">
        <v>199090.01</v>
      </c>
      <c r="U141" s="205">
        <v>199089.99</v>
      </c>
      <c r="V141" s="195"/>
    </row>
    <row r="142" spans="1:22" x14ac:dyDescent="0.25">
      <c r="A142" s="202">
        <v>2021</v>
      </c>
      <c r="B142" s="202" t="s">
        <v>822</v>
      </c>
      <c r="C142" s="203" t="s">
        <v>161</v>
      </c>
      <c r="D142" s="204" t="s">
        <v>821</v>
      </c>
      <c r="E142" s="204" t="s">
        <v>821</v>
      </c>
      <c r="F142" s="204" t="s">
        <v>161</v>
      </c>
      <c r="G142" s="203" t="s">
        <v>511</v>
      </c>
      <c r="H142" s="205">
        <v>0</v>
      </c>
      <c r="I142" s="205">
        <v>0</v>
      </c>
      <c r="J142" s="206"/>
      <c r="K142" s="205">
        <v>0</v>
      </c>
      <c r="L142" s="205">
        <v>0</v>
      </c>
      <c r="M142" s="205">
        <v>0</v>
      </c>
      <c r="N142" s="206"/>
      <c r="O142" s="205">
        <v>0</v>
      </c>
      <c r="P142" s="205">
        <v>0</v>
      </c>
      <c r="Q142" s="205">
        <v>0</v>
      </c>
      <c r="R142" s="206"/>
      <c r="S142" s="205">
        <v>0</v>
      </c>
      <c r="T142" s="205">
        <v>0</v>
      </c>
      <c r="U142" s="205">
        <v>0</v>
      </c>
      <c r="V142" s="195"/>
    </row>
    <row r="143" spans="1:22" x14ac:dyDescent="0.25">
      <c r="A143" s="202">
        <v>2021</v>
      </c>
      <c r="B143" s="202" t="s">
        <v>822</v>
      </c>
      <c r="C143" s="203" t="s">
        <v>162</v>
      </c>
      <c r="D143" s="204" t="s">
        <v>821</v>
      </c>
      <c r="E143" s="204" t="s">
        <v>821</v>
      </c>
      <c r="F143" s="204" t="s">
        <v>162</v>
      </c>
      <c r="G143" s="203" t="s">
        <v>512</v>
      </c>
      <c r="H143" s="205">
        <v>0</v>
      </c>
      <c r="I143" s="205">
        <v>2</v>
      </c>
      <c r="J143" s="206"/>
      <c r="K143" s="205">
        <v>70425</v>
      </c>
      <c r="L143" s="205">
        <v>0</v>
      </c>
      <c r="M143" s="205">
        <v>70425</v>
      </c>
      <c r="N143" s="206"/>
      <c r="O143" s="205">
        <v>24239</v>
      </c>
      <c r="P143" s="205">
        <v>0</v>
      </c>
      <c r="Q143" s="205">
        <v>24239</v>
      </c>
      <c r="R143" s="206"/>
      <c r="S143" s="205">
        <v>94664</v>
      </c>
      <c r="T143" s="205">
        <v>0</v>
      </c>
      <c r="U143" s="205">
        <v>94664</v>
      </c>
      <c r="V143" s="195"/>
    </row>
    <row r="144" spans="1:22" x14ac:dyDescent="0.25">
      <c r="A144" s="202">
        <v>2021</v>
      </c>
      <c r="B144" s="202" t="s">
        <v>825</v>
      </c>
      <c r="C144" s="203" t="s">
        <v>163</v>
      </c>
      <c r="D144" s="204" t="s">
        <v>821</v>
      </c>
      <c r="E144" s="204" t="s">
        <v>821</v>
      </c>
      <c r="F144" s="204" t="s">
        <v>163</v>
      </c>
      <c r="G144" s="203" t="s">
        <v>513</v>
      </c>
      <c r="H144" s="205">
        <v>0</v>
      </c>
      <c r="I144" s="205">
        <v>5</v>
      </c>
      <c r="J144" s="206"/>
      <c r="K144" s="205">
        <v>309204.75</v>
      </c>
      <c r="L144" s="205">
        <v>0</v>
      </c>
      <c r="M144" s="205">
        <v>309204.75</v>
      </c>
      <c r="N144" s="206"/>
      <c r="O144" s="205">
        <v>122751.25</v>
      </c>
      <c r="P144" s="205">
        <v>0</v>
      </c>
      <c r="Q144" s="205">
        <v>122751.25</v>
      </c>
      <c r="R144" s="206"/>
      <c r="S144" s="205">
        <v>431956</v>
      </c>
      <c r="T144" s="205">
        <v>0</v>
      </c>
      <c r="U144" s="205">
        <v>431956</v>
      </c>
      <c r="V144" s="195"/>
    </row>
    <row r="145" spans="1:22" x14ac:dyDescent="0.25">
      <c r="A145" s="202">
        <v>2021</v>
      </c>
      <c r="B145" s="202" t="s">
        <v>823</v>
      </c>
      <c r="C145" s="203" t="s">
        <v>170</v>
      </c>
      <c r="D145" s="204" t="s">
        <v>821</v>
      </c>
      <c r="E145" s="204" t="s">
        <v>821</v>
      </c>
      <c r="F145" s="204" t="s">
        <v>170</v>
      </c>
      <c r="G145" s="203" t="s">
        <v>520</v>
      </c>
      <c r="H145" s="205">
        <v>0</v>
      </c>
      <c r="I145" s="205">
        <v>7</v>
      </c>
      <c r="J145" s="206"/>
      <c r="K145" s="205">
        <v>221928</v>
      </c>
      <c r="L145" s="205">
        <v>0</v>
      </c>
      <c r="M145" s="205">
        <v>221928</v>
      </c>
      <c r="N145" s="206"/>
      <c r="O145" s="205">
        <v>79745</v>
      </c>
      <c r="P145" s="205">
        <v>0</v>
      </c>
      <c r="Q145" s="205">
        <v>79745</v>
      </c>
      <c r="R145" s="206"/>
      <c r="S145" s="205">
        <v>301673</v>
      </c>
      <c r="T145" s="205">
        <v>0</v>
      </c>
      <c r="U145" s="205">
        <v>301673</v>
      </c>
      <c r="V145" s="195"/>
    </row>
    <row r="146" spans="1:22" x14ac:dyDescent="0.25">
      <c r="A146" s="202">
        <v>2021</v>
      </c>
      <c r="B146" s="202" t="s">
        <v>822</v>
      </c>
      <c r="C146" s="203" t="s">
        <v>164</v>
      </c>
      <c r="D146" s="204" t="s">
        <v>821</v>
      </c>
      <c r="E146" s="204" t="s">
        <v>821</v>
      </c>
      <c r="F146" s="204" t="s">
        <v>164</v>
      </c>
      <c r="G146" s="203" t="s">
        <v>514</v>
      </c>
      <c r="H146" s="205">
        <v>0</v>
      </c>
      <c r="I146" s="205">
        <v>8</v>
      </c>
      <c r="J146" s="206"/>
      <c r="K146" s="205">
        <v>562892.25</v>
      </c>
      <c r="L146" s="205">
        <v>0</v>
      </c>
      <c r="M146" s="205">
        <v>562892.25</v>
      </c>
      <c r="N146" s="206"/>
      <c r="O146" s="205">
        <v>205137.75</v>
      </c>
      <c r="P146" s="205">
        <v>0</v>
      </c>
      <c r="Q146" s="205">
        <v>205137.75</v>
      </c>
      <c r="R146" s="206"/>
      <c r="S146" s="205">
        <v>768030</v>
      </c>
      <c r="T146" s="205">
        <v>0</v>
      </c>
      <c r="U146" s="205">
        <v>768030</v>
      </c>
      <c r="V146" s="195"/>
    </row>
    <row r="147" spans="1:22" x14ac:dyDescent="0.25">
      <c r="A147" s="202">
        <v>2021</v>
      </c>
      <c r="B147" s="202" t="s">
        <v>820</v>
      </c>
      <c r="C147" s="203" t="s">
        <v>165</v>
      </c>
      <c r="D147" s="204" t="s">
        <v>821</v>
      </c>
      <c r="E147" s="204" t="s">
        <v>821</v>
      </c>
      <c r="F147" s="204" t="s">
        <v>165</v>
      </c>
      <c r="G147" s="203" t="s">
        <v>515</v>
      </c>
      <c r="H147" s="205">
        <v>0</v>
      </c>
      <c r="I147" s="205">
        <v>5</v>
      </c>
      <c r="J147" s="206"/>
      <c r="K147" s="205">
        <v>881805.75</v>
      </c>
      <c r="L147" s="205">
        <v>0</v>
      </c>
      <c r="M147" s="205">
        <v>881805.75</v>
      </c>
      <c r="N147" s="206"/>
      <c r="O147" s="205">
        <v>353778.25</v>
      </c>
      <c r="P147" s="205">
        <v>0</v>
      </c>
      <c r="Q147" s="205">
        <v>353778.25</v>
      </c>
      <c r="R147" s="206"/>
      <c r="S147" s="205">
        <v>1235584</v>
      </c>
      <c r="T147" s="205">
        <v>0</v>
      </c>
      <c r="U147" s="205">
        <v>1235584</v>
      </c>
      <c r="V147" s="195"/>
    </row>
    <row r="148" spans="1:22" x14ac:dyDescent="0.25">
      <c r="A148" s="202">
        <v>2021</v>
      </c>
      <c r="B148" s="202" t="s">
        <v>820</v>
      </c>
      <c r="C148" s="203" t="s">
        <v>166</v>
      </c>
      <c r="D148" s="204" t="s">
        <v>821</v>
      </c>
      <c r="E148" s="204" t="s">
        <v>821</v>
      </c>
      <c r="F148" s="204" t="s">
        <v>166</v>
      </c>
      <c r="G148" s="203" t="s">
        <v>516</v>
      </c>
      <c r="H148" s="205">
        <v>0</v>
      </c>
      <c r="I148" s="205">
        <v>0</v>
      </c>
      <c r="J148" s="206"/>
      <c r="K148" s="205">
        <v>0</v>
      </c>
      <c r="L148" s="205">
        <v>0</v>
      </c>
      <c r="M148" s="205">
        <v>0</v>
      </c>
      <c r="N148" s="206"/>
      <c r="O148" s="205">
        <v>0</v>
      </c>
      <c r="P148" s="205">
        <v>0</v>
      </c>
      <c r="Q148" s="205">
        <v>0</v>
      </c>
      <c r="R148" s="206"/>
      <c r="S148" s="205">
        <v>0</v>
      </c>
      <c r="T148" s="205">
        <v>0</v>
      </c>
      <c r="U148" s="205">
        <v>0</v>
      </c>
      <c r="V148" s="195"/>
    </row>
    <row r="149" spans="1:22" x14ac:dyDescent="0.25">
      <c r="A149" s="202">
        <v>2021</v>
      </c>
      <c r="B149" s="202" t="s">
        <v>827</v>
      </c>
      <c r="C149" s="203" t="s">
        <v>167</v>
      </c>
      <c r="D149" s="204" t="s">
        <v>821</v>
      </c>
      <c r="E149" s="204" t="s">
        <v>821</v>
      </c>
      <c r="F149" s="204" t="s">
        <v>167</v>
      </c>
      <c r="G149" s="203" t="s">
        <v>517</v>
      </c>
      <c r="H149" s="205">
        <v>0</v>
      </c>
      <c r="I149" s="205">
        <v>5</v>
      </c>
      <c r="J149" s="206"/>
      <c r="K149" s="205">
        <v>5376445.5</v>
      </c>
      <c r="L149" s="205">
        <v>0</v>
      </c>
      <c r="M149" s="205">
        <v>5376445.5</v>
      </c>
      <c r="N149" s="206"/>
      <c r="O149" s="205">
        <v>2371359.5</v>
      </c>
      <c r="P149" s="205">
        <v>0</v>
      </c>
      <c r="Q149" s="205">
        <v>2371359.5</v>
      </c>
      <c r="R149" s="206"/>
      <c r="S149" s="205">
        <v>7747805</v>
      </c>
      <c r="T149" s="205">
        <v>0</v>
      </c>
      <c r="U149" s="205">
        <v>7747805</v>
      </c>
      <c r="V149" s="195"/>
    </row>
    <row r="150" spans="1:22" x14ac:dyDescent="0.25">
      <c r="A150" s="202">
        <v>2021</v>
      </c>
      <c r="B150" s="202" t="s">
        <v>822</v>
      </c>
      <c r="C150" s="203" t="s">
        <v>168</v>
      </c>
      <c r="D150" s="204" t="s">
        <v>821</v>
      </c>
      <c r="E150" s="204" t="s">
        <v>821</v>
      </c>
      <c r="F150" s="204" t="s">
        <v>168</v>
      </c>
      <c r="G150" s="203" t="s">
        <v>518</v>
      </c>
      <c r="H150" s="205">
        <v>0</v>
      </c>
      <c r="I150" s="205">
        <v>8</v>
      </c>
      <c r="J150" s="206"/>
      <c r="K150" s="205">
        <v>360760.5</v>
      </c>
      <c r="L150" s="205">
        <v>0</v>
      </c>
      <c r="M150" s="205">
        <v>360760.5</v>
      </c>
      <c r="N150" s="206"/>
      <c r="O150" s="205">
        <v>140801.5</v>
      </c>
      <c r="P150" s="205">
        <v>0</v>
      </c>
      <c r="Q150" s="205">
        <v>140801.5</v>
      </c>
      <c r="R150" s="206"/>
      <c r="S150" s="205">
        <v>501562</v>
      </c>
      <c r="T150" s="205">
        <v>0</v>
      </c>
      <c r="U150" s="205">
        <v>501562</v>
      </c>
      <c r="V150" s="195"/>
    </row>
    <row r="151" spans="1:22" x14ac:dyDescent="0.25">
      <c r="A151" s="202">
        <v>2021</v>
      </c>
      <c r="B151" s="202" t="s">
        <v>827</v>
      </c>
      <c r="C151" s="203" t="s">
        <v>169</v>
      </c>
      <c r="D151" s="204" t="s">
        <v>821</v>
      </c>
      <c r="E151" s="204" t="s">
        <v>821</v>
      </c>
      <c r="F151" s="204" t="s">
        <v>169</v>
      </c>
      <c r="G151" s="203" t="s">
        <v>519</v>
      </c>
      <c r="H151" s="205">
        <v>6</v>
      </c>
      <c r="I151" s="205">
        <v>6</v>
      </c>
      <c r="J151" s="206"/>
      <c r="K151" s="205">
        <v>299668.5</v>
      </c>
      <c r="L151" s="205">
        <v>149834.25</v>
      </c>
      <c r="M151" s="205">
        <v>149834.25</v>
      </c>
      <c r="N151" s="206"/>
      <c r="O151" s="205">
        <v>103877.5</v>
      </c>
      <c r="P151" s="205">
        <v>51938.75</v>
      </c>
      <c r="Q151" s="205">
        <v>51938.75</v>
      </c>
      <c r="R151" s="206"/>
      <c r="S151" s="205">
        <v>403546</v>
      </c>
      <c r="T151" s="205">
        <v>201773</v>
      </c>
      <c r="U151" s="205">
        <v>201773</v>
      </c>
      <c r="V151" s="195"/>
    </row>
    <row r="152" spans="1:22" x14ac:dyDescent="0.25">
      <c r="A152" s="202">
        <v>2021</v>
      </c>
      <c r="B152" s="202" t="s">
        <v>822</v>
      </c>
      <c r="C152" s="203" t="s">
        <v>171</v>
      </c>
      <c r="D152" s="204" t="s">
        <v>821</v>
      </c>
      <c r="E152" s="204" t="s">
        <v>821</v>
      </c>
      <c r="F152" s="204" t="s">
        <v>171</v>
      </c>
      <c r="G152" s="203" t="s">
        <v>521</v>
      </c>
      <c r="H152" s="205">
        <v>0</v>
      </c>
      <c r="I152" s="205">
        <v>7</v>
      </c>
      <c r="J152" s="206"/>
      <c r="K152" s="205">
        <v>164395.5</v>
      </c>
      <c r="L152" s="205">
        <v>0</v>
      </c>
      <c r="M152" s="205">
        <v>164395.5</v>
      </c>
      <c r="N152" s="206"/>
      <c r="O152" s="205">
        <v>60925.5</v>
      </c>
      <c r="P152" s="205">
        <v>0</v>
      </c>
      <c r="Q152" s="205">
        <v>60925.5</v>
      </c>
      <c r="R152" s="206"/>
      <c r="S152" s="205">
        <v>225321</v>
      </c>
      <c r="T152" s="205">
        <v>0</v>
      </c>
      <c r="U152" s="205">
        <v>225321</v>
      </c>
      <c r="V152" s="195"/>
    </row>
    <row r="153" spans="1:22" x14ac:dyDescent="0.25">
      <c r="A153" s="202">
        <v>2021</v>
      </c>
      <c r="B153" s="202" t="s">
        <v>822</v>
      </c>
      <c r="C153" s="203" t="s">
        <v>173</v>
      </c>
      <c r="D153" s="204" t="s">
        <v>821</v>
      </c>
      <c r="E153" s="204" t="s">
        <v>821</v>
      </c>
      <c r="F153" s="204" t="s">
        <v>173</v>
      </c>
      <c r="G153" s="203" t="s">
        <v>523</v>
      </c>
      <c r="H153" s="205">
        <v>0</v>
      </c>
      <c r="I153" s="205">
        <v>0</v>
      </c>
      <c r="J153" s="206"/>
      <c r="K153" s="205">
        <v>0</v>
      </c>
      <c r="L153" s="205">
        <v>0</v>
      </c>
      <c r="M153" s="205">
        <v>0</v>
      </c>
      <c r="N153" s="206"/>
      <c r="O153" s="205">
        <v>0</v>
      </c>
      <c r="P153" s="205">
        <v>0</v>
      </c>
      <c r="Q153" s="205">
        <v>0</v>
      </c>
      <c r="R153" s="206"/>
      <c r="S153" s="205">
        <v>0</v>
      </c>
      <c r="T153" s="205">
        <v>0</v>
      </c>
      <c r="U153" s="205">
        <v>0</v>
      </c>
      <c r="V153" s="195"/>
    </row>
    <row r="154" spans="1:22" x14ac:dyDescent="0.25">
      <c r="A154" s="202">
        <v>2021</v>
      </c>
      <c r="B154" s="202" t="s">
        <v>820</v>
      </c>
      <c r="C154" s="203" t="s">
        <v>174</v>
      </c>
      <c r="D154" s="204" t="s">
        <v>821</v>
      </c>
      <c r="E154" s="204" t="s">
        <v>821</v>
      </c>
      <c r="F154" s="204" t="s">
        <v>174</v>
      </c>
      <c r="G154" s="203" t="s">
        <v>524</v>
      </c>
      <c r="H154" s="205">
        <v>0</v>
      </c>
      <c r="I154" s="205">
        <v>0</v>
      </c>
      <c r="J154" s="206"/>
      <c r="K154" s="205">
        <v>0</v>
      </c>
      <c r="L154" s="205">
        <v>0</v>
      </c>
      <c r="M154" s="205">
        <v>0</v>
      </c>
      <c r="N154" s="206"/>
      <c r="O154" s="205">
        <v>0</v>
      </c>
      <c r="P154" s="205">
        <v>0</v>
      </c>
      <c r="Q154" s="205">
        <v>0</v>
      </c>
      <c r="R154" s="206"/>
      <c r="S154" s="205">
        <v>0</v>
      </c>
      <c r="T154" s="205">
        <v>0</v>
      </c>
      <c r="U154" s="205">
        <v>0</v>
      </c>
      <c r="V154" s="195"/>
    </row>
    <row r="155" spans="1:22" x14ac:dyDescent="0.25">
      <c r="A155" s="202">
        <v>2021</v>
      </c>
      <c r="B155" s="202" t="s">
        <v>826</v>
      </c>
      <c r="C155" s="203" t="s">
        <v>175</v>
      </c>
      <c r="D155" s="204" t="s">
        <v>821</v>
      </c>
      <c r="E155" s="204" t="s">
        <v>821</v>
      </c>
      <c r="F155" s="204" t="s">
        <v>175</v>
      </c>
      <c r="G155" s="203" t="s">
        <v>525</v>
      </c>
      <c r="H155" s="205">
        <v>0</v>
      </c>
      <c r="I155" s="205">
        <v>0</v>
      </c>
      <c r="J155" s="206"/>
      <c r="K155" s="205">
        <v>0</v>
      </c>
      <c r="L155" s="205">
        <v>0</v>
      </c>
      <c r="M155" s="205">
        <v>0</v>
      </c>
      <c r="N155" s="206"/>
      <c r="O155" s="205">
        <v>0</v>
      </c>
      <c r="P155" s="205">
        <v>0</v>
      </c>
      <c r="Q155" s="205">
        <v>0</v>
      </c>
      <c r="R155" s="206"/>
      <c r="S155" s="205">
        <v>0</v>
      </c>
      <c r="T155" s="205">
        <v>0</v>
      </c>
      <c r="U155" s="205">
        <v>0</v>
      </c>
      <c r="V155" s="195"/>
    </row>
    <row r="156" spans="1:22" x14ac:dyDescent="0.25">
      <c r="A156" s="202">
        <v>2021</v>
      </c>
      <c r="B156" s="202" t="s">
        <v>826</v>
      </c>
      <c r="C156" s="203" t="s">
        <v>176</v>
      </c>
      <c r="D156" s="204" t="s">
        <v>821</v>
      </c>
      <c r="E156" s="204" t="s">
        <v>821</v>
      </c>
      <c r="F156" s="204" t="s">
        <v>176</v>
      </c>
      <c r="G156" s="203" t="s">
        <v>526</v>
      </c>
      <c r="H156" s="205">
        <v>0</v>
      </c>
      <c r="I156" s="205">
        <v>1</v>
      </c>
      <c r="J156" s="206"/>
      <c r="K156" s="205">
        <v>14309.25</v>
      </c>
      <c r="L156" s="205">
        <v>0</v>
      </c>
      <c r="M156" s="205">
        <v>14309.25</v>
      </c>
      <c r="N156" s="206"/>
      <c r="O156" s="205">
        <v>5845.75</v>
      </c>
      <c r="P156" s="205">
        <v>0</v>
      </c>
      <c r="Q156" s="205">
        <v>5845.75</v>
      </c>
      <c r="R156" s="206"/>
      <c r="S156" s="205">
        <v>20155</v>
      </c>
      <c r="T156" s="205">
        <v>0</v>
      </c>
      <c r="U156" s="205">
        <v>20155</v>
      </c>
      <c r="V156" s="195"/>
    </row>
    <row r="157" spans="1:22" x14ac:dyDescent="0.25">
      <c r="A157" s="202">
        <v>2021</v>
      </c>
      <c r="B157" s="202" t="s">
        <v>824</v>
      </c>
      <c r="C157" s="203" t="s">
        <v>177</v>
      </c>
      <c r="D157" s="204" t="s">
        <v>821</v>
      </c>
      <c r="E157" s="204" t="s">
        <v>821</v>
      </c>
      <c r="F157" s="204" t="s">
        <v>177</v>
      </c>
      <c r="G157" s="203" t="s">
        <v>527</v>
      </c>
      <c r="H157" s="205">
        <v>3</v>
      </c>
      <c r="I157" s="205">
        <v>1</v>
      </c>
      <c r="J157" s="206"/>
      <c r="K157" s="205">
        <v>79053.75</v>
      </c>
      <c r="L157" s="205">
        <v>59290.31</v>
      </c>
      <c r="M157" s="205">
        <v>19763.440000000002</v>
      </c>
      <c r="N157" s="206"/>
      <c r="O157" s="205">
        <v>30429.25</v>
      </c>
      <c r="P157" s="205">
        <v>22821.94</v>
      </c>
      <c r="Q157" s="205">
        <v>7607.3100000000013</v>
      </c>
      <c r="R157" s="206"/>
      <c r="S157" s="205">
        <v>109483</v>
      </c>
      <c r="T157" s="205">
        <v>82112.25</v>
      </c>
      <c r="U157" s="205">
        <v>27370.750000000004</v>
      </c>
      <c r="V157" s="195"/>
    </row>
    <row r="158" spans="1:22" x14ac:dyDescent="0.25">
      <c r="A158" s="202">
        <v>2021</v>
      </c>
      <c r="B158" s="202" t="s">
        <v>820</v>
      </c>
      <c r="C158" s="203" t="s">
        <v>178</v>
      </c>
      <c r="D158" s="204" t="s">
        <v>821</v>
      </c>
      <c r="E158" s="204" t="s">
        <v>821</v>
      </c>
      <c r="F158" s="204" t="s">
        <v>178</v>
      </c>
      <c r="G158" s="203" t="s">
        <v>528</v>
      </c>
      <c r="H158" s="205">
        <v>0</v>
      </c>
      <c r="I158" s="205">
        <v>7</v>
      </c>
      <c r="J158" s="206"/>
      <c r="K158" s="205">
        <v>545867.25</v>
      </c>
      <c r="L158" s="205">
        <v>0</v>
      </c>
      <c r="M158" s="205">
        <v>545867.25</v>
      </c>
      <c r="N158" s="206"/>
      <c r="O158" s="205">
        <v>200642.75</v>
      </c>
      <c r="P158" s="205">
        <v>0</v>
      </c>
      <c r="Q158" s="205">
        <v>200642.75</v>
      </c>
      <c r="R158" s="206"/>
      <c r="S158" s="205">
        <v>746510</v>
      </c>
      <c r="T158" s="205">
        <v>0</v>
      </c>
      <c r="U158" s="205">
        <v>746510</v>
      </c>
      <c r="V158" s="195"/>
    </row>
    <row r="159" spans="1:22" x14ac:dyDescent="0.25">
      <c r="A159" s="202">
        <v>2021</v>
      </c>
      <c r="B159" s="202" t="s">
        <v>822</v>
      </c>
      <c r="C159" s="203" t="s">
        <v>179</v>
      </c>
      <c r="D159" s="204" t="s">
        <v>821</v>
      </c>
      <c r="E159" s="204" t="s">
        <v>821</v>
      </c>
      <c r="F159" s="204" t="s">
        <v>179</v>
      </c>
      <c r="G159" s="203" t="s">
        <v>529</v>
      </c>
      <c r="H159" s="205">
        <v>0</v>
      </c>
      <c r="I159" s="205">
        <v>10</v>
      </c>
      <c r="J159" s="206"/>
      <c r="K159" s="205">
        <v>223488</v>
      </c>
      <c r="L159" s="205">
        <v>0</v>
      </c>
      <c r="M159" s="205">
        <v>223488</v>
      </c>
      <c r="N159" s="206"/>
      <c r="O159" s="205">
        <v>83296</v>
      </c>
      <c r="P159" s="205">
        <v>0</v>
      </c>
      <c r="Q159" s="205">
        <v>83296</v>
      </c>
      <c r="R159" s="206"/>
      <c r="S159" s="205">
        <v>306784</v>
      </c>
      <c r="T159" s="205">
        <v>0</v>
      </c>
      <c r="U159" s="205">
        <v>306784</v>
      </c>
      <c r="V159" s="195"/>
    </row>
    <row r="160" spans="1:22" x14ac:dyDescent="0.25">
      <c r="A160" s="202">
        <v>2021</v>
      </c>
      <c r="B160" s="202" t="s">
        <v>823</v>
      </c>
      <c r="C160" s="203" t="s">
        <v>180</v>
      </c>
      <c r="D160" s="204" t="s">
        <v>821</v>
      </c>
      <c r="E160" s="204" t="s">
        <v>821</v>
      </c>
      <c r="F160" s="204" t="s">
        <v>180</v>
      </c>
      <c r="G160" s="203" t="s">
        <v>530</v>
      </c>
      <c r="H160" s="205">
        <v>0</v>
      </c>
      <c r="I160" s="205">
        <v>6</v>
      </c>
      <c r="J160" s="206"/>
      <c r="K160" s="205">
        <v>51126</v>
      </c>
      <c r="L160" s="205">
        <v>0</v>
      </c>
      <c r="M160" s="205">
        <v>51126</v>
      </c>
      <c r="N160" s="206"/>
      <c r="O160" s="205">
        <v>20341</v>
      </c>
      <c r="P160" s="205">
        <v>0</v>
      </c>
      <c r="Q160" s="205">
        <v>20341</v>
      </c>
      <c r="R160" s="206"/>
      <c r="S160" s="205">
        <v>71467</v>
      </c>
      <c r="T160" s="205">
        <v>0</v>
      </c>
      <c r="U160" s="205">
        <v>71467</v>
      </c>
      <c r="V160" s="195"/>
    </row>
    <row r="161" spans="1:22" x14ac:dyDescent="0.25">
      <c r="A161" s="202">
        <v>2021</v>
      </c>
      <c r="B161" s="202" t="s">
        <v>825</v>
      </c>
      <c r="C161" s="203" t="s">
        <v>181</v>
      </c>
      <c r="D161" s="204" t="s">
        <v>821</v>
      </c>
      <c r="E161" s="204" t="s">
        <v>821</v>
      </c>
      <c r="F161" s="204" t="s">
        <v>181</v>
      </c>
      <c r="G161" s="203" t="s">
        <v>531</v>
      </c>
      <c r="H161" s="205">
        <v>4</v>
      </c>
      <c r="I161" s="205">
        <v>4</v>
      </c>
      <c r="J161" s="206"/>
      <c r="K161" s="205">
        <v>88146.75</v>
      </c>
      <c r="L161" s="205">
        <v>44073.38</v>
      </c>
      <c r="M161" s="205">
        <v>44073.37</v>
      </c>
      <c r="N161" s="206"/>
      <c r="O161" s="205">
        <v>32163.25</v>
      </c>
      <c r="P161" s="205">
        <v>16081.63</v>
      </c>
      <c r="Q161" s="205">
        <v>16081.62</v>
      </c>
      <c r="R161" s="206"/>
      <c r="S161" s="205">
        <v>120310</v>
      </c>
      <c r="T161" s="205">
        <v>60155.009999999995</v>
      </c>
      <c r="U161" s="205">
        <v>60154.990000000005</v>
      </c>
      <c r="V161" s="195"/>
    </row>
    <row r="162" spans="1:22" x14ac:dyDescent="0.25">
      <c r="A162" s="202">
        <v>2021</v>
      </c>
      <c r="B162" s="202" t="s">
        <v>824</v>
      </c>
      <c r="C162" s="203" t="s">
        <v>182</v>
      </c>
      <c r="D162" s="204" t="s">
        <v>821</v>
      </c>
      <c r="E162" s="204" t="s">
        <v>821</v>
      </c>
      <c r="F162" s="204" t="s">
        <v>182</v>
      </c>
      <c r="G162" s="203" t="s">
        <v>532</v>
      </c>
      <c r="H162" s="205">
        <v>0</v>
      </c>
      <c r="I162" s="205">
        <v>7</v>
      </c>
      <c r="J162" s="206"/>
      <c r="K162" s="205">
        <v>202554.75</v>
      </c>
      <c r="L162" s="205">
        <v>0</v>
      </c>
      <c r="M162" s="205">
        <v>202554.75</v>
      </c>
      <c r="N162" s="206"/>
      <c r="O162" s="205">
        <v>90899.25</v>
      </c>
      <c r="P162" s="205">
        <v>0</v>
      </c>
      <c r="Q162" s="205">
        <v>90899.25</v>
      </c>
      <c r="R162" s="206"/>
      <c r="S162" s="205">
        <v>293454</v>
      </c>
      <c r="T162" s="205">
        <v>0</v>
      </c>
      <c r="U162" s="205">
        <v>293454</v>
      </c>
      <c r="V162" s="195"/>
    </row>
    <row r="163" spans="1:22" x14ac:dyDescent="0.25">
      <c r="A163" s="202">
        <v>2021</v>
      </c>
      <c r="B163" s="202" t="s">
        <v>824</v>
      </c>
      <c r="C163" s="203" t="s">
        <v>184</v>
      </c>
      <c r="D163" s="204" t="s">
        <v>821</v>
      </c>
      <c r="E163" s="204" t="s">
        <v>821</v>
      </c>
      <c r="F163" s="204" t="s">
        <v>184</v>
      </c>
      <c r="G163" s="203" t="s">
        <v>534</v>
      </c>
      <c r="H163" s="205">
        <v>0</v>
      </c>
      <c r="I163" s="205">
        <v>0</v>
      </c>
      <c r="J163" s="206"/>
      <c r="K163" s="205">
        <v>0</v>
      </c>
      <c r="L163" s="205">
        <v>0</v>
      </c>
      <c r="M163" s="205">
        <v>0</v>
      </c>
      <c r="N163" s="206"/>
      <c r="O163" s="205">
        <v>0</v>
      </c>
      <c r="P163" s="205">
        <v>0</v>
      </c>
      <c r="Q163" s="205">
        <v>0</v>
      </c>
      <c r="R163" s="206"/>
      <c r="S163" s="205">
        <v>0</v>
      </c>
      <c r="T163" s="205">
        <v>0</v>
      </c>
      <c r="U163" s="205">
        <v>0</v>
      </c>
      <c r="V163" s="195"/>
    </row>
    <row r="164" spans="1:22" x14ac:dyDescent="0.25">
      <c r="A164" s="202">
        <v>2021</v>
      </c>
      <c r="B164" s="202" t="s">
        <v>823</v>
      </c>
      <c r="C164" s="203" t="s">
        <v>185</v>
      </c>
      <c r="D164" s="204" t="s">
        <v>821</v>
      </c>
      <c r="E164" s="204" t="s">
        <v>821</v>
      </c>
      <c r="F164" s="204" t="s">
        <v>185</v>
      </c>
      <c r="G164" s="203" t="s">
        <v>535</v>
      </c>
      <c r="H164" s="205">
        <v>1</v>
      </c>
      <c r="I164" s="205">
        <v>1</v>
      </c>
      <c r="J164" s="206"/>
      <c r="K164" s="205">
        <v>27629.25</v>
      </c>
      <c r="L164" s="205">
        <v>13814.63</v>
      </c>
      <c r="M164" s="205">
        <v>13814.62</v>
      </c>
      <c r="N164" s="206"/>
      <c r="O164" s="205">
        <v>9937.75</v>
      </c>
      <c r="P164" s="205">
        <v>4968.88</v>
      </c>
      <c r="Q164" s="205">
        <v>4968.87</v>
      </c>
      <c r="R164" s="206"/>
      <c r="S164" s="205">
        <v>37567</v>
      </c>
      <c r="T164" s="205">
        <v>18783.509999999998</v>
      </c>
      <c r="U164" s="205">
        <v>18783.490000000002</v>
      </c>
      <c r="V164" s="195"/>
    </row>
    <row r="165" spans="1:22" x14ac:dyDescent="0.25">
      <c r="A165" s="202">
        <v>2021</v>
      </c>
      <c r="B165" s="202" t="s">
        <v>823</v>
      </c>
      <c r="C165" s="203" t="s">
        <v>186</v>
      </c>
      <c r="D165" s="204" t="s">
        <v>821</v>
      </c>
      <c r="E165" s="204" t="s">
        <v>821</v>
      </c>
      <c r="F165" s="204" t="s">
        <v>186</v>
      </c>
      <c r="G165" s="203" t="s">
        <v>536</v>
      </c>
      <c r="H165" s="205">
        <v>0</v>
      </c>
      <c r="I165" s="205">
        <v>1</v>
      </c>
      <c r="J165" s="206"/>
      <c r="K165" s="205">
        <v>86645.25</v>
      </c>
      <c r="L165" s="205">
        <v>0</v>
      </c>
      <c r="M165" s="205">
        <v>86645.25</v>
      </c>
      <c r="N165" s="206"/>
      <c r="O165" s="205">
        <v>36423.75</v>
      </c>
      <c r="P165" s="205">
        <v>0</v>
      </c>
      <c r="Q165" s="205">
        <v>36423.75</v>
      </c>
      <c r="R165" s="206"/>
      <c r="S165" s="205">
        <v>123069</v>
      </c>
      <c r="T165" s="205">
        <v>0</v>
      </c>
      <c r="U165" s="205">
        <v>123069</v>
      </c>
      <c r="V165" s="195"/>
    </row>
    <row r="166" spans="1:22" x14ac:dyDescent="0.25">
      <c r="A166" s="202">
        <v>2021</v>
      </c>
      <c r="B166" s="202" t="s">
        <v>827</v>
      </c>
      <c r="C166" s="203" t="s">
        <v>188</v>
      </c>
      <c r="D166" s="204" t="s">
        <v>821</v>
      </c>
      <c r="E166" s="204" t="s">
        <v>821</v>
      </c>
      <c r="F166" s="204" t="s">
        <v>188</v>
      </c>
      <c r="G166" s="203" t="s">
        <v>538</v>
      </c>
      <c r="H166" s="205">
        <v>0</v>
      </c>
      <c r="I166" s="205">
        <v>0</v>
      </c>
      <c r="J166" s="206"/>
      <c r="K166" s="205">
        <v>0</v>
      </c>
      <c r="L166" s="205">
        <v>0</v>
      </c>
      <c r="M166" s="205">
        <v>0</v>
      </c>
      <c r="N166" s="206"/>
      <c r="O166" s="205">
        <v>0</v>
      </c>
      <c r="P166" s="205">
        <v>0</v>
      </c>
      <c r="Q166" s="205">
        <v>0</v>
      </c>
      <c r="R166" s="206"/>
      <c r="S166" s="205">
        <v>0</v>
      </c>
      <c r="T166" s="205">
        <v>0</v>
      </c>
      <c r="U166" s="205">
        <v>0</v>
      </c>
      <c r="V166" s="195"/>
    </row>
    <row r="167" spans="1:22" x14ac:dyDescent="0.25">
      <c r="A167" s="202">
        <v>2021</v>
      </c>
      <c r="B167" s="202" t="s">
        <v>827</v>
      </c>
      <c r="C167" s="203" t="s">
        <v>189</v>
      </c>
      <c r="D167" s="204" t="s">
        <v>821</v>
      </c>
      <c r="E167" s="204" t="s">
        <v>821</v>
      </c>
      <c r="F167" s="204" t="s">
        <v>189</v>
      </c>
      <c r="G167" s="203" t="s">
        <v>539</v>
      </c>
      <c r="H167" s="205">
        <v>0</v>
      </c>
      <c r="I167" s="205">
        <v>1</v>
      </c>
      <c r="J167" s="206"/>
      <c r="K167" s="205">
        <v>29459.25</v>
      </c>
      <c r="L167" s="205">
        <v>0</v>
      </c>
      <c r="M167" s="205">
        <v>29459.25</v>
      </c>
      <c r="N167" s="206"/>
      <c r="O167" s="205">
        <v>10457.75</v>
      </c>
      <c r="P167" s="205">
        <v>0</v>
      </c>
      <c r="Q167" s="205">
        <v>10457.75</v>
      </c>
      <c r="R167" s="206"/>
      <c r="S167" s="205">
        <v>39917</v>
      </c>
      <c r="T167" s="205">
        <v>0</v>
      </c>
      <c r="U167" s="205">
        <v>39917</v>
      </c>
      <c r="V167" s="195"/>
    </row>
    <row r="168" spans="1:22" x14ac:dyDescent="0.25">
      <c r="A168" s="202">
        <v>2021</v>
      </c>
      <c r="B168" s="202" t="s">
        <v>823</v>
      </c>
      <c r="C168" s="203" t="s">
        <v>190</v>
      </c>
      <c r="D168" s="204" t="s">
        <v>821</v>
      </c>
      <c r="E168" s="204" t="s">
        <v>821</v>
      </c>
      <c r="F168" s="204" t="s">
        <v>190</v>
      </c>
      <c r="G168" s="203" t="s">
        <v>540</v>
      </c>
      <c r="H168" s="205">
        <v>0</v>
      </c>
      <c r="I168" s="205">
        <v>7</v>
      </c>
      <c r="J168" s="206"/>
      <c r="K168" s="205">
        <v>126740.25</v>
      </c>
      <c r="L168" s="205">
        <v>0</v>
      </c>
      <c r="M168" s="205">
        <v>126740.25</v>
      </c>
      <c r="N168" s="206"/>
      <c r="O168" s="205">
        <v>47082.75</v>
      </c>
      <c r="P168" s="205">
        <v>0</v>
      </c>
      <c r="Q168" s="205">
        <v>47082.75</v>
      </c>
      <c r="R168" s="206"/>
      <c r="S168" s="205">
        <v>173823</v>
      </c>
      <c r="T168" s="205">
        <v>0</v>
      </c>
      <c r="U168" s="205">
        <v>173823</v>
      </c>
      <c r="V168" s="195"/>
    </row>
    <row r="169" spans="1:22" x14ac:dyDescent="0.25">
      <c r="A169" s="202">
        <v>2021</v>
      </c>
      <c r="B169" s="202" t="s">
        <v>827</v>
      </c>
      <c r="C169" s="203" t="s">
        <v>191</v>
      </c>
      <c r="D169" s="204" t="s">
        <v>821</v>
      </c>
      <c r="E169" s="204" t="s">
        <v>821</v>
      </c>
      <c r="F169" s="204" t="s">
        <v>191</v>
      </c>
      <c r="G169" s="203" t="s">
        <v>541</v>
      </c>
      <c r="H169" s="205">
        <v>0</v>
      </c>
      <c r="I169" s="205">
        <v>6</v>
      </c>
      <c r="J169" s="206"/>
      <c r="K169" s="205">
        <v>100948.5</v>
      </c>
      <c r="L169" s="205">
        <v>0</v>
      </c>
      <c r="M169" s="205">
        <v>100948.5</v>
      </c>
      <c r="N169" s="206"/>
      <c r="O169" s="205">
        <v>37534.5</v>
      </c>
      <c r="P169" s="205">
        <v>0</v>
      </c>
      <c r="Q169" s="205">
        <v>37534.5</v>
      </c>
      <c r="R169" s="206"/>
      <c r="S169" s="205">
        <v>138483</v>
      </c>
      <c r="T169" s="205">
        <v>0</v>
      </c>
      <c r="U169" s="205">
        <v>138483</v>
      </c>
      <c r="V169" s="195"/>
    </row>
    <row r="170" spans="1:22" x14ac:dyDescent="0.25">
      <c r="A170" s="202">
        <v>2021</v>
      </c>
      <c r="B170" s="202" t="s">
        <v>830</v>
      </c>
      <c r="C170" s="203" t="s">
        <v>192</v>
      </c>
      <c r="D170" s="204" t="s">
        <v>821</v>
      </c>
      <c r="E170" s="204" t="s">
        <v>821</v>
      </c>
      <c r="F170" s="204" t="s">
        <v>192</v>
      </c>
      <c r="G170" s="203" t="s">
        <v>542</v>
      </c>
      <c r="H170" s="205">
        <v>0</v>
      </c>
      <c r="I170" s="205">
        <v>9</v>
      </c>
      <c r="J170" s="206"/>
      <c r="K170" s="205">
        <v>289065.75</v>
      </c>
      <c r="L170" s="205">
        <v>0</v>
      </c>
      <c r="M170" s="205">
        <v>289065.75</v>
      </c>
      <c r="N170" s="206"/>
      <c r="O170" s="205">
        <v>102890.25</v>
      </c>
      <c r="P170" s="205">
        <v>0</v>
      </c>
      <c r="Q170" s="205">
        <v>102890.25</v>
      </c>
      <c r="R170" s="206"/>
      <c r="S170" s="205">
        <v>391956</v>
      </c>
      <c r="T170" s="205">
        <v>0</v>
      </c>
      <c r="U170" s="205">
        <v>391956</v>
      </c>
      <c r="V170" s="195"/>
    </row>
    <row r="171" spans="1:22" x14ac:dyDescent="0.25">
      <c r="A171" s="202">
        <v>2021</v>
      </c>
      <c r="B171" s="202" t="s">
        <v>825</v>
      </c>
      <c r="C171" s="203" t="s">
        <v>193</v>
      </c>
      <c r="D171" s="204" t="s">
        <v>821</v>
      </c>
      <c r="E171" s="204" t="s">
        <v>821</v>
      </c>
      <c r="F171" s="204" t="s">
        <v>193</v>
      </c>
      <c r="G171" s="203" t="s">
        <v>543</v>
      </c>
      <c r="H171" s="205">
        <v>0</v>
      </c>
      <c r="I171" s="205">
        <v>13</v>
      </c>
      <c r="J171" s="206"/>
      <c r="K171" s="205">
        <v>110341.5</v>
      </c>
      <c r="L171" s="205">
        <v>0</v>
      </c>
      <c r="M171" s="205">
        <v>110341.5</v>
      </c>
      <c r="N171" s="206"/>
      <c r="O171" s="205">
        <v>44773.5</v>
      </c>
      <c r="P171" s="205">
        <v>0</v>
      </c>
      <c r="Q171" s="205">
        <v>44773.5</v>
      </c>
      <c r="R171" s="206"/>
      <c r="S171" s="205">
        <v>155115</v>
      </c>
      <c r="T171" s="205">
        <v>0</v>
      </c>
      <c r="U171" s="205">
        <v>155115</v>
      </c>
      <c r="V171" s="195"/>
    </row>
    <row r="172" spans="1:22" x14ac:dyDescent="0.25">
      <c r="A172" s="202">
        <v>2021</v>
      </c>
      <c r="B172" s="202" t="s">
        <v>820</v>
      </c>
      <c r="C172" s="203" t="s">
        <v>194</v>
      </c>
      <c r="D172" s="204" t="s">
        <v>821</v>
      </c>
      <c r="E172" s="204" t="s">
        <v>821</v>
      </c>
      <c r="F172" s="204" t="s">
        <v>194</v>
      </c>
      <c r="G172" s="203" t="s">
        <v>544</v>
      </c>
      <c r="H172" s="205">
        <v>0</v>
      </c>
      <c r="I172" s="205">
        <v>6</v>
      </c>
      <c r="J172" s="206"/>
      <c r="K172" s="205">
        <v>155205.75</v>
      </c>
      <c r="L172" s="205">
        <v>0</v>
      </c>
      <c r="M172" s="205">
        <v>155205.75</v>
      </c>
      <c r="N172" s="206"/>
      <c r="O172" s="205">
        <v>100225.25</v>
      </c>
      <c r="P172" s="205">
        <v>0</v>
      </c>
      <c r="Q172" s="205">
        <v>100225.25</v>
      </c>
      <c r="R172" s="206"/>
      <c r="S172" s="205">
        <v>255431</v>
      </c>
      <c r="T172" s="205">
        <v>0</v>
      </c>
      <c r="U172" s="205">
        <v>255431</v>
      </c>
      <c r="V172" s="195"/>
    </row>
    <row r="173" spans="1:22" x14ac:dyDescent="0.25">
      <c r="A173" s="202">
        <v>2021</v>
      </c>
      <c r="B173" s="202" t="s">
        <v>820</v>
      </c>
      <c r="C173" s="203" t="s">
        <v>195</v>
      </c>
      <c r="D173" s="204" t="s">
        <v>821</v>
      </c>
      <c r="E173" s="204" t="s">
        <v>821</v>
      </c>
      <c r="F173" s="204" t="s">
        <v>195</v>
      </c>
      <c r="G173" s="203" t="s">
        <v>545</v>
      </c>
      <c r="H173" s="205">
        <v>0</v>
      </c>
      <c r="I173" s="205">
        <v>6</v>
      </c>
      <c r="J173" s="206"/>
      <c r="K173" s="205">
        <v>195157.5</v>
      </c>
      <c r="L173" s="205">
        <v>0</v>
      </c>
      <c r="M173" s="205">
        <v>195157.5</v>
      </c>
      <c r="N173" s="206"/>
      <c r="O173" s="205">
        <v>70722.5</v>
      </c>
      <c r="P173" s="205">
        <v>0</v>
      </c>
      <c r="Q173" s="205">
        <v>70722.5</v>
      </c>
      <c r="R173" s="206"/>
      <c r="S173" s="205">
        <v>265880</v>
      </c>
      <c r="T173" s="205">
        <v>0</v>
      </c>
      <c r="U173" s="205">
        <v>265880</v>
      </c>
      <c r="V173" s="195"/>
    </row>
    <row r="174" spans="1:22" x14ac:dyDescent="0.25">
      <c r="A174" s="202">
        <v>2021</v>
      </c>
      <c r="B174" s="202" t="s">
        <v>825</v>
      </c>
      <c r="C174" s="203" t="s">
        <v>197</v>
      </c>
      <c r="D174" s="204" t="s">
        <v>821</v>
      </c>
      <c r="E174" s="204" t="s">
        <v>821</v>
      </c>
      <c r="F174" s="204" t="s">
        <v>197</v>
      </c>
      <c r="G174" s="203" t="s">
        <v>547</v>
      </c>
      <c r="H174" s="205">
        <v>0</v>
      </c>
      <c r="I174" s="205">
        <v>7</v>
      </c>
      <c r="J174" s="206"/>
      <c r="K174" s="205">
        <v>312382.5</v>
      </c>
      <c r="L174" s="205">
        <v>0</v>
      </c>
      <c r="M174" s="205">
        <v>312382.5</v>
      </c>
      <c r="N174" s="206"/>
      <c r="O174" s="205">
        <v>117815.5</v>
      </c>
      <c r="P174" s="205">
        <v>0</v>
      </c>
      <c r="Q174" s="205">
        <v>117815.5</v>
      </c>
      <c r="R174" s="206"/>
      <c r="S174" s="205">
        <v>430198</v>
      </c>
      <c r="T174" s="205">
        <v>0</v>
      </c>
      <c r="U174" s="205">
        <v>430198</v>
      </c>
      <c r="V174" s="195"/>
    </row>
    <row r="175" spans="1:22" x14ac:dyDescent="0.25">
      <c r="A175" s="202">
        <v>2021</v>
      </c>
      <c r="B175" s="202" t="s">
        <v>824</v>
      </c>
      <c r="C175" s="203" t="s">
        <v>198</v>
      </c>
      <c r="D175" s="204" t="s">
        <v>835</v>
      </c>
      <c r="E175" s="204" t="s">
        <v>821</v>
      </c>
      <c r="F175" s="204" t="s">
        <v>198</v>
      </c>
      <c r="G175" s="203" t="s">
        <v>548</v>
      </c>
      <c r="H175" s="205">
        <v>0</v>
      </c>
      <c r="I175" s="205">
        <v>4</v>
      </c>
      <c r="J175" s="206"/>
      <c r="K175" s="205">
        <v>110871</v>
      </c>
      <c r="L175" s="205">
        <v>0</v>
      </c>
      <c r="M175" s="205">
        <v>110871</v>
      </c>
      <c r="N175" s="206"/>
      <c r="O175" s="205">
        <v>40230</v>
      </c>
      <c r="P175" s="205">
        <v>0</v>
      </c>
      <c r="Q175" s="205">
        <v>40230</v>
      </c>
      <c r="R175" s="206"/>
      <c r="S175" s="205">
        <v>151101</v>
      </c>
      <c r="T175" s="205">
        <v>0</v>
      </c>
      <c r="U175" s="205">
        <v>151101</v>
      </c>
      <c r="V175" s="195"/>
    </row>
    <row r="176" spans="1:22" x14ac:dyDescent="0.25">
      <c r="A176" s="202">
        <v>2021</v>
      </c>
      <c r="B176" s="202" t="s">
        <v>830</v>
      </c>
      <c r="C176" s="203" t="s">
        <v>199</v>
      </c>
      <c r="D176" s="204" t="s">
        <v>821</v>
      </c>
      <c r="E176" s="204" t="s">
        <v>821</v>
      </c>
      <c r="F176" s="204" t="s">
        <v>199</v>
      </c>
      <c r="G176" s="203" t="s">
        <v>549</v>
      </c>
      <c r="H176" s="205">
        <v>0</v>
      </c>
      <c r="I176" s="205">
        <v>9</v>
      </c>
      <c r="J176" s="206"/>
      <c r="K176" s="205">
        <v>489944.25</v>
      </c>
      <c r="L176" s="205">
        <v>0</v>
      </c>
      <c r="M176" s="205">
        <v>489944.25</v>
      </c>
      <c r="N176" s="206"/>
      <c r="O176" s="205">
        <v>174151.75</v>
      </c>
      <c r="P176" s="205">
        <v>0</v>
      </c>
      <c r="Q176" s="205">
        <v>174151.75</v>
      </c>
      <c r="R176" s="206"/>
      <c r="S176" s="205">
        <v>664096</v>
      </c>
      <c r="T176" s="205">
        <v>0</v>
      </c>
      <c r="U176" s="205">
        <v>664096</v>
      </c>
      <c r="V176" s="195"/>
    </row>
    <row r="177" spans="1:22" x14ac:dyDescent="0.25">
      <c r="A177" s="202">
        <v>2021</v>
      </c>
      <c r="B177" s="202" t="s">
        <v>829</v>
      </c>
      <c r="C177" s="203" t="s">
        <v>200</v>
      </c>
      <c r="D177" s="204" t="s">
        <v>821</v>
      </c>
      <c r="E177" s="204" t="s">
        <v>821</v>
      </c>
      <c r="F177" s="204" t="s">
        <v>200</v>
      </c>
      <c r="G177" s="203" t="s">
        <v>550</v>
      </c>
      <c r="H177" s="205">
        <v>0</v>
      </c>
      <c r="I177" s="205">
        <v>0</v>
      </c>
      <c r="J177" s="206"/>
      <c r="K177" s="205">
        <v>0</v>
      </c>
      <c r="L177" s="205">
        <v>0</v>
      </c>
      <c r="M177" s="205">
        <v>0</v>
      </c>
      <c r="N177" s="206"/>
      <c r="O177" s="205">
        <v>0</v>
      </c>
      <c r="P177" s="205">
        <v>0</v>
      </c>
      <c r="Q177" s="205">
        <v>0</v>
      </c>
      <c r="R177" s="206"/>
      <c r="S177" s="205">
        <v>0</v>
      </c>
      <c r="T177" s="205">
        <v>0</v>
      </c>
      <c r="U177" s="205">
        <v>0</v>
      </c>
      <c r="V177" s="195"/>
    </row>
    <row r="178" spans="1:22" x14ac:dyDescent="0.25">
      <c r="A178" s="202">
        <v>2021</v>
      </c>
      <c r="B178" s="202" t="s">
        <v>824</v>
      </c>
      <c r="C178" s="203" t="s">
        <v>201</v>
      </c>
      <c r="D178" s="204" t="s">
        <v>821</v>
      </c>
      <c r="E178" s="204" t="s">
        <v>821</v>
      </c>
      <c r="F178" s="204" t="s">
        <v>201</v>
      </c>
      <c r="G178" s="203" t="s">
        <v>551</v>
      </c>
      <c r="H178" s="205">
        <v>0</v>
      </c>
      <c r="I178" s="205">
        <v>8</v>
      </c>
      <c r="J178" s="206"/>
      <c r="K178" s="205">
        <v>180764.25</v>
      </c>
      <c r="L178" s="205">
        <v>0</v>
      </c>
      <c r="M178" s="205">
        <v>180764.25</v>
      </c>
      <c r="N178" s="206"/>
      <c r="O178" s="205">
        <v>66304.75</v>
      </c>
      <c r="P178" s="205">
        <v>0</v>
      </c>
      <c r="Q178" s="205">
        <v>66304.75</v>
      </c>
      <c r="R178" s="206"/>
      <c r="S178" s="205">
        <v>247069</v>
      </c>
      <c r="T178" s="205">
        <v>0</v>
      </c>
      <c r="U178" s="205">
        <v>247069</v>
      </c>
      <c r="V178" s="195"/>
    </row>
    <row r="179" spans="1:22" x14ac:dyDescent="0.25">
      <c r="A179" s="202">
        <v>2021</v>
      </c>
      <c r="B179" s="202" t="s">
        <v>827</v>
      </c>
      <c r="C179" s="203" t="s">
        <v>202</v>
      </c>
      <c r="D179" s="204" t="s">
        <v>821</v>
      </c>
      <c r="E179" s="204" t="s">
        <v>821</v>
      </c>
      <c r="F179" s="204" t="s">
        <v>202</v>
      </c>
      <c r="G179" s="203" t="s">
        <v>552</v>
      </c>
      <c r="H179" s="205">
        <v>2</v>
      </c>
      <c r="I179" s="205">
        <v>2</v>
      </c>
      <c r="J179" s="206"/>
      <c r="K179" s="205">
        <v>418875.75</v>
      </c>
      <c r="L179" s="205">
        <v>209437.88</v>
      </c>
      <c r="M179" s="205">
        <v>209437.87</v>
      </c>
      <c r="N179" s="206"/>
      <c r="O179" s="205">
        <v>149100.25</v>
      </c>
      <c r="P179" s="205">
        <v>74550.13</v>
      </c>
      <c r="Q179" s="205">
        <v>74550.12</v>
      </c>
      <c r="R179" s="206"/>
      <c r="S179" s="205">
        <v>567976</v>
      </c>
      <c r="T179" s="205">
        <v>283988.01</v>
      </c>
      <c r="U179" s="205">
        <v>283987.99</v>
      </c>
      <c r="V179" s="195"/>
    </row>
    <row r="180" spans="1:22" x14ac:dyDescent="0.25">
      <c r="A180" s="202">
        <v>2021</v>
      </c>
      <c r="B180" s="202" t="s">
        <v>822</v>
      </c>
      <c r="C180" s="203" t="s">
        <v>203</v>
      </c>
      <c r="D180" s="204" t="s">
        <v>821</v>
      </c>
      <c r="E180" s="204" t="s">
        <v>821</v>
      </c>
      <c r="F180" s="204" t="s">
        <v>203</v>
      </c>
      <c r="G180" s="203" t="s">
        <v>553</v>
      </c>
      <c r="H180" s="205">
        <v>0</v>
      </c>
      <c r="I180" s="205">
        <v>0</v>
      </c>
      <c r="J180" s="206"/>
      <c r="K180" s="205">
        <v>0</v>
      </c>
      <c r="L180" s="205">
        <v>0</v>
      </c>
      <c r="M180" s="205">
        <v>0</v>
      </c>
      <c r="N180" s="206"/>
      <c r="O180" s="205">
        <v>0</v>
      </c>
      <c r="P180" s="205">
        <v>0</v>
      </c>
      <c r="Q180" s="205">
        <v>0</v>
      </c>
      <c r="R180" s="206"/>
      <c r="S180" s="205">
        <v>0</v>
      </c>
      <c r="T180" s="205">
        <v>0</v>
      </c>
      <c r="U180" s="205">
        <v>0</v>
      </c>
      <c r="V180" s="195"/>
    </row>
    <row r="181" spans="1:22" x14ac:dyDescent="0.25">
      <c r="A181" s="202">
        <v>2021</v>
      </c>
      <c r="B181" s="202" t="s">
        <v>820</v>
      </c>
      <c r="C181" s="203" t="s">
        <v>204</v>
      </c>
      <c r="D181" s="204" t="s">
        <v>821</v>
      </c>
      <c r="E181" s="204" t="s">
        <v>821</v>
      </c>
      <c r="F181" s="204" t="s">
        <v>204</v>
      </c>
      <c r="G181" s="203" t="s">
        <v>554</v>
      </c>
      <c r="H181" s="205">
        <v>0</v>
      </c>
      <c r="I181" s="205">
        <v>1</v>
      </c>
      <c r="J181" s="206"/>
      <c r="K181" s="205">
        <v>30423.75</v>
      </c>
      <c r="L181" s="205">
        <v>0</v>
      </c>
      <c r="M181" s="205">
        <v>30423.75</v>
      </c>
      <c r="N181" s="206"/>
      <c r="O181" s="205">
        <v>12446.25</v>
      </c>
      <c r="P181" s="205">
        <v>0</v>
      </c>
      <c r="Q181" s="205">
        <v>12446.25</v>
      </c>
      <c r="R181" s="206"/>
      <c r="S181" s="205">
        <v>42870</v>
      </c>
      <c r="T181" s="205">
        <v>0</v>
      </c>
      <c r="U181" s="205">
        <v>42870</v>
      </c>
      <c r="V181" s="195"/>
    </row>
    <row r="182" spans="1:22" x14ac:dyDescent="0.25">
      <c r="A182" s="202">
        <v>2021</v>
      </c>
      <c r="B182" s="202" t="s">
        <v>822</v>
      </c>
      <c r="C182" s="203" t="s">
        <v>205</v>
      </c>
      <c r="D182" s="204" t="s">
        <v>821</v>
      </c>
      <c r="E182" s="204" t="s">
        <v>821</v>
      </c>
      <c r="F182" s="204" t="s">
        <v>205</v>
      </c>
      <c r="G182" s="203" t="s">
        <v>555</v>
      </c>
      <c r="H182" s="205">
        <v>0</v>
      </c>
      <c r="I182" s="205">
        <v>6</v>
      </c>
      <c r="J182" s="206"/>
      <c r="K182" s="205">
        <v>1201124.25</v>
      </c>
      <c r="L182" s="205">
        <v>0</v>
      </c>
      <c r="M182" s="205">
        <v>1201124.25</v>
      </c>
      <c r="N182" s="206"/>
      <c r="O182" s="205">
        <v>470986.75</v>
      </c>
      <c r="P182" s="205">
        <v>0</v>
      </c>
      <c r="Q182" s="205">
        <v>470986.75</v>
      </c>
      <c r="R182" s="206"/>
      <c r="S182" s="205">
        <v>1672111</v>
      </c>
      <c r="T182" s="205">
        <v>0</v>
      </c>
      <c r="U182" s="205">
        <v>1672111</v>
      </c>
      <c r="V182" s="195"/>
    </row>
    <row r="183" spans="1:22" x14ac:dyDescent="0.25">
      <c r="A183" s="202">
        <v>2021</v>
      </c>
      <c r="B183" s="202" t="s">
        <v>826</v>
      </c>
      <c r="C183" s="203" t="s">
        <v>207</v>
      </c>
      <c r="D183" s="204" t="s">
        <v>821</v>
      </c>
      <c r="E183" s="204" t="s">
        <v>821</v>
      </c>
      <c r="F183" s="204" t="s">
        <v>207</v>
      </c>
      <c r="G183" s="203" t="s">
        <v>557</v>
      </c>
      <c r="H183" s="205">
        <v>4</v>
      </c>
      <c r="I183" s="205">
        <v>6</v>
      </c>
      <c r="J183" s="206"/>
      <c r="K183" s="205">
        <v>392784.75</v>
      </c>
      <c r="L183" s="205">
        <v>157113.9</v>
      </c>
      <c r="M183" s="205">
        <v>235670.85</v>
      </c>
      <c r="N183" s="206"/>
      <c r="O183" s="205">
        <v>158294.25</v>
      </c>
      <c r="P183" s="205">
        <v>63317.7</v>
      </c>
      <c r="Q183" s="205">
        <v>94976.55</v>
      </c>
      <c r="R183" s="206"/>
      <c r="S183" s="205">
        <v>551079</v>
      </c>
      <c r="T183" s="205">
        <v>220431.59999999998</v>
      </c>
      <c r="U183" s="205">
        <v>330647.40000000002</v>
      </c>
      <c r="V183" s="195"/>
    </row>
    <row r="184" spans="1:22" x14ac:dyDescent="0.25">
      <c r="A184" s="202">
        <v>2021</v>
      </c>
      <c r="B184" s="202" t="s">
        <v>820</v>
      </c>
      <c r="C184" s="203" t="s">
        <v>208</v>
      </c>
      <c r="D184" s="204" t="s">
        <v>821</v>
      </c>
      <c r="E184" s="204" t="s">
        <v>821</v>
      </c>
      <c r="F184" s="204" t="s">
        <v>208</v>
      </c>
      <c r="G184" s="203" t="s">
        <v>558</v>
      </c>
      <c r="H184" s="205">
        <v>0</v>
      </c>
      <c r="I184" s="205">
        <v>2</v>
      </c>
      <c r="J184" s="206"/>
      <c r="K184" s="205">
        <v>19010.25</v>
      </c>
      <c r="L184" s="205">
        <v>0</v>
      </c>
      <c r="M184" s="205">
        <v>19010.25</v>
      </c>
      <c r="N184" s="206"/>
      <c r="O184" s="205">
        <v>6405.75</v>
      </c>
      <c r="P184" s="205">
        <v>0</v>
      </c>
      <c r="Q184" s="205">
        <v>6405.75</v>
      </c>
      <c r="R184" s="206"/>
      <c r="S184" s="205">
        <v>25416</v>
      </c>
      <c r="T184" s="205">
        <v>0</v>
      </c>
      <c r="U184" s="205">
        <v>25416</v>
      </c>
      <c r="V184" s="195"/>
    </row>
    <row r="185" spans="1:22" x14ac:dyDescent="0.25">
      <c r="A185" s="202">
        <v>2021</v>
      </c>
      <c r="B185" s="202" t="s">
        <v>829</v>
      </c>
      <c r="C185" s="203" t="s">
        <v>212</v>
      </c>
      <c r="D185" s="204" t="s">
        <v>821</v>
      </c>
      <c r="E185" s="204" t="s">
        <v>821</v>
      </c>
      <c r="F185" s="204" t="s">
        <v>212</v>
      </c>
      <c r="G185" s="203" t="s">
        <v>562</v>
      </c>
      <c r="H185" s="205">
        <v>4</v>
      </c>
      <c r="I185" s="205">
        <v>6</v>
      </c>
      <c r="J185" s="206"/>
      <c r="K185" s="205">
        <v>298019.25</v>
      </c>
      <c r="L185" s="205">
        <v>119207.7</v>
      </c>
      <c r="M185" s="205">
        <v>178811.55</v>
      </c>
      <c r="N185" s="206"/>
      <c r="O185" s="205">
        <v>109404.75</v>
      </c>
      <c r="P185" s="205">
        <v>43761.9</v>
      </c>
      <c r="Q185" s="205">
        <v>65642.850000000006</v>
      </c>
      <c r="R185" s="206"/>
      <c r="S185" s="205">
        <v>407424</v>
      </c>
      <c r="T185" s="205">
        <v>162969.60000000001</v>
      </c>
      <c r="U185" s="205">
        <v>244454.39999999999</v>
      </c>
      <c r="V185" s="195"/>
    </row>
    <row r="186" spans="1:22" x14ac:dyDescent="0.25">
      <c r="A186" s="202">
        <v>2021</v>
      </c>
      <c r="B186" s="202" t="s">
        <v>827</v>
      </c>
      <c r="C186" s="203" t="s">
        <v>209</v>
      </c>
      <c r="D186" s="204" t="s">
        <v>821</v>
      </c>
      <c r="E186" s="204" t="s">
        <v>821</v>
      </c>
      <c r="F186" s="204" t="s">
        <v>209</v>
      </c>
      <c r="G186" s="203" t="s">
        <v>559</v>
      </c>
      <c r="H186" s="205">
        <v>0</v>
      </c>
      <c r="I186" s="205">
        <v>12</v>
      </c>
      <c r="J186" s="206"/>
      <c r="K186" s="205">
        <v>219862.5</v>
      </c>
      <c r="L186" s="205">
        <v>0</v>
      </c>
      <c r="M186" s="205">
        <v>219862.5</v>
      </c>
      <c r="N186" s="206"/>
      <c r="O186" s="205">
        <v>78819.5</v>
      </c>
      <c r="P186" s="205">
        <v>0</v>
      </c>
      <c r="Q186" s="205">
        <v>78819.5</v>
      </c>
      <c r="R186" s="206"/>
      <c r="S186" s="205">
        <v>298682</v>
      </c>
      <c r="T186" s="205">
        <v>0</v>
      </c>
      <c r="U186" s="205">
        <v>298682</v>
      </c>
      <c r="V186" s="195"/>
    </row>
    <row r="187" spans="1:22" x14ac:dyDescent="0.25">
      <c r="A187" s="202">
        <v>2021</v>
      </c>
      <c r="B187" s="202" t="s">
        <v>827</v>
      </c>
      <c r="C187" s="203" t="s">
        <v>210</v>
      </c>
      <c r="D187" s="204" t="s">
        <v>821</v>
      </c>
      <c r="E187" s="204" t="s">
        <v>821</v>
      </c>
      <c r="F187" s="204" t="s">
        <v>210</v>
      </c>
      <c r="G187" s="203" t="s">
        <v>560</v>
      </c>
      <c r="H187" s="205">
        <v>5</v>
      </c>
      <c r="I187" s="205">
        <v>5</v>
      </c>
      <c r="J187" s="206"/>
      <c r="K187" s="205">
        <v>609366</v>
      </c>
      <c r="L187" s="205">
        <v>304683</v>
      </c>
      <c r="M187" s="205">
        <v>304683</v>
      </c>
      <c r="N187" s="206"/>
      <c r="O187" s="205">
        <v>228488</v>
      </c>
      <c r="P187" s="205">
        <v>114244</v>
      </c>
      <c r="Q187" s="205">
        <v>114244</v>
      </c>
      <c r="R187" s="206"/>
      <c r="S187" s="205">
        <v>837854</v>
      </c>
      <c r="T187" s="205">
        <v>418927</v>
      </c>
      <c r="U187" s="205">
        <v>418927</v>
      </c>
      <c r="V187" s="195"/>
    </row>
    <row r="188" spans="1:22" x14ac:dyDescent="0.25">
      <c r="A188" s="202">
        <v>2021</v>
      </c>
      <c r="B188" s="202" t="s">
        <v>823</v>
      </c>
      <c r="C188" s="203" t="s">
        <v>211</v>
      </c>
      <c r="D188" s="204" t="s">
        <v>821</v>
      </c>
      <c r="E188" s="204" t="s">
        <v>821</v>
      </c>
      <c r="F188" s="204" t="s">
        <v>211</v>
      </c>
      <c r="G188" s="203" t="s">
        <v>561</v>
      </c>
      <c r="H188" s="205">
        <v>0</v>
      </c>
      <c r="I188" s="205">
        <v>5</v>
      </c>
      <c r="J188" s="206"/>
      <c r="K188" s="205">
        <v>118284.75</v>
      </c>
      <c r="L188" s="205">
        <v>0</v>
      </c>
      <c r="M188" s="205">
        <v>118284.75</v>
      </c>
      <c r="N188" s="206"/>
      <c r="O188" s="205">
        <v>42939.25</v>
      </c>
      <c r="P188" s="205">
        <v>0</v>
      </c>
      <c r="Q188" s="205">
        <v>42939.25</v>
      </c>
      <c r="R188" s="206"/>
      <c r="S188" s="205">
        <v>161224</v>
      </c>
      <c r="T188" s="205">
        <v>0</v>
      </c>
      <c r="U188" s="205">
        <v>161224</v>
      </c>
      <c r="V188" s="195"/>
    </row>
    <row r="189" spans="1:22" x14ac:dyDescent="0.25">
      <c r="A189" s="202">
        <v>2021</v>
      </c>
      <c r="B189" s="202" t="s">
        <v>824</v>
      </c>
      <c r="C189" s="203" t="s">
        <v>206</v>
      </c>
      <c r="D189" s="204" t="s">
        <v>821</v>
      </c>
      <c r="E189" s="204" t="s">
        <v>821</v>
      </c>
      <c r="F189" s="204" t="s">
        <v>206</v>
      </c>
      <c r="G189" s="203" t="s">
        <v>556</v>
      </c>
      <c r="H189" s="205">
        <v>0</v>
      </c>
      <c r="I189" s="205">
        <v>3</v>
      </c>
      <c r="J189" s="206"/>
      <c r="K189" s="205">
        <v>242013.75</v>
      </c>
      <c r="L189" s="205">
        <v>0</v>
      </c>
      <c r="M189" s="205">
        <v>242013.75</v>
      </c>
      <c r="N189" s="206"/>
      <c r="O189" s="205">
        <v>94143.25</v>
      </c>
      <c r="P189" s="205">
        <v>0</v>
      </c>
      <c r="Q189" s="205">
        <v>94143.25</v>
      </c>
      <c r="R189" s="206"/>
      <c r="S189" s="205">
        <v>336157</v>
      </c>
      <c r="T189" s="205">
        <v>0</v>
      </c>
      <c r="U189" s="205">
        <v>336157</v>
      </c>
      <c r="V189" s="195"/>
    </row>
    <row r="190" spans="1:22" x14ac:dyDescent="0.25">
      <c r="A190" s="202">
        <v>2021</v>
      </c>
      <c r="B190" s="202" t="s">
        <v>822</v>
      </c>
      <c r="C190" s="203" t="s">
        <v>213</v>
      </c>
      <c r="D190" s="204" t="s">
        <v>821</v>
      </c>
      <c r="E190" s="204" t="s">
        <v>821</v>
      </c>
      <c r="F190" s="204" t="s">
        <v>213</v>
      </c>
      <c r="G190" s="203" t="s">
        <v>563</v>
      </c>
      <c r="H190" s="205">
        <v>0</v>
      </c>
      <c r="I190" s="205">
        <v>8</v>
      </c>
      <c r="J190" s="206"/>
      <c r="K190" s="205">
        <v>201207</v>
      </c>
      <c r="L190" s="205">
        <v>0</v>
      </c>
      <c r="M190" s="205">
        <v>201207</v>
      </c>
      <c r="N190" s="206"/>
      <c r="O190" s="205">
        <v>73658</v>
      </c>
      <c r="P190" s="205">
        <v>0</v>
      </c>
      <c r="Q190" s="205">
        <v>73658</v>
      </c>
      <c r="R190" s="206"/>
      <c r="S190" s="205">
        <v>274865</v>
      </c>
      <c r="T190" s="205">
        <v>0</v>
      </c>
      <c r="U190" s="205">
        <v>274865</v>
      </c>
      <c r="V190" s="195"/>
    </row>
    <row r="191" spans="1:22" x14ac:dyDescent="0.25">
      <c r="A191" s="202">
        <v>2021</v>
      </c>
      <c r="B191" s="202" t="s">
        <v>827</v>
      </c>
      <c r="C191" s="203" t="s">
        <v>214</v>
      </c>
      <c r="D191" s="204" t="s">
        <v>821</v>
      </c>
      <c r="E191" s="204" t="s">
        <v>821</v>
      </c>
      <c r="F191" s="204" t="s">
        <v>214</v>
      </c>
      <c r="G191" s="203" t="s">
        <v>564</v>
      </c>
      <c r="H191" s="205">
        <v>1</v>
      </c>
      <c r="I191" s="205">
        <v>1</v>
      </c>
      <c r="J191" s="206"/>
      <c r="K191" s="205">
        <v>92811</v>
      </c>
      <c r="L191" s="205">
        <v>46405.5</v>
      </c>
      <c r="M191" s="205">
        <v>46405.5</v>
      </c>
      <c r="N191" s="206"/>
      <c r="O191" s="205">
        <v>34020</v>
      </c>
      <c r="P191" s="205">
        <v>17010</v>
      </c>
      <c r="Q191" s="205">
        <v>17010</v>
      </c>
      <c r="R191" s="206"/>
      <c r="S191" s="205">
        <v>126831</v>
      </c>
      <c r="T191" s="205">
        <v>63415.5</v>
      </c>
      <c r="U191" s="205">
        <v>63415.5</v>
      </c>
      <c r="V191" s="195"/>
    </row>
    <row r="192" spans="1:22" x14ac:dyDescent="0.25">
      <c r="A192" s="202">
        <v>2021</v>
      </c>
      <c r="B192" s="202" t="s">
        <v>826</v>
      </c>
      <c r="C192" s="203" t="s">
        <v>215</v>
      </c>
      <c r="D192" s="204" t="s">
        <v>821</v>
      </c>
      <c r="E192" s="204" t="s">
        <v>821</v>
      </c>
      <c r="F192" s="204" t="s">
        <v>215</v>
      </c>
      <c r="G192" s="203" t="s">
        <v>565</v>
      </c>
      <c r="H192" s="205">
        <v>0</v>
      </c>
      <c r="I192" s="205">
        <v>11</v>
      </c>
      <c r="J192" s="206"/>
      <c r="K192" s="205">
        <v>128319.75</v>
      </c>
      <c r="L192" s="205">
        <v>0</v>
      </c>
      <c r="M192" s="205">
        <v>128319.75</v>
      </c>
      <c r="N192" s="206"/>
      <c r="O192" s="205">
        <v>45955.25</v>
      </c>
      <c r="P192" s="205">
        <v>0</v>
      </c>
      <c r="Q192" s="205">
        <v>45955.25</v>
      </c>
      <c r="R192" s="206"/>
      <c r="S192" s="205">
        <v>174275</v>
      </c>
      <c r="T192" s="205">
        <v>0</v>
      </c>
      <c r="U192" s="205">
        <v>174275</v>
      </c>
      <c r="V192" s="195"/>
    </row>
    <row r="193" spans="1:22" x14ac:dyDescent="0.25">
      <c r="A193" s="202">
        <v>2021</v>
      </c>
      <c r="B193" s="202" t="s">
        <v>823</v>
      </c>
      <c r="C193" s="203" t="s">
        <v>216</v>
      </c>
      <c r="D193" s="204" t="s">
        <v>821</v>
      </c>
      <c r="E193" s="204" t="s">
        <v>821</v>
      </c>
      <c r="F193" s="204" t="s">
        <v>216</v>
      </c>
      <c r="G193" s="203" t="s">
        <v>566</v>
      </c>
      <c r="H193" s="205">
        <v>0</v>
      </c>
      <c r="I193" s="205">
        <v>6</v>
      </c>
      <c r="J193" s="206"/>
      <c r="K193" s="205">
        <v>49109.25</v>
      </c>
      <c r="L193" s="205">
        <v>0</v>
      </c>
      <c r="M193" s="205">
        <v>49109.25</v>
      </c>
      <c r="N193" s="206"/>
      <c r="O193" s="205">
        <v>18253.75</v>
      </c>
      <c r="P193" s="205">
        <v>0</v>
      </c>
      <c r="Q193" s="205">
        <v>18253.75</v>
      </c>
      <c r="R193" s="206"/>
      <c r="S193" s="205">
        <v>67363</v>
      </c>
      <c r="T193" s="205">
        <v>0</v>
      </c>
      <c r="U193" s="205">
        <v>67363</v>
      </c>
      <c r="V193" s="195"/>
    </row>
    <row r="194" spans="1:22" x14ac:dyDescent="0.25">
      <c r="A194" s="202">
        <v>2021</v>
      </c>
      <c r="B194" s="202" t="s">
        <v>826</v>
      </c>
      <c r="C194" s="203" t="s">
        <v>217</v>
      </c>
      <c r="D194" s="204" t="s">
        <v>821</v>
      </c>
      <c r="E194" s="204" t="s">
        <v>821</v>
      </c>
      <c r="F194" s="204" t="s">
        <v>217</v>
      </c>
      <c r="G194" s="203" t="s">
        <v>567</v>
      </c>
      <c r="H194" s="205">
        <v>0</v>
      </c>
      <c r="I194" s="205">
        <v>7</v>
      </c>
      <c r="J194" s="206"/>
      <c r="K194" s="205">
        <v>54432.75</v>
      </c>
      <c r="L194" s="205">
        <v>0</v>
      </c>
      <c r="M194" s="205">
        <v>54432.75</v>
      </c>
      <c r="N194" s="206"/>
      <c r="O194" s="205">
        <v>19472.25</v>
      </c>
      <c r="P194" s="205">
        <v>0</v>
      </c>
      <c r="Q194" s="205">
        <v>19472.25</v>
      </c>
      <c r="R194" s="206"/>
      <c r="S194" s="205">
        <v>73905</v>
      </c>
      <c r="T194" s="205">
        <v>0</v>
      </c>
      <c r="U194" s="205">
        <v>73905</v>
      </c>
      <c r="V194" s="195"/>
    </row>
    <row r="195" spans="1:22" x14ac:dyDescent="0.25">
      <c r="A195" s="202">
        <v>2021</v>
      </c>
      <c r="B195" s="202" t="s">
        <v>826</v>
      </c>
      <c r="C195" s="203" t="s">
        <v>218</v>
      </c>
      <c r="D195" s="204" t="s">
        <v>821</v>
      </c>
      <c r="E195" s="204" t="s">
        <v>821</v>
      </c>
      <c r="F195" s="204" t="s">
        <v>218</v>
      </c>
      <c r="G195" s="203" t="s">
        <v>568</v>
      </c>
      <c r="H195" s="205">
        <v>0</v>
      </c>
      <c r="I195" s="205">
        <v>12</v>
      </c>
      <c r="J195" s="206"/>
      <c r="K195" s="205">
        <v>79012.5</v>
      </c>
      <c r="L195" s="205">
        <v>0</v>
      </c>
      <c r="M195" s="205">
        <v>79012.5</v>
      </c>
      <c r="N195" s="206"/>
      <c r="O195" s="205">
        <v>28247.5</v>
      </c>
      <c r="P195" s="205">
        <v>0</v>
      </c>
      <c r="Q195" s="205">
        <v>28247.5</v>
      </c>
      <c r="R195" s="206"/>
      <c r="S195" s="205">
        <v>107260</v>
      </c>
      <c r="T195" s="205">
        <v>0</v>
      </c>
      <c r="U195" s="205">
        <v>107260</v>
      </c>
      <c r="V195" s="195"/>
    </row>
    <row r="196" spans="1:22" x14ac:dyDescent="0.25">
      <c r="A196" s="202">
        <v>2021</v>
      </c>
      <c r="B196" s="202" t="s">
        <v>823</v>
      </c>
      <c r="C196" s="203" t="s">
        <v>219</v>
      </c>
      <c r="D196" s="204" t="s">
        <v>821</v>
      </c>
      <c r="E196" s="204" t="s">
        <v>821</v>
      </c>
      <c r="F196" s="204" t="s">
        <v>219</v>
      </c>
      <c r="G196" s="203" t="s">
        <v>569</v>
      </c>
      <c r="H196" s="205">
        <v>0</v>
      </c>
      <c r="I196" s="205">
        <v>6</v>
      </c>
      <c r="J196" s="206"/>
      <c r="K196" s="205">
        <v>120887.25</v>
      </c>
      <c r="L196" s="205">
        <v>0</v>
      </c>
      <c r="M196" s="205">
        <v>120887.25</v>
      </c>
      <c r="N196" s="206"/>
      <c r="O196" s="205">
        <v>49455.75</v>
      </c>
      <c r="P196" s="205">
        <v>0</v>
      </c>
      <c r="Q196" s="205">
        <v>49455.75</v>
      </c>
      <c r="R196" s="206"/>
      <c r="S196" s="205">
        <v>170343</v>
      </c>
      <c r="T196" s="205">
        <v>0</v>
      </c>
      <c r="U196" s="205">
        <v>170343</v>
      </c>
      <c r="V196" s="195"/>
    </row>
    <row r="197" spans="1:22" x14ac:dyDescent="0.25">
      <c r="A197" s="202">
        <v>2021</v>
      </c>
      <c r="B197" s="202" t="s">
        <v>826</v>
      </c>
      <c r="C197" s="203" t="s">
        <v>220</v>
      </c>
      <c r="D197" s="204" t="s">
        <v>821</v>
      </c>
      <c r="E197" s="204" t="s">
        <v>821</v>
      </c>
      <c r="F197" s="204" t="s">
        <v>220</v>
      </c>
      <c r="G197" s="203" t="s">
        <v>570</v>
      </c>
      <c r="H197" s="205">
        <v>0</v>
      </c>
      <c r="I197" s="205">
        <v>5</v>
      </c>
      <c r="J197" s="206"/>
      <c r="K197" s="205">
        <v>365567.25</v>
      </c>
      <c r="L197" s="205">
        <v>0</v>
      </c>
      <c r="M197" s="205">
        <v>365567.25</v>
      </c>
      <c r="N197" s="206"/>
      <c r="O197" s="205">
        <v>138814.75</v>
      </c>
      <c r="P197" s="205">
        <v>0</v>
      </c>
      <c r="Q197" s="205">
        <v>138814.75</v>
      </c>
      <c r="R197" s="206"/>
      <c r="S197" s="205">
        <v>504382</v>
      </c>
      <c r="T197" s="205">
        <v>0</v>
      </c>
      <c r="U197" s="205">
        <v>504382</v>
      </c>
      <c r="V197" s="195"/>
    </row>
    <row r="198" spans="1:22" x14ac:dyDescent="0.25">
      <c r="A198" s="202">
        <v>2021</v>
      </c>
      <c r="B198" s="202" t="s">
        <v>827</v>
      </c>
      <c r="C198" s="203" t="s">
        <v>221</v>
      </c>
      <c r="D198" s="204" t="s">
        <v>821</v>
      </c>
      <c r="E198" s="204" t="s">
        <v>821</v>
      </c>
      <c r="F198" s="204" t="s">
        <v>221</v>
      </c>
      <c r="G198" s="203" t="s">
        <v>571</v>
      </c>
      <c r="H198" s="205">
        <v>0</v>
      </c>
      <c r="I198" s="205">
        <v>6</v>
      </c>
      <c r="J198" s="206"/>
      <c r="K198" s="205">
        <v>370137</v>
      </c>
      <c r="L198" s="205">
        <v>0</v>
      </c>
      <c r="M198" s="205">
        <v>370137</v>
      </c>
      <c r="N198" s="206"/>
      <c r="O198" s="205">
        <v>173978</v>
      </c>
      <c r="P198" s="205">
        <v>0</v>
      </c>
      <c r="Q198" s="205">
        <v>173978</v>
      </c>
      <c r="R198" s="206"/>
      <c r="S198" s="205">
        <v>544115</v>
      </c>
      <c r="T198" s="205">
        <v>0</v>
      </c>
      <c r="U198" s="205">
        <v>544115</v>
      </c>
      <c r="V198" s="195"/>
    </row>
    <row r="199" spans="1:22" x14ac:dyDescent="0.25">
      <c r="A199" s="202">
        <v>2021</v>
      </c>
      <c r="B199" s="202" t="s">
        <v>823</v>
      </c>
      <c r="C199" s="203" t="s">
        <v>222</v>
      </c>
      <c r="D199" s="204" t="s">
        <v>821</v>
      </c>
      <c r="E199" s="204" t="s">
        <v>821</v>
      </c>
      <c r="F199" s="204" t="s">
        <v>222</v>
      </c>
      <c r="G199" s="203" t="s">
        <v>572</v>
      </c>
      <c r="H199" s="205">
        <v>0</v>
      </c>
      <c r="I199" s="205">
        <v>12</v>
      </c>
      <c r="J199" s="206"/>
      <c r="K199" s="205">
        <v>91275.75</v>
      </c>
      <c r="L199" s="205">
        <v>0</v>
      </c>
      <c r="M199" s="205">
        <v>91275.75</v>
      </c>
      <c r="N199" s="206"/>
      <c r="O199" s="205">
        <v>37711.25</v>
      </c>
      <c r="P199" s="205">
        <v>0</v>
      </c>
      <c r="Q199" s="205">
        <v>37711.25</v>
      </c>
      <c r="R199" s="206"/>
      <c r="S199" s="205">
        <v>128987</v>
      </c>
      <c r="T199" s="205">
        <v>0</v>
      </c>
      <c r="U199" s="205">
        <v>128987</v>
      </c>
      <c r="V199" s="195"/>
    </row>
    <row r="200" spans="1:22" x14ac:dyDescent="0.25">
      <c r="A200" s="202">
        <v>2021</v>
      </c>
      <c r="B200" s="202" t="s">
        <v>830</v>
      </c>
      <c r="C200" s="203" t="s">
        <v>223</v>
      </c>
      <c r="D200" s="204" t="s">
        <v>821</v>
      </c>
      <c r="E200" s="204" t="s">
        <v>821</v>
      </c>
      <c r="F200" s="204" t="s">
        <v>223</v>
      </c>
      <c r="G200" s="203" t="s">
        <v>573</v>
      </c>
      <c r="H200" s="205">
        <v>0</v>
      </c>
      <c r="I200" s="205">
        <v>1</v>
      </c>
      <c r="J200" s="206"/>
      <c r="K200" s="205">
        <v>211697.25</v>
      </c>
      <c r="L200" s="205">
        <v>0</v>
      </c>
      <c r="M200" s="205">
        <v>211697.25</v>
      </c>
      <c r="N200" s="206"/>
      <c r="O200" s="205">
        <v>84931.75</v>
      </c>
      <c r="P200" s="205">
        <v>0</v>
      </c>
      <c r="Q200" s="205">
        <v>84931.75</v>
      </c>
      <c r="R200" s="206"/>
      <c r="S200" s="205">
        <v>296629</v>
      </c>
      <c r="T200" s="205">
        <v>0</v>
      </c>
      <c r="U200" s="205">
        <v>296629</v>
      </c>
      <c r="V200" s="195"/>
    </row>
    <row r="201" spans="1:22" x14ac:dyDescent="0.25">
      <c r="A201" s="202">
        <v>2021</v>
      </c>
      <c r="B201" s="202" t="s">
        <v>822</v>
      </c>
      <c r="C201" s="203" t="s">
        <v>224</v>
      </c>
      <c r="D201" s="204" t="s">
        <v>821</v>
      </c>
      <c r="E201" s="204" t="s">
        <v>821</v>
      </c>
      <c r="F201" s="204" t="s">
        <v>224</v>
      </c>
      <c r="G201" s="203" t="s">
        <v>574</v>
      </c>
      <c r="H201" s="205">
        <v>0</v>
      </c>
      <c r="I201" s="205">
        <v>9</v>
      </c>
      <c r="J201" s="206"/>
      <c r="K201" s="205">
        <v>239208.75</v>
      </c>
      <c r="L201" s="205">
        <v>0</v>
      </c>
      <c r="M201" s="205">
        <v>239208.75</v>
      </c>
      <c r="N201" s="206"/>
      <c r="O201" s="205">
        <v>82581.25</v>
      </c>
      <c r="P201" s="205">
        <v>0</v>
      </c>
      <c r="Q201" s="205">
        <v>82581.25</v>
      </c>
      <c r="R201" s="206"/>
      <c r="S201" s="205">
        <v>321790</v>
      </c>
      <c r="T201" s="205">
        <v>0</v>
      </c>
      <c r="U201" s="205">
        <v>321790</v>
      </c>
      <c r="V201" s="195"/>
    </row>
    <row r="202" spans="1:22" x14ac:dyDescent="0.25">
      <c r="A202" s="202">
        <v>2021</v>
      </c>
      <c r="B202" s="202" t="s">
        <v>820</v>
      </c>
      <c r="C202" s="203" t="s">
        <v>225</v>
      </c>
      <c r="D202" s="204" t="s">
        <v>821</v>
      </c>
      <c r="E202" s="204" t="s">
        <v>821</v>
      </c>
      <c r="F202" s="204" t="s">
        <v>225</v>
      </c>
      <c r="G202" s="203" t="s">
        <v>575</v>
      </c>
      <c r="H202" s="205">
        <v>0</v>
      </c>
      <c r="I202" s="205">
        <v>5</v>
      </c>
      <c r="J202" s="206"/>
      <c r="K202" s="205">
        <v>340386</v>
      </c>
      <c r="L202" s="205">
        <v>0</v>
      </c>
      <c r="M202" s="205">
        <v>340386</v>
      </c>
      <c r="N202" s="206"/>
      <c r="O202" s="205">
        <v>133522</v>
      </c>
      <c r="P202" s="205">
        <v>0</v>
      </c>
      <c r="Q202" s="205">
        <v>133522</v>
      </c>
      <c r="R202" s="206"/>
      <c r="S202" s="205">
        <v>473908</v>
      </c>
      <c r="T202" s="205">
        <v>0</v>
      </c>
      <c r="U202" s="205">
        <v>473908</v>
      </c>
      <c r="V202" s="195"/>
    </row>
    <row r="203" spans="1:22" x14ac:dyDescent="0.25">
      <c r="A203" s="202">
        <v>2021</v>
      </c>
      <c r="B203" s="202" t="s">
        <v>829</v>
      </c>
      <c r="C203" s="203" t="s">
        <v>227</v>
      </c>
      <c r="D203" s="204" t="s">
        <v>821</v>
      </c>
      <c r="E203" s="204" t="s">
        <v>821</v>
      </c>
      <c r="F203" s="204" t="s">
        <v>227</v>
      </c>
      <c r="G203" s="203" t="s">
        <v>577</v>
      </c>
      <c r="H203" s="205">
        <v>0</v>
      </c>
      <c r="I203" s="205">
        <v>7</v>
      </c>
      <c r="J203" s="206"/>
      <c r="K203" s="205">
        <v>337826.25</v>
      </c>
      <c r="L203" s="205">
        <v>0</v>
      </c>
      <c r="M203" s="205">
        <v>337826.25</v>
      </c>
      <c r="N203" s="206"/>
      <c r="O203" s="205">
        <v>197600.75</v>
      </c>
      <c r="P203" s="205">
        <v>0</v>
      </c>
      <c r="Q203" s="205">
        <v>197600.75</v>
      </c>
      <c r="R203" s="206"/>
      <c r="S203" s="205">
        <v>535427</v>
      </c>
      <c r="T203" s="205">
        <v>0</v>
      </c>
      <c r="U203" s="205">
        <v>535427</v>
      </c>
      <c r="V203" s="195"/>
    </row>
    <row r="204" spans="1:22" x14ac:dyDescent="0.25">
      <c r="A204" s="202">
        <v>2021</v>
      </c>
      <c r="B204" s="202" t="s">
        <v>826</v>
      </c>
      <c r="C204" s="203" t="s">
        <v>228</v>
      </c>
      <c r="D204" s="204" t="s">
        <v>821</v>
      </c>
      <c r="E204" s="204" t="s">
        <v>821</v>
      </c>
      <c r="F204" s="204" t="s">
        <v>228</v>
      </c>
      <c r="G204" s="203" t="s">
        <v>578</v>
      </c>
      <c r="H204" s="205">
        <v>2</v>
      </c>
      <c r="I204" s="205">
        <v>7</v>
      </c>
      <c r="J204" s="206"/>
      <c r="K204" s="205">
        <v>181613.25</v>
      </c>
      <c r="L204" s="205">
        <v>40358.5</v>
      </c>
      <c r="M204" s="205">
        <v>141254.75</v>
      </c>
      <c r="N204" s="206"/>
      <c r="O204" s="205">
        <v>63498.75</v>
      </c>
      <c r="P204" s="205">
        <v>14110.83</v>
      </c>
      <c r="Q204" s="205">
        <v>49387.92</v>
      </c>
      <c r="R204" s="206"/>
      <c r="S204" s="205">
        <v>245112</v>
      </c>
      <c r="T204" s="205">
        <v>54469.33</v>
      </c>
      <c r="U204" s="205">
        <v>190642.66999999998</v>
      </c>
      <c r="V204" s="195"/>
    </row>
    <row r="205" spans="1:22" x14ac:dyDescent="0.25">
      <c r="A205" s="202">
        <v>2021</v>
      </c>
      <c r="B205" s="202" t="s">
        <v>825</v>
      </c>
      <c r="C205" s="203" t="s">
        <v>226</v>
      </c>
      <c r="D205" s="204" t="s">
        <v>821</v>
      </c>
      <c r="E205" s="204" t="s">
        <v>821</v>
      </c>
      <c r="F205" s="204" t="s">
        <v>226</v>
      </c>
      <c r="G205" s="203" t="s">
        <v>576</v>
      </c>
      <c r="H205" s="205">
        <v>0</v>
      </c>
      <c r="I205" s="205">
        <v>10</v>
      </c>
      <c r="J205" s="206"/>
      <c r="K205" s="205">
        <v>185259.75</v>
      </c>
      <c r="L205" s="205">
        <v>0</v>
      </c>
      <c r="M205" s="205">
        <v>185259.75</v>
      </c>
      <c r="N205" s="206"/>
      <c r="O205" s="205">
        <v>66939.25</v>
      </c>
      <c r="P205" s="205">
        <v>0</v>
      </c>
      <c r="Q205" s="205">
        <v>66939.25</v>
      </c>
      <c r="R205" s="206"/>
      <c r="S205" s="205">
        <v>252199</v>
      </c>
      <c r="T205" s="205">
        <v>0</v>
      </c>
      <c r="U205" s="205">
        <v>252199</v>
      </c>
      <c r="V205" s="195"/>
    </row>
    <row r="206" spans="1:22" x14ac:dyDescent="0.25">
      <c r="A206" s="202">
        <v>2021</v>
      </c>
      <c r="B206" s="202" t="s">
        <v>820</v>
      </c>
      <c r="C206" s="203" t="s">
        <v>229</v>
      </c>
      <c r="D206" s="204" t="s">
        <v>821</v>
      </c>
      <c r="E206" s="204" t="s">
        <v>821</v>
      </c>
      <c r="F206" s="204" t="s">
        <v>229</v>
      </c>
      <c r="G206" s="203" t="s">
        <v>579</v>
      </c>
      <c r="H206" s="205">
        <v>0</v>
      </c>
      <c r="I206" s="205">
        <v>7</v>
      </c>
      <c r="J206" s="206"/>
      <c r="K206" s="205">
        <v>907971.75</v>
      </c>
      <c r="L206" s="205">
        <v>0</v>
      </c>
      <c r="M206" s="205">
        <v>907971.75</v>
      </c>
      <c r="N206" s="206"/>
      <c r="O206" s="205">
        <v>374920.25</v>
      </c>
      <c r="P206" s="205">
        <v>0</v>
      </c>
      <c r="Q206" s="205">
        <v>374920.25</v>
      </c>
      <c r="R206" s="206"/>
      <c r="S206" s="205">
        <v>1282892</v>
      </c>
      <c r="T206" s="205">
        <v>0</v>
      </c>
      <c r="U206" s="205">
        <v>1282892</v>
      </c>
      <c r="V206" s="195"/>
    </row>
    <row r="207" spans="1:22" x14ac:dyDescent="0.25">
      <c r="A207" s="202">
        <v>2021</v>
      </c>
      <c r="B207" s="202" t="s">
        <v>823</v>
      </c>
      <c r="C207" s="203" t="s">
        <v>144</v>
      </c>
      <c r="D207" s="204" t="s">
        <v>821</v>
      </c>
      <c r="E207" s="204" t="s">
        <v>821</v>
      </c>
      <c r="F207" s="204" t="s">
        <v>144</v>
      </c>
      <c r="G207" s="203" t="s">
        <v>497</v>
      </c>
      <c r="H207" s="205">
        <v>0</v>
      </c>
      <c r="I207" s="205">
        <v>2</v>
      </c>
      <c r="J207" s="206"/>
      <c r="K207" s="205">
        <v>50500.5</v>
      </c>
      <c r="L207" s="205">
        <v>0</v>
      </c>
      <c r="M207" s="205">
        <v>50500.5</v>
      </c>
      <c r="N207" s="206"/>
      <c r="O207" s="205">
        <v>17875.5</v>
      </c>
      <c r="P207" s="205">
        <v>0</v>
      </c>
      <c r="Q207" s="205">
        <v>17875.5</v>
      </c>
      <c r="R207" s="206"/>
      <c r="S207" s="205">
        <v>68376</v>
      </c>
      <c r="T207" s="205">
        <v>0</v>
      </c>
      <c r="U207" s="205">
        <v>68376</v>
      </c>
      <c r="V207" s="195"/>
    </row>
    <row r="208" spans="1:22" x14ac:dyDescent="0.25">
      <c r="A208" s="202">
        <v>2021</v>
      </c>
      <c r="B208" s="202" t="s">
        <v>822</v>
      </c>
      <c r="C208" s="203" t="s">
        <v>30</v>
      </c>
      <c r="D208" s="204" t="s">
        <v>836</v>
      </c>
      <c r="E208" s="204" t="s">
        <v>821</v>
      </c>
      <c r="F208" s="204" t="s">
        <v>30</v>
      </c>
      <c r="G208" s="203" t="s">
        <v>390</v>
      </c>
      <c r="H208" s="205">
        <v>0</v>
      </c>
      <c r="I208" s="205">
        <v>1</v>
      </c>
      <c r="J208" s="206"/>
      <c r="K208" s="205">
        <v>24085.5</v>
      </c>
      <c r="L208" s="205">
        <v>0</v>
      </c>
      <c r="M208" s="205">
        <v>24085.5</v>
      </c>
      <c r="N208" s="206"/>
      <c r="O208" s="205">
        <v>8797.5</v>
      </c>
      <c r="P208" s="205">
        <v>0</v>
      </c>
      <c r="Q208" s="205">
        <v>8797.5</v>
      </c>
      <c r="R208" s="206"/>
      <c r="S208" s="205">
        <v>32883</v>
      </c>
      <c r="T208" s="205">
        <v>0</v>
      </c>
      <c r="U208" s="205">
        <v>32883</v>
      </c>
      <c r="V208" s="195"/>
    </row>
    <row r="209" spans="1:22" x14ac:dyDescent="0.25">
      <c r="A209" s="202">
        <v>2021</v>
      </c>
      <c r="B209" s="202" t="s">
        <v>827</v>
      </c>
      <c r="C209" s="203" t="s">
        <v>187</v>
      </c>
      <c r="D209" s="204" t="s">
        <v>821</v>
      </c>
      <c r="E209" s="204" t="s">
        <v>821</v>
      </c>
      <c r="F209" s="204" t="s">
        <v>187</v>
      </c>
      <c r="G209" s="203" t="s">
        <v>537</v>
      </c>
      <c r="H209" s="205">
        <v>3</v>
      </c>
      <c r="I209" s="205">
        <v>7</v>
      </c>
      <c r="J209" s="206"/>
      <c r="K209" s="205">
        <v>354562.5</v>
      </c>
      <c r="L209" s="205">
        <v>106368.75</v>
      </c>
      <c r="M209" s="205">
        <v>248193.75</v>
      </c>
      <c r="N209" s="206"/>
      <c r="O209" s="205">
        <v>122459.5</v>
      </c>
      <c r="P209" s="205">
        <v>36737.85</v>
      </c>
      <c r="Q209" s="205">
        <v>85721.65</v>
      </c>
      <c r="R209" s="206"/>
      <c r="S209" s="205">
        <v>477022</v>
      </c>
      <c r="T209" s="205">
        <v>143106.6</v>
      </c>
      <c r="U209" s="205">
        <v>333915.40000000002</v>
      </c>
      <c r="V209" s="195"/>
    </row>
    <row r="210" spans="1:22" x14ac:dyDescent="0.25">
      <c r="A210" s="202">
        <v>2021</v>
      </c>
      <c r="B210" s="202" t="s">
        <v>829</v>
      </c>
      <c r="C210" s="203" t="s">
        <v>232</v>
      </c>
      <c r="D210" s="204" t="s">
        <v>316</v>
      </c>
      <c r="E210" s="204" t="s">
        <v>821</v>
      </c>
      <c r="F210" s="204" t="s">
        <v>232</v>
      </c>
      <c r="G210" s="203" t="s">
        <v>801</v>
      </c>
      <c r="H210" s="205">
        <v>0</v>
      </c>
      <c r="I210" s="205">
        <v>5</v>
      </c>
      <c r="J210" s="206"/>
      <c r="K210" s="205">
        <v>234496.5</v>
      </c>
      <c r="L210" s="205">
        <v>0</v>
      </c>
      <c r="M210" s="205">
        <v>234496.5</v>
      </c>
      <c r="N210" s="206"/>
      <c r="O210" s="205">
        <v>98351.5</v>
      </c>
      <c r="P210" s="205">
        <v>0</v>
      </c>
      <c r="Q210" s="205">
        <v>98351.5</v>
      </c>
      <c r="R210" s="206"/>
      <c r="S210" s="205">
        <v>332848</v>
      </c>
      <c r="T210" s="205">
        <v>0</v>
      </c>
      <c r="U210" s="205">
        <v>332848</v>
      </c>
      <c r="V210" s="195"/>
    </row>
    <row r="211" spans="1:22" x14ac:dyDescent="0.25">
      <c r="A211" s="202">
        <v>2021</v>
      </c>
      <c r="B211" s="202" t="s">
        <v>822</v>
      </c>
      <c r="C211" s="203" t="s">
        <v>60</v>
      </c>
      <c r="D211" s="204" t="s">
        <v>821</v>
      </c>
      <c r="E211" s="204" t="s">
        <v>821</v>
      </c>
      <c r="F211" s="204" t="s">
        <v>60</v>
      </c>
      <c r="G211" s="203" t="s">
        <v>415</v>
      </c>
      <c r="H211" s="205">
        <v>1</v>
      </c>
      <c r="I211" s="205">
        <v>9</v>
      </c>
      <c r="J211" s="206"/>
      <c r="K211" s="205">
        <v>176995.5</v>
      </c>
      <c r="L211" s="205">
        <v>17699.55</v>
      </c>
      <c r="M211" s="205">
        <v>159295.95000000001</v>
      </c>
      <c r="N211" s="206"/>
      <c r="O211" s="205">
        <v>78796.5</v>
      </c>
      <c r="P211" s="205">
        <v>7879.65</v>
      </c>
      <c r="Q211" s="205">
        <v>70916.850000000006</v>
      </c>
      <c r="R211" s="206"/>
      <c r="S211" s="205">
        <v>255792</v>
      </c>
      <c r="T211" s="205">
        <v>25579.199999999997</v>
      </c>
      <c r="U211" s="205">
        <v>230212.80000000002</v>
      </c>
      <c r="V211" s="195"/>
    </row>
    <row r="212" spans="1:22" x14ac:dyDescent="0.25">
      <c r="A212" s="202">
        <v>2021</v>
      </c>
      <c r="B212" s="202" t="s">
        <v>825</v>
      </c>
      <c r="C212" s="203" t="s">
        <v>236</v>
      </c>
      <c r="D212" s="204" t="s">
        <v>821</v>
      </c>
      <c r="E212" s="204" t="s">
        <v>821</v>
      </c>
      <c r="F212" s="204" t="s">
        <v>236</v>
      </c>
      <c r="G212" s="203" t="s">
        <v>584</v>
      </c>
      <c r="H212" s="205">
        <v>0</v>
      </c>
      <c r="I212" s="205">
        <v>6</v>
      </c>
      <c r="J212" s="206"/>
      <c r="K212" s="205">
        <v>62759.25</v>
      </c>
      <c r="L212" s="205">
        <v>0</v>
      </c>
      <c r="M212" s="205">
        <v>62759.25</v>
      </c>
      <c r="N212" s="206"/>
      <c r="O212" s="205">
        <v>23135.75</v>
      </c>
      <c r="P212" s="205">
        <v>0</v>
      </c>
      <c r="Q212" s="205">
        <v>23135.75</v>
      </c>
      <c r="R212" s="206"/>
      <c r="S212" s="205">
        <v>85895</v>
      </c>
      <c r="T212" s="205">
        <v>0</v>
      </c>
      <c r="U212" s="205">
        <v>85895</v>
      </c>
      <c r="V212" s="195"/>
    </row>
    <row r="213" spans="1:22" x14ac:dyDescent="0.25">
      <c r="A213" s="202">
        <v>2021</v>
      </c>
      <c r="B213" s="202" t="s">
        <v>827</v>
      </c>
      <c r="C213" s="203" t="s">
        <v>235</v>
      </c>
      <c r="D213" s="204" t="s">
        <v>821</v>
      </c>
      <c r="E213" s="204" t="s">
        <v>821</v>
      </c>
      <c r="F213" s="204" t="s">
        <v>235</v>
      </c>
      <c r="G213" s="203" t="s">
        <v>583</v>
      </c>
      <c r="H213" s="205">
        <v>0</v>
      </c>
      <c r="I213" s="205">
        <v>3</v>
      </c>
      <c r="J213" s="206"/>
      <c r="K213" s="205">
        <v>81560.25</v>
      </c>
      <c r="L213" s="205">
        <v>0</v>
      </c>
      <c r="M213" s="205">
        <v>81560.25</v>
      </c>
      <c r="N213" s="206"/>
      <c r="O213" s="205">
        <v>28621.75</v>
      </c>
      <c r="P213" s="205">
        <v>0</v>
      </c>
      <c r="Q213" s="205">
        <v>28621.75</v>
      </c>
      <c r="R213" s="206"/>
      <c r="S213" s="205">
        <v>110182</v>
      </c>
      <c r="T213" s="205">
        <v>0</v>
      </c>
      <c r="U213" s="205">
        <v>110182</v>
      </c>
      <c r="V213" s="195"/>
    </row>
    <row r="214" spans="1:22" x14ac:dyDescent="0.25">
      <c r="A214" s="202">
        <v>2021</v>
      </c>
      <c r="B214" s="202" t="s">
        <v>826</v>
      </c>
      <c r="C214" s="203" t="s">
        <v>234</v>
      </c>
      <c r="D214" s="204" t="s">
        <v>821</v>
      </c>
      <c r="E214" s="204" t="s">
        <v>821</v>
      </c>
      <c r="F214" s="204" t="s">
        <v>234</v>
      </c>
      <c r="G214" s="203" t="s">
        <v>582</v>
      </c>
      <c r="H214" s="205">
        <v>0</v>
      </c>
      <c r="I214" s="205">
        <v>3</v>
      </c>
      <c r="J214" s="206"/>
      <c r="K214" s="205">
        <v>55896</v>
      </c>
      <c r="L214" s="205">
        <v>0</v>
      </c>
      <c r="M214" s="205">
        <v>55896</v>
      </c>
      <c r="N214" s="206"/>
      <c r="O214" s="205">
        <v>30749</v>
      </c>
      <c r="P214" s="205">
        <v>0</v>
      </c>
      <c r="Q214" s="205">
        <v>30749</v>
      </c>
      <c r="R214" s="206"/>
      <c r="S214" s="205">
        <v>86645</v>
      </c>
      <c r="T214" s="205">
        <v>0</v>
      </c>
      <c r="U214" s="205">
        <v>86645</v>
      </c>
      <c r="V214" s="195"/>
    </row>
    <row r="215" spans="1:22" x14ac:dyDescent="0.25">
      <c r="A215" s="202">
        <v>2021</v>
      </c>
      <c r="B215" s="202" t="s">
        <v>820</v>
      </c>
      <c r="C215" s="203" t="s">
        <v>237</v>
      </c>
      <c r="D215" s="204" t="s">
        <v>821</v>
      </c>
      <c r="E215" s="204" t="s">
        <v>821</v>
      </c>
      <c r="F215" s="204" t="s">
        <v>237</v>
      </c>
      <c r="G215" s="203" t="s">
        <v>585</v>
      </c>
      <c r="H215" s="205">
        <v>0</v>
      </c>
      <c r="I215" s="205">
        <v>1</v>
      </c>
      <c r="J215" s="206"/>
      <c r="K215" s="205">
        <v>101816.25</v>
      </c>
      <c r="L215" s="205">
        <v>0</v>
      </c>
      <c r="M215" s="205">
        <v>101816.25</v>
      </c>
      <c r="N215" s="206"/>
      <c r="O215" s="205">
        <v>39490.75</v>
      </c>
      <c r="P215" s="205">
        <v>0</v>
      </c>
      <c r="Q215" s="205">
        <v>39490.75</v>
      </c>
      <c r="R215" s="206"/>
      <c r="S215" s="205">
        <v>141307</v>
      </c>
      <c r="T215" s="205">
        <v>0</v>
      </c>
      <c r="U215" s="205">
        <v>141307</v>
      </c>
      <c r="V215" s="195"/>
    </row>
    <row r="216" spans="1:22" x14ac:dyDescent="0.25">
      <c r="A216" s="202">
        <v>2021</v>
      </c>
      <c r="B216" s="202" t="s">
        <v>830</v>
      </c>
      <c r="C216" s="203" t="s">
        <v>238</v>
      </c>
      <c r="D216" s="204" t="s">
        <v>821</v>
      </c>
      <c r="E216" s="204" t="s">
        <v>821</v>
      </c>
      <c r="F216" s="204" t="s">
        <v>238</v>
      </c>
      <c r="G216" s="203" t="s">
        <v>586</v>
      </c>
      <c r="H216" s="205">
        <v>0</v>
      </c>
      <c r="I216" s="205">
        <v>1</v>
      </c>
      <c r="J216" s="206"/>
      <c r="K216" s="205">
        <v>161713.5</v>
      </c>
      <c r="L216" s="205">
        <v>0</v>
      </c>
      <c r="M216" s="205">
        <v>161713.5</v>
      </c>
      <c r="N216" s="206"/>
      <c r="O216" s="205">
        <v>62602.5</v>
      </c>
      <c r="P216" s="205">
        <v>0</v>
      </c>
      <c r="Q216" s="205">
        <v>62602.5</v>
      </c>
      <c r="R216" s="206"/>
      <c r="S216" s="205">
        <v>224316</v>
      </c>
      <c r="T216" s="205">
        <v>0</v>
      </c>
      <c r="U216" s="205">
        <v>224316</v>
      </c>
      <c r="V216" s="195"/>
    </row>
    <row r="217" spans="1:22" x14ac:dyDescent="0.25">
      <c r="A217" s="202">
        <v>2021</v>
      </c>
      <c r="B217" s="202" t="s">
        <v>822</v>
      </c>
      <c r="C217" s="203" t="s">
        <v>239</v>
      </c>
      <c r="D217" s="204" t="s">
        <v>821</v>
      </c>
      <c r="E217" s="204" t="s">
        <v>821</v>
      </c>
      <c r="F217" s="204" t="s">
        <v>239</v>
      </c>
      <c r="G217" s="203" t="s">
        <v>587</v>
      </c>
      <c r="H217" s="205">
        <v>0</v>
      </c>
      <c r="I217" s="205">
        <v>8</v>
      </c>
      <c r="J217" s="206"/>
      <c r="K217" s="205">
        <v>158977.5</v>
      </c>
      <c r="L217" s="205">
        <v>0</v>
      </c>
      <c r="M217" s="205">
        <v>158977.5</v>
      </c>
      <c r="N217" s="206"/>
      <c r="O217" s="205">
        <v>70190.5</v>
      </c>
      <c r="P217" s="205">
        <v>0</v>
      </c>
      <c r="Q217" s="205">
        <v>70190.5</v>
      </c>
      <c r="R217" s="206"/>
      <c r="S217" s="205">
        <v>229168</v>
      </c>
      <c r="T217" s="205">
        <v>0</v>
      </c>
      <c r="U217" s="205">
        <v>229168</v>
      </c>
      <c r="V217" s="195"/>
    </row>
    <row r="218" spans="1:22" x14ac:dyDescent="0.25">
      <c r="A218" s="202">
        <v>2021</v>
      </c>
      <c r="B218" s="202" t="s">
        <v>825</v>
      </c>
      <c r="C218" s="203" t="s">
        <v>37</v>
      </c>
      <c r="D218" s="204" t="s">
        <v>821</v>
      </c>
      <c r="E218" s="204" t="s">
        <v>821</v>
      </c>
      <c r="F218" s="204" t="s">
        <v>37</v>
      </c>
      <c r="G218" s="203" t="s">
        <v>396</v>
      </c>
      <c r="H218" s="205">
        <v>3</v>
      </c>
      <c r="I218" s="205">
        <v>3</v>
      </c>
      <c r="J218" s="206"/>
      <c r="K218" s="205">
        <v>114177</v>
      </c>
      <c r="L218" s="205">
        <v>57088.5</v>
      </c>
      <c r="M218" s="205">
        <v>57088.5</v>
      </c>
      <c r="N218" s="206"/>
      <c r="O218" s="205">
        <v>39747</v>
      </c>
      <c r="P218" s="205">
        <v>19873.5</v>
      </c>
      <c r="Q218" s="205">
        <v>19873.5</v>
      </c>
      <c r="R218" s="206"/>
      <c r="S218" s="205">
        <v>153924</v>
      </c>
      <c r="T218" s="205">
        <v>76962</v>
      </c>
      <c r="U218" s="205">
        <v>76962</v>
      </c>
      <c r="V218" s="195"/>
    </row>
    <row r="219" spans="1:22" x14ac:dyDescent="0.25">
      <c r="A219" s="202">
        <v>2021</v>
      </c>
      <c r="B219" s="202" t="s">
        <v>830</v>
      </c>
      <c r="C219" s="203" t="s">
        <v>231</v>
      </c>
      <c r="D219" s="204" t="s">
        <v>821</v>
      </c>
      <c r="E219" s="204" t="s">
        <v>821</v>
      </c>
      <c r="F219" s="204" t="s">
        <v>231</v>
      </c>
      <c r="G219" s="203" t="s">
        <v>581</v>
      </c>
      <c r="H219" s="205">
        <v>0</v>
      </c>
      <c r="I219" s="205">
        <v>10</v>
      </c>
      <c r="J219" s="206"/>
      <c r="K219" s="205">
        <v>224949</v>
      </c>
      <c r="L219" s="205">
        <v>0</v>
      </c>
      <c r="M219" s="205">
        <v>224949</v>
      </c>
      <c r="N219" s="206"/>
      <c r="O219" s="205">
        <v>82459</v>
      </c>
      <c r="P219" s="205">
        <v>0</v>
      </c>
      <c r="Q219" s="205">
        <v>82459</v>
      </c>
      <c r="R219" s="206"/>
      <c r="S219" s="205">
        <v>307408</v>
      </c>
      <c r="T219" s="205">
        <v>0</v>
      </c>
      <c r="U219" s="205">
        <v>307408</v>
      </c>
      <c r="V219" s="195"/>
    </row>
    <row r="220" spans="1:22" x14ac:dyDescent="0.25">
      <c r="A220" s="202">
        <v>2021</v>
      </c>
      <c r="B220" s="202" t="s">
        <v>822</v>
      </c>
      <c r="C220" s="203" t="s">
        <v>241</v>
      </c>
      <c r="D220" s="204" t="s">
        <v>821</v>
      </c>
      <c r="E220" s="204" t="s">
        <v>821</v>
      </c>
      <c r="F220" s="204" t="s">
        <v>241</v>
      </c>
      <c r="G220" s="203" t="s">
        <v>588</v>
      </c>
      <c r="H220" s="205">
        <v>0</v>
      </c>
      <c r="I220" s="205">
        <v>5</v>
      </c>
      <c r="J220" s="206"/>
      <c r="K220" s="205">
        <v>100338</v>
      </c>
      <c r="L220" s="205">
        <v>0</v>
      </c>
      <c r="M220" s="205">
        <v>100338</v>
      </c>
      <c r="N220" s="206"/>
      <c r="O220" s="205">
        <v>38103</v>
      </c>
      <c r="P220" s="205">
        <v>0</v>
      </c>
      <c r="Q220" s="205">
        <v>38103</v>
      </c>
      <c r="R220" s="206"/>
      <c r="S220" s="205">
        <v>138441</v>
      </c>
      <c r="T220" s="205">
        <v>0</v>
      </c>
      <c r="U220" s="205">
        <v>138441</v>
      </c>
      <c r="V220" s="195"/>
    </row>
    <row r="221" spans="1:22" x14ac:dyDescent="0.25">
      <c r="A221" s="202">
        <v>2021</v>
      </c>
      <c r="B221" s="202" t="s">
        <v>820</v>
      </c>
      <c r="C221" s="203" t="s">
        <v>242</v>
      </c>
      <c r="D221" s="204" t="s">
        <v>821</v>
      </c>
      <c r="E221" s="204" t="s">
        <v>821</v>
      </c>
      <c r="F221" s="204" t="s">
        <v>242</v>
      </c>
      <c r="G221" s="203" t="s">
        <v>589</v>
      </c>
      <c r="H221" s="205">
        <v>0</v>
      </c>
      <c r="I221" s="205">
        <v>0</v>
      </c>
      <c r="J221" s="206"/>
      <c r="K221" s="205">
        <v>0</v>
      </c>
      <c r="L221" s="205">
        <v>0</v>
      </c>
      <c r="M221" s="205">
        <v>0</v>
      </c>
      <c r="N221" s="206"/>
      <c r="O221" s="205">
        <v>0</v>
      </c>
      <c r="P221" s="205">
        <v>0</v>
      </c>
      <c r="Q221" s="205">
        <v>0</v>
      </c>
      <c r="R221" s="206"/>
      <c r="S221" s="205">
        <v>0</v>
      </c>
      <c r="T221" s="205">
        <v>0</v>
      </c>
      <c r="U221" s="205">
        <v>0</v>
      </c>
      <c r="V221" s="195"/>
    </row>
    <row r="222" spans="1:22" x14ac:dyDescent="0.25">
      <c r="A222" s="202">
        <v>2021</v>
      </c>
      <c r="B222" s="202" t="s">
        <v>824</v>
      </c>
      <c r="C222" s="203" t="s">
        <v>244</v>
      </c>
      <c r="D222" s="204" t="s">
        <v>44</v>
      </c>
      <c r="E222" s="204" t="s">
        <v>821</v>
      </c>
      <c r="F222" s="204" t="s">
        <v>244</v>
      </c>
      <c r="G222" s="203" t="s">
        <v>816</v>
      </c>
      <c r="H222" s="205">
        <v>0</v>
      </c>
      <c r="I222" s="205">
        <v>1</v>
      </c>
      <c r="J222" s="206"/>
      <c r="K222" s="205">
        <v>46393.5</v>
      </c>
      <c r="L222" s="205">
        <v>0</v>
      </c>
      <c r="M222" s="205">
        <v>46393.5</v>
      </c>
      <c r="N222" s="206"/>
      <c r="O222" s="205">
        <v>16935.5</v>
      </c>
      <c r="P222" s="205">
        <v>0</v>
      </c>
      <c r="Q222" s="205">
        <v>16935.5</v>
      </c>
      <c r="R222" s="206"/>
      <c r="S222" s="205">
        <v>63329</v>
      </c>
      <c r="T222" s="205">
        <v>0</v>
      </c>
      <c r="U222" s="205">
        <v>63329</v>
      </c>
      <c r="V222" s="195"/>
    </row>
    <row r="223" spans="1:22" x14ac:dyDescent="0.25">
      <c r="A223" s="202">
        <v>2021</v>
      </c>
      <c r="B223" s="202" t="s">
        <v>829</v>
      </c>
      <c r="C223" s="203" t="s">
        <v>245</v>
      </c>
      <c r="D223" s="204" t="s">
        <v>821</v>
      </c>
      <c r="E223" s="204" t="s">
        <v>821</v>
      </c>
      <c r="F223" s="204" t="s">
        <v>245</v>
      </c>
      <c r="G223" s="203" t="s">
        <v>591</v>
      </c>
      <c r="H223" s="205">
        <v>2</v>
      </c>
      <c r="I223" s="205">
        <v>5</v>
      </c>
      <c r="J223" s="206"/>
      <c r="K223" s="205">
        <v>284502.75</v>
      </c>
      <c r="L223" s="205">
        <v>81286.5</v>
      </c>
      <c r="M223" s="205">
        <v>203216.25</v>
      </c>
      <c r="N223" s="206"/>
      <c r="O223" s="205">
        <v>99313.25</v>
      </c>
      <c r="P223" s="205">
        <v>28375.21</v>
      </c>
      <c r="Q223" s="205">
        <v>70938.040000000008</v>
      </c>
      <c r="R223" s="206"/>
      <c r="S223" s="205">
        <v>383816</v>
      </c>
      <c r="T223" s="205">
        <v>109661.70999999999</v>
      </c>
      <c r="U223" s="205">
        <v>274154.29000000004</v>
      </c>
      <c r="V223" s="195"/>
    </row>
    <row r="224" spans="1:22" x14ac:dyDescent="0.25">
      <c r="A224" s="202">
        <v>2021</v>
      </c>
      <c r="B224" s="202" t="s">
        <v>820</v>
      </c>
      <c r="C224" s="203" t="s">
        <v>246</v>
      </c>
      <c r="D224" s="204" t="s">
        <v>821</v>
      </c>
      <c r="E224" s="204" t="s">
        <v>821</v>
      </c>
      <c r="F224" s="204" t="s">
        <v>246</v>
      </c>
      <c r="G224" s="203" t="s">
        <v>592</v>
      </c>
      <c r="H224" s="205">
        <v>0</v>
      </c>
      <c r="I224" s="205">
        <v>5</v>
      </c>
      <c r="J224" s="206"/>
      <c r="K224" s="205">
        <v>145836</v>
      </c>
      <c r="L224" s="205">
        <v>0</v>
      </c>
      <c r="M224" s="205">
        <v>145836</v>
      </c>
      <c r="N224" s="206"/>
      <c r="O224" s="205">
        <v>52970</v>
      </c>
      <c r="P224" s="205">
        <v>0</v>
      </c>
      <c r="Q224" s="205">
        <v>52970</v>
      </c>
      <c r="R224" s="206"/>
      <c r="S224" s="205">
        <v>198806</v>
      </c>
      <c r="T224" s="205">
        <v>0</v>
      </c>
      <c r="U224" s="205">
        <v>198806</v>
      </c>
      <c r="V224" s="195"/>
    </row>
    <row r="225" spans="1:22" x14ac:dyDescent="0.25">
      <c r="A225" s="202">
        <v>2021</v>
      </c>
      <c r="B225" s="202" t="s">
        <v>825</v>
      </c>
      <c r="C225" s="203" t="s">
        <v>247</v>
      </c>
      <c r="D225" s="204" t="s">
        <v>821</v>
      </c>
      <c r="E225" s="204" t="s">
        <v>821</v>
      </c>
      <c r="F225" s="204" t="s">
        <v>247</v>
      </c>
      <c r="G225" s="203" t="s">
        <v>593</v>
      </c>
      <c r="H225" s="205">
        <v>0</v>
      </c>
      <c r="I225" s="205">
        <v>2</v>
      </c>
      <c r="J225" s="206"/>
      <c r="K225" s="205">
        <v>127302.75</v>
      </c>
      <c r="L225" s="205">
        <v>0</v>
      </c>
      <c r="M225" s="205">
        <v>127302.75</v>
      </c>
      <c r="N225" s="206"/>
      <c r="O225" s="205">
        <v>59384.25</v>
      </c>
      <c r="P225" s="205">
        <v>0</v>
      </c>
      <c r="Q225" s="205">
        <v>59384.25</v>
      </c>
      <c r="R225" s="206"/>
      <c r="S225" s="205">
        <v>186687</v>
      </c>
      <c r="T225" s="205">
        <v>0</v>
      </c>
      <c r="U225" s="205">
        <v>186687</v>
      </c>
      <c r="V225" s="195"/>
    </row>
    <row r="226" spans="1:22" x14ac:dyDescent="0.25">
      <c r="A226" s="202">
        <v>2021</v>
      </c>
      <c r="B226" s="202" t="s">
        <v>827</v>
      </c>
      <c r="C226" s="203" t="s">
        <v>248</v>
      </c>
      <c r="D226" s="204" t="s">
        <v>821</v>
      </c>
      <c r="E226" s="204" t="s">
        <v>821</v>
      </c>
      <c r="F226" s="204" t="s">
        <v>248</v>
      </c>
      <c r="G226" s="203" t="s">
        <v>594</v>
      </c>
      <c r="H226" s="205">
        <v>0</v>
      </c>
      <c r="I226" s="205">
        <v>1</v>
      </c>
      <c r="J226" s="206"/>
      <c r="K226" s="205">
        <v>7582.5</v>
      </c>
      <c r="L226" s="205">
        <v>0</v>
      </c>
      <c r="M226" s="205">
        <v>7582.5</v>
      </c>
      <c r="N226" s="206"/>
      <c r="O226" s="205">
        <v>2682.5</v>
      </c>
      <c r="P226" s="205">
        <v>0</v>
      </c>
      <c r="Q226" s="205">
        <v>2682.5</v>
      </c>
      <c r="R226" s="206"/>
      <c r="S226" s="205">
        <v>10265</v>
      </c>
      <c r="T226" s="205">
        <v>0</v>
      </c>
      <c r="U226" s="205">
        <v>10265</v>
      </c>
      <c r="V226" s="195"/>
    </row>
    <row r="227" spans="1:22" x14ac:dyDescent="0.25">
      <c r="A227" s="202">
        <v>2021</v>
      </c>
      <c r="B227" s="202" t="s">
        <v>823</v>
      </c>
      <c r="C227" s="203" t="s">
        <v>249</v>
      </c>
      <c r="D227" s="204" t="s">
        <v>821</v>
      </c>
      <c r="E227" s="204" t="s">
        <v>821</v>
      </c>
      <c r="F227" s="204" t="s">
        <v>249</v>
      </c>
      <c r="G227" s="203" t="s">
        <v>595</v>
      </c>
      <c r="H227" s="205">
        <v>1</v>
      </c>
      <c r="I227" s="205">
        <v>1</v>
      </c>
      <c r="J227" s="206"/>
      <c r="K227" s="205">
        <v>13626</v>
      </c>
      <c r="L227" s="205">
        <v>6813</v>
      </c>
      <c r="M227" s="205">
        <v>6813</v>
      </c>
      <c r="N227" s="206"/>
      <c r="O227" s="205">
        <v>5213</v>
      </c>
      <c r="P227" s="205">
        <v>2606.5</v>
      </c>
      <c r="Q227" s="205">
        <v>2606.5</v>
      </c>
      <c r="R227" s="206"/>
      <c r="S227" s="205">
        <v>18839</v>
      </c>
      <c r="T227" s="205">
        <v>9419.5</v>
      </c>
      <c r="U227" s="205">
        <v>9419.5</v>
      </c>
      <c r="V227" s="195"/>
    </row>
    <row r="228" spans="1:22" x14ac:dyDescent="0.25">
      <c r="A228" s="202">
        <v>2021</v>
      </c>
      <c r="B228" s="202" t="s">
        <v>822</v>
      </c>
      <c r="C228" s="203" t="s">
        <v>250</v>
      </c>
      <c r="D228" s="204" t="s">
        <v>821</v>
      </c>
      <c r="E228" s="204" t="s">
        <v>821</v>
      </c>
      <c r="F228" s="204" t="s">
        <v>250</v>
      </c>
      <c r="G228" s="203" t="s">
        <v>596</v>
      </c>
      <c r="H228" s="205">
        <v>1</v>
      </c>
      <c r="I228" s="205">
        <v>1</v>
      </c>
      <c r="J228" s="206"/>
      <c r="K228" s="205">
        <v>80612.25</v>
      </c>
      <c r="L228" s="205">
        <v>40306.129999999997</v>
      </c>
      <c r="M228" s="205">
        <v>40306.120000000003</v>
      </c>
      <c r="N228" s="206"/>
      <c r="O228" s="205">
        <v>30309.75</v>
      </c>
      <c r="P228" s="205">
        <v>15154.88</v>
      </c>
      <c r="Q228" s="205">
        <v>15154.87</v>
      </c>
      <c r="R228" s="206"/>
      <c r="S228" s="205">
        <v>110922</v>
      </c>
      <c r="T228" s="205">
        <v>55461.009999999995</v>
      </c>
      <c r="U228" s="205">
        <v>55460.990000000005</v>
      </c>
      <c r="V228" s="195"/>
    </row>
    <row r="229" spans="1:22" x14ac:dyDescent="0.25">
      <c r="A229" s="202">
        <v>2021</v>
      </c>
      <c r="B229" s="202" t="s">
        <v>826</v>
      </c>
      <c r="C229" s="203" t="s">
        <v>251</v>
      </c>
      <c r="D229" s="204" t="s">
        <v>821</v>
      </c>
      <c r="E229" s="204" t="s">
        <v>821</v>
      </c>
      <c r="F229" s="204" t="s">
        <v>251</v>
      </c>
      <c r="G229" s="203" t="s">
        <v>597</v>
      </c>
      <c r="H229" s="205">
        <v>0</v>
      </c>
      <c r="I229" s="205">
        <v>4</v>
      </c>
      <c r="J229" s="206"/>
      <c r="K229" s="205">
        <v>393675.75</v>
      </c>
      <c r="L229" s="205">
        <v>0</v>
      </c>
      <c r="M229" s="205">
        <v>393675.75</v>
      </c>
      <c r="N229" s="206"/>
      <c r="O229" s="205">
        <v>150077.25</v>
      </c>
      <c r="P229" s="205">
        <v>0</v>
      </c>
      <c r="Q229" s="205">
        <v>150077.25</v>
      </c>
      <c r="R229" s="206"/>
      <c r="S229" s="205">
        <v>543753</v>
      </c>
      <c r="T229" s="205">
        <v>0</v>
      </c>
      <c r="U229" s="205">
        <v>543753</v>
      </c>
      <c r="V229" s="195"/>
    </row>
    <row r="230" spans="1:22" x14ac:dyDescent="0.25">
      <c r="A230" s="202">
        <v>2021</v>
      </c>
      <c r="B230" s="202" t="s">
        <v>826</v>
      </c>
      <c r="C230" s="203" t="s">
        <v>252</v>
      </c>
      <c r="D230" s="204" t="s">
        <v>821</v>
      </c>
      <c r="E230" s="204" t="s">
        <v>821</v>
      </c>
      <c r="F230" s="204" t="s">
        <v>252</v>
      </c>
      <c r="G230" s="203" t="s">
        <v>598</v>
      </c>
      <c r="H230" s="205">
        <v>0</v>
      </c>
      <c r="I230" s="205">
        <v>0</v>
      </c>
      <c r="J230" s="206"/>
      <c r="K230" s="205">
        <v>0</v>
      </c>
      <c r="L230" s="205">
        <v>0</v>
      </c>
      <c r="M230" s="205">
        <v>0</v>
      </c>
      <c r="N230" s="206"/>
      <c r="O230" s="205">
        <v>0</v>
      </c>
      <c r="P230" s="205">
        <v>0</v>
      </c>
      <c r="Q230" s="205">
        <v>0</v>
      </c>
      <c r="R230" s="206"/>
      <c r="S230" s="205">
        <v>0</v>
      </c>
      <c r="T230" s="205">
        <v>0</v>
      </c>
      <c r="U230" s="205">
        <v>0</v>
      </c>
      <c r="V230" s="195"/>
    </row>
    <row r="231" spans="1:22" x14ac:dyDescent="0.25">
      <c r="A231" s="202">
        <v>2021</v>
      </c>
      <c r="B231" s="202" t="s">
        <v>820</v>
      </c>
      <c r="C231" s="203" t="s">
        <v>253</v>
      </c>
      <c r="D231" s="204" t="s">
        <v>821</v>
      </c>
      <c r="E231" s="204" t="s">
        <v>821</v>
      </c>
      <c r="F231" s="204" t="s">
        <v>253</v>
      </c>
      <c r="G231" s="203" t="s">
        <v>599</v>
      </c>
      <c r="H231" s="205">
        <v>0</v>
      </c>
      <c r="I231" s="205">
        <v>4</v>
      </c>
      <c r="J231" s="206"/>
      <c r="K231" s="205">
        <v>162390.75</v>
      </c>
      <c r="L231" s="205">
        <v>0</v>
      </c>
      <c r="M231" s="205">
        <v>162390.75</v>
      </c>
      <c r="N231" s="206"/>
      <c r="O231" s="205">
        <v>70414.25</v>
      </c>
      <c r="P231" s="205">
        <v>0</v>
      </c>
      <c r="Q231" s="205">
        <v>70414.25</v>
      </c>
      <c r="R231" s="206"/>
      <c r="S231" s="205">
        <v>232805</v>
      </c>
      <c r="T231" s="205">
        <v>0</v>
      </c>
      <c r="U231" s="205">
        <v>232805</v>
      </c>
      <c r="V231" s="195"/>
    </row>
    <row r="232" spans="1:22" x14ac:dyDescent="0.25">
      <c r="A232" s="202">
        <v>2021</v>
      </c>
      <c r="B232" s="202" t="s">
        <v>825</v>
      </c>
      <c r="C232" s="203" t="s">
        <v>254</v>
      </c>
      <c r="D232" s="204" t="s">
        <v>821</v>
      </c>
      <c r="E232" s="204" t="s">
        <v>821</v>
      </c>
      <c r="F232" s="204" t="s">
        <v>254</v>
      </c>
      <c r="G232" s="203" t="s">
        <v>600</v>
      </c>
      <c r="H232" s="205">
        <v>0</v>
      </c>
      <c r="I232" s="205">
        <v>5</v>
      </c>
      <c r="J232" s="206"/>
      <c r="K232" s="205">
        <v>35262.75</v>
      </c>
      <c r="L232" s="205">
        <v>0</v>
      </c>
      <c r="M232" s="205">
        <v>35262.75</v>
      </c>
      <c r="N232" s="206"/>
      <c r="O232" s="205">
        <v>12409.25</v>
      </c>
      <c r="P232" s="205">
        <v>0</v>
      </c>
      <c r="Q232" s="205">
        <v>12409.25</v>
      </c>
      <c r="R232" s="206"/>
      <c r="S232" s="205">
        <v>47672</v>
      </c>
      <c r="T232" s="205">
        <v>0</v>
      </c>
      <c r="U232" s="205">
        <v>47672</v>
      </c>
      <c r="V232" s="195"/>
    </row>
    <row r="233" spans="1:22" x14ac:dyDescent="0.25">
      <c r="A233" s="202">
        <v>2021</v>
      </c>
      <c r="B233" s="202" t="s">
        <v>820</v>
      </c>
      <c r="C233" s="203" t="s">
        <v>263</v>
      </c>
      <c r="D233" s="204" t="s">
        <v>821</v>
      </c>
      <c r="E233" s="204" t="s">
        <v>821</v>
      </c>
      <c r="F233" s="204" t="s">
        <v>700</v>
      </c>
      <c r="G233" s="203" t="s">
        <v>6</v>
      </c>
      <c r="H233" s="205">
        <v>0</v>
      </c>
      <c r="I233" s="205">
        <v>5</v>
      </c>
      <c r="J233" s="206"/>
      <c r="K233" s="205">
        <v>231744.75</v>
      </c>
      <c r="L233" s="205">
        <v>0</v>
      </c>
      <c r="M233" s="205">
        <v>231744.75</v>
      </c>
      <c r="N233" s="206"/>
      <c r="O233" s="205">
        <v>91495.25</v>
      </c>
      <c r="P233" s="205">
        <v>0</v>
      </c>
      <c r="Q233" s="205">
        <v>91495.25</v>
      </c>
      <c r="R233" s="206"/>
      <c r="S233" s="205">
        <v>323240</v>
      </c>
      <c r="T233" s="205">
        <v>0</v>
      </c>
      <c r="U233" s="205">
        <v>323240</v>
      </c>
      <c r="V233" s="195"/>
    </row>
    <row r="234" spans="1:22" x14ac:dyDescent="0.25">
      <c r="A234" s="202">
        <v>2021</v>
      </c>
      <c r="B234" s="202" t="s">
        <v>826</v>
      </c>
      <c r="C234" s="203" t="s">
        <v>256</v>
      </c>
      <c r="D234" s="204" t="s">
        <v>821</v>
      </c>
      <c r="E234" s="204" t="s">
        <v>821</v>
      </c>
      <c r="F234" s="204" t="s">
        <v>256</v>
      </c>
      <c r="G234" s="203" t="s">
        <v>602</v>
      </c>
      <c r="H234" s="205">
        <v>3</v>
      </c>
      <c r="I234" s="205">
        <v>5</v>
      </c>
      <c r="J234" s="206"/>
      <c r="K234" s="205">
        <v>182936.25</v>
      </c>
      <c r="L234" s="205">
        <v>68601.09</v>
      </c>
      <c r="M234" s="205">
        <v>114335.16</v>
      </c>
      <c r="N234" s="206"/>
      <c r="O234" s="205">
        <v>67388.75</v>
      </c>
      <c r="P234" s="205">
        <v>25270.78</v>
      </c>
      <c r="Q234" s="205">
        <v>42117.97</v>
      </c>
      <c r="R234" s="206"/>
      <c r="S234" s="205">
        <v>250325</v>
      </c>
      <c r="T234" s="205">
        <v>93871.87</v>
      </c>
      <c r="U234" s="205">
        <v>156453.13</v>
      </c>
      <c r="V234" s="195"/>
    </row>
    <row r="235" spans="1:22" x14ac:dyDescent="0.25">
      <c r="A235" s="202">
        <v>2021</v>
      </c>
      <c r="B235" s="202" t="s">
        <v>820</v>
      </c>
      <c r="C235" s="203" t="s">
        <v>257</v>
      </c>
      <c r="D235" s="204" t="s">
        <v>821</v>
      </c>
      <c r="E235" s="204" t="s">
        <v>821</v>
      </c>
      <c r="F235" s="204" t="s">
        <v>257</v>
      </c>
      <c r="G235" s="203" t="s">
        <v>603</v>
      </c>
      <c r="H235" s="205">
        <v>0</v>
      </c>
      <c r="I235" s="205">
        <v>4</v>
      </c>
      <c r="J235" s="206"/>
      <c r="K235" s="205">
        <v>612520.5</v>
      </c>
      <c r="L235" s="205">
        <v>0</v>
      </c>
      <c r="M235" s="205">
        <v>612520.5</v>
      </c>
      <c r="N235" s="206"/>
      <c r="O235" s="205">
        <v>222859.5</v>
      </c>
      <c r="P235" s="205">
        <v>0</v>
      </c>
      <c r="Q235" s="205">
        <v>222859.5</v>
      </c>
      <c r="R235" s="206"/>
      <c r="S235" s="205">
        <v>835380</v>
      </c>
      <c r="T235" s="205">
        <v>0</v>
      </c>
      <c r="U235" s="205">
        <v>835380</v>
      </c>
      <c r="V235" s="195"/>
    </row>
    <row r="236" spans="1:22" x14ac:dyDescent="0.25">
      <c r="A236" s="202">
        <v>2021</v>
      </c>
      <c r="B236" s="202" t="s">
        <v>820</v>
      </c>
      <c r="C236" s="203" t="s">
        <v>258</v>
      </c>
      <c r="D236" s="204" t="s">
        <v>821</v>
      </c>
      <c r="E236" s="204" t="s">
        <v>821</v>
      </c>
      <c r="F236" s="204" t="s">
        <v>258</v>
      </c>
      <c r="G236" s="203" t="s">
        <v>604</v>
      </c>
      <c r="H236" s="205">
        <v>3</v>
      </c>
      <c r="I236" s="205">
        <v>0</v>
      </c>
      <c r="J236" s="206"/>
      <c r="K236" s="205">
        <v>165729.75</v>
      </c>
      <c r="L236" s="205">
        <v>165729.75</v>
      </c>
      <c r="M236" s="205">
        <v>0</v>
      </c>
      <c r="N236" s="206"/>
      <c r="O236" s="205">
        <v>60160.25</v>
      </c>
      <c r="P236" s="205">
        <v>60160.25</v>
      </c>
      <c r="Q236" s="205">
        <v>0</v>
      </c>
      <c r="R236" s="206"/>
      <c r="S236" s="205">
        <v>225890</v>
      </c>
      <c r="T236" s="205">
        <v>225890</v>
      </c>
      <c r="U236" s="205">
        <v>0</v>
      </c>
      <c r="V236" s="195"/>
    </row>
    <row r="237" spans="1:22" x14ac:dyDescent="0.25">
      <c r="A237" s="202">
        <v>2021</v>
      </c>
      <c r="B237" s="202" t="s">
        <v>830</v>
      </c>
      <c r="C237" s="203" t="s">
        <v>259</v>
      </c>
      <c r="D237" s="204" t="s">
        <v>821</v>
      </c>
      <c r="E237" s="204" t="s">
        <v>821</v>
      </c>
      <c r="F237" s="204" t="s">
        <v>259</v>
      </c>
      <c r="G237" s="203" t="s">
        <v>605</v>
      </c>
      <c r="H237" s="205">
        <v>0</v>
      </c>
      <c r="I237" s="205">
        <v>0</v>
      </c>
      <c r="J237" s="206"/>
      <c r="K237" s="205">
        <v>0</v>
      </c>
      <c r="L237" s="205">
        <v>0</v>
      </c>
      <c r="M237" s="205">
        <v>0</v>
      </c>
      <c r="N237" s="206"/>
      <c r="O237" s="205">
        <v>0</v>
      </c>
      <c r="P237" s="205">
        <v>0</v>
      </c>
      <c r="Q237" s="205">
        <v>0</v>
      </c>
      <c r="R237" s="206"/>
      <c r="S237" s="205">
        <v>0</v>
      </c>
      <c r="T237" s="205">
        <v>0</v>
      </c>
      <c r="U237" s="205">
        <v>0</v>
      </c>
      <c r="V237" s="195"/>
    </row>
    <row r="238" spans="1:22" x14ac:dyDescent="0.25">
      <c r="A238" s="202">
        <v>2021</v>
      </c>
      <c r="B238" s="202" t="s">
        <v>820</v>
      </c>
      <c r="C238" s="203" t="s">
        <v>260</v>
      </c>
      <c r="D238" s="204" t="s">
        <v>821</v>
      </c>
      <c r="E238" s="204" t="s">
        <v>821</v>
      </c>
      <c r="F238" s="204" t="s">
        <v>260</v>
      </c>
      <c r="G238" s="203" t="s">
        <v>606</v>
      </c>
      <c r="H238" s="205">
        <v>0</v>
      </c>
      <c r="I238" s="205">
        <v>8</v>
      </c>
      <c r="J238" s="206"/>
      <c r="K238" s="205">
        <v>230323.5</v>
      </c>
      <c r="L238" s="205">
        <v>0</v>
      </c>
      <c r="M238" s="205">
        <v>230323.5</v>
      </c>
      <c r="N238" s="206"/>
      <c r="O238" s="205">
        <v>91456.5</v>
      </c>
      <c r="P238" s="205">
        <v>0</v>
      </c>
      <c r="Q238" s="205">
        <v>91456.5</v>
      </c>
      <c r="R238" s="206"/>
      <c r="S238" s="205">
        <v>321780</v>
      </c>
      <c r="T238" s="205">
        <v>0</v>
      </c>
      <c r="U238" s="205">
        <v>321780</v>
      </c>
      <c r="V238" s="195"/>
    </row>
    <row r="239" spans="1:22" x14ac:dyDescent="0.25">
      <c r="A239" s="202">
        <v>2021</v>
      </c>
      <c r="B239" s="202" t="s">
        <v>825</v>
      </c>
      <c r="C239" s="203" t="s">
        <v>261</v>
      </c>
      <c r="D239" s="204" t="s">
        <v>821</v>
      </c>
      <c r="E239" s="204" t="s">
        <v>821</v>
      </c>
      <c r="F239" s="204" t="s">
        <v>261</v>
      </c>
      <c r="G239" s="203" t="s">
        <v>607</v>
      </c>
      <c r="H239" s="205">
        <v>0</v>
      </c>
      <c r="I239" s="205">
        <v>1</v>
      </c>
      <c r="J239" s="206"/>
      <c r="K239" s="205">
        <v>31722</v>
      </c>
      <c r="L239" s="205">
        <v>0</v>
      </c>
      <c r="M239" s="205">
        <v>31722</v>
      </c>
      <c r="N239" s="206"/>
      <c r="O239" s="205">
        <v>11273</v>
      </c>
      <c r="P239" s="205">
        <v>0</v>
      </c>
      <c r="Q239" s="205">
        <v>11273</v>
      </c>
      <c r="R239" s="206"/>
      <c r="S239" s="205">
        <v>42995</v>
      </c>
      <c r="T239" s="205">
        <v>0</v>
      </c>
      <c r="U239" s="205">
        <v>42995</v>
      </c>
      <c r="V239" s="195"/>
    </row>
    <row r="240" spans="1:22" x14ac:dyDescent="0.25">
      <c r="A240" s="202">
        <v>2021</v>
      </c>
      <c r="B240" s="202" t="s">
        <v>829</v>
      </c>
      <c r="C240" s="203" t="s">
        <v>262</v>
      </c>
      <c r="D240" s="204" t="s">
        <v>821</v>
      </c>
      <c r="E240" s="204" t="s">
        <v>821</v>
      </c>
      <c r="F240" s="204" t="s">
        <v>262</v>
      </c>
      <c r="G240" s="203" t="s">
        <v>608</v>
      </c>
      <c r="H240" s="205">
        <v>2</v>
      </c>
      <c r="I240" s="205">
        <v>13</v>
      </c>
      <c r="J240" s="206"/>
      <c r="K240" s="205">
        <v>229751.25</v>
      </c>
      <c r="L240" s="205">
        <v>30633.5</v>
      </c>
      <c r="M240" s="205">
        <v>199117.75</v>
      </c>
      <c r="N240" s="206"/>
      <c r="O240" s="205">
        <v>81207.75</v>
      </c>
      <c r="P240" s="205">
        <v>10827.7</v>
      </c>
      <c r="Q240" s="205">
        <v>70380.05</v>
      </c>
      <c r="R240" s="206"/>
      <c r="S240" s="205">
        <v>310959</v>
      </c>
      <c r="T240" s="205">
        <v>41461.199999999997</v>
      </c>
      <c r="U240" s="205">
        <v>269497.8</v>
      </c>
      <c r="V240" s="195"/>
    </row>
    <row r="241" spans="1:22" x14ac:dyDescent="0.25">
      <c r="A241" s="202">
        <v>2021</v>
      </c>
      <c r="B241" s="202" t="s">
        <v>825</v>
      </c>
      <c r="C241" s="203" t="s">
        <v>264</v>
      </c>
      <c r="D241" s="204" t="s">
        <v>821</v>
      </c>
      <c r="E241" s="204" t="s">
        <v>821</v>
      </c>
      <c r="F241" s="204" t="s">
        <v>701</v>
      </c>
      <c r="G241" s="203" t="s">
        <v>609</v>
      </c>
      <c r="H241" s="205">
        <v>0</v>
      </c>
      <c r="I241" s="205">
        <v>5</v>
      </c>
      <c r="J241" s="206"/>
      <c r="K241" s="205">
        <v>122182.5</v>
      </c>
      <c r="L241" s="205">
        <v>0</v>
      </c>
      <c r="M241" s="205">
        <v>122182.5</v>
      </c>
      <c r="N241" s="206"/>
      <c r="O241" s="205">
        <v>43177.5</v>
      </c>
      <c r="P241" s="205">
        <v>0</v>
      </c>
      <c r="Q241" s="205">
        <v>43177.5</v>
      </c>
      <c r="R241" s="206"/>
      <c r="S241" s="205">
        <v>165360</v>
      </c>
      <c r="T241" s="205">
        <v>0</v>
      </c>
      <c r="U241" s="205">
        <v>165360</v>
      </c>
      <c r="V241" s="195"/>
    </row>
    <row r="242" spans="1:22" x14ac:dyDescent="0.25">
      <c r="A242" s="202">
        <v>2021</v>
      </c>
      <c r="B242" s="202" t="s">
        <v>823</v>
      </c>
      <c r="C242" s="203" t="s">
        <v>265</v>
      </c>
      <c r="D242" s="204" t="s">
        <v>821</v>
      </c>
      <c r="E242" s="204" t="s">
        <v>821</v>
      </c>
      <c r="F242" s="204" t="s">
        <v>265</v>
      </c>
      <c r="G242" s="203" t="s">
        <v>610</v>
      </c>
      <c r="H242" s="205">
        <v>1</v>
      </c>
      <c r="I242" s="205">
        <v>9</v>
      </c>
      <c r="J242" s="206"/>
      <c r="K242" s="205">
        <v>399337.5</v>
      </c>
      <c r="L242" s="205">
        <v>39933.75</v>
      </c>
      <c r="M242" s="205">
        <v>359403.75</v>
      </c>
      <c r="N242" s="206"/>
      <c r="O242" s="205">
        <v>148669.5</v>
      </c>
      <c r="P242" s="205">
        <v>14866.95</v>
      </c>
      <c r="Q242" s="205">
        <v>133802.54999999999</v>
      </c>
      <c r="R242" s="206"/>
      <c r="S242" s="205">
        <v>548007</v>
      </c>
      <c r="T242" s="205">
        <v>54800.7</v>
      </c>
      <c r="U242" s="205">
        <v>493206.3</v>
      </c>
      <c r="V242" s="195"/>
    </row>
    <row r="243" spans="1:22" x14ac:dyDescent="0.25">
      <c r="A243" s="202">
        <v>2021</v>
      </c>
      <c r="B243" s="202" t="s">
        <v>824</v>
      </c>
      <c r="C243" s="203" t="s">
        <v>266</v>
      </c>
      <c r="D243" s="204" t="s">
        <v>821</v>
      </c>
      <c r="E243" s="204" t="s">
        <v>821</v>
      </c>
      <c r="F243" s="204" t="s">
        <v>266</v>
      </c>
      <c r="G243" s="203" t="s">
        <v>611</v>
      </c>
      <c r="H243" s="205">
        <v>0</v>
      </c>
      <c r="I243" s="205">
        <v>6</v>
      </c>
      <c r="J243" s="206"/>
      <c r="K243" s="205">
        <v>142661.25</v>
      </c>
      <c r="L243" s="205">
        <v>0</v>
      </c>
      <c r="M243" s="205">
        <v>142661.25</v>
      </c>
      <c r="N243" s="206"/>
      <c r="O243" s="205">
        <v>50703.75</v>
      </c>
      <c r="P243" s="205">
        <v>0</v>
      </c>
      <c r="Q243" s="205">
        <v>50703.75</v>
      </c>
      <c r="R243" s="206"/>
      <c r="S243" s="205">
        <v>193365</v>
      </c>
      <c r="T243" s="205">
        <v>0</v>
      </c>
      <c r="U243" s="205">
        <v>193365</v>
      </c>
      <c r="V243" s="195"/>
    </row>
    <row r="244" spans="1:22" x14ac:dyDescent="0.25">
      <c r="A244" s="202">
        <v>2021</v>
      </c>
      <c r="B244" s="202" t="s">
        <v>829</v>
      </c>
      <c r="C244" s="203" t="s">
        <v>267</v>
      </c>
      <c r="D244" s="204" t="s">
        <v>821</v>
      </c>
      <c r="E244" s="204" t="s">
        <v>821</v>
      </c>
      <c r="F244" s="204" t="s">
        <v>267</v>
      </c>
      <c r="G244" s="203" t="s">
        <v>612</v>
      </c>
      <c r="H244" s="205">
        <v>5</v>
      </c>
      <c r="I244" s="205">
        <v>5</v>
      </c>
      <c r="J244" s="206"/>
      <c r="K244" s="205">
        <v>113624.25</v>
      </c>
      <c r="L244" s="205">
        <v>56812.13</v>
      </c>
      <c r="M244" s="205">
        <v>56812.12</v>
      </c>
      <c r="N244" s="206"/>
      <c r="O244" s="205">
        <v>45047.75</v>
      </c>
      <c r="P244" s="205">
        <v>22523.88</v>
      </c>
      <c r="Q244" s="205">
        <v>22523.87</v>
      </c>
      <c r="R244" s="206"/>
      <c r="S244" s="205">
        <v>158672</v>
      </c>
      <c r="T244" s="205">
        <v>79336.009999999995</v>
      </c>
      <c r="U244" s="205">
        <v>79335.990000000005</v>
      </c>
      <c r="V244" s="195"/>
    </row>
    <row r="245" spans="1:22" x14ac:dyDescent="0.25">
      <c r="A245" s="202">
        <v>2021</v>
      </c>
      <c r="B245" s="202" t="s">
        <v>824</v>
      </c>
      <c r="C245" s="203" t="s">
        <v>122</v>
      </c>
      <c r="D245" s="204" t="s">
        <v>821</v>
      </c>
      <c r="E245" s="204" t="s">
        <v>821</v>
      </c>
      <c r="F245" s="204" t="s">
        <v>122</v>
      </c>
      <c r="G245" s="203" t="s">
        <v>475</v>
      </c>
      <c r="H245" s="205">
        <v>1</v>
      </c>
      <c r="I245" s="205">
        <v>1</v>
      </c>
      <c r="J245" s="206"/>
      <c r="K245" s="205">
        <v>29188.5</v>
      </c>
      <c r="L245" s="205">
        <v>14594.25</v>
      </c>
      <c r="M245" s="205">
        <v>14594.25</v>
      </c>
      <c r="N245" s="206"/>
      <c r="O245" s="205">
        <v>10951.5</v>
      </c>
      <c r="P245" s="205">
        <v>5475.75</v>
      </c>
      <c r="Q245" s="205">
        <v>5475.75</v>
      </c>
      <c r="R245" s="206"/>
      <c r="S245" s="205">
        <v>40140</v>
      </c>
      <c r="T245" s="205">
        <v>20070</v>
      </c>
      <c r="U245" s="205">
        <v>20070</v>
      </c>
      <c r="V245" s="195"/>
    </row>
    <row r="246" spans="1:22" x14ac:dyDescent="0.25">
      <c r="A246" s="202">
        <v>2021</v>
      </c>
      <c r="B246" s="202" t="s">
        <v>823</v>
      </c>
      <c r="C246" s="203" t="s">
        <v>243</v>
      </c>
      <c r="D246" s="204" t="s">
        <v>821</v>
      </c>
      <c r="E246" s="204" t="s">
        <v>821</v>
      </c>
      <c r="F246" s="204" t="s">
        <v>698</v>
      </c>
      <c r="G246" s="203" t="s">
        <v>590</v>
      </c>
      <c r="H246" s="205">
        <v>0</v>
      </c>
      <c r="I246" s="205">
        <v>9</v>
      </c>
      <c r="J246" s="206"/>
      <c r="K246" s="205">
        <v>213779.25</v>
      </c>
      <c r="L246" s="205">
        <v>0</v>
      </c>
      <c r="M246" s="205">
        <v>213779.25</v>
      </c>
      <c r="N246" s="206"/>
      <c r="O246" s="205">
        <v>80315.75</v>
      </c>
      <c r="P246" s="205">
        <v>0</v>
      </c>
      <c r="Q246" s="205">
        <v>80315.75</v>
      </c>
      <c r="R246" s="206"/>
      <c r="S246" s="205">
        <v>294095</v>
      </c>
      <c r="T246" s="205">
        <v>0</v>
      </c>
      <c r="U246" s="205">
        <v>294095</v>
      </c>
      <c r="V246" s="195"/>
    </row>
    <row r="247" spans="1:22" x14ac:dyDescent="0.25">
      <c r="A247" s="202">
        <v>2021</v>
      </c>
      <c r="B247" s="202" t="s">
        <v>824</v>
      </c>
      <c r="C247" s="203" t="s">
        <v>268</v>
      </c>
      <c r="D247" s="204" t="s">
        <v>821</v>
      </c>
      <c r="E247" s="204" t="s">
        <v>821</v>
      </c>
      <c r="F247" s="204" t="s">
        <v>268</v>
      </c>
      <c r="G247" s="203" t="s">
        <v>613</v>
      </c>
      <c r="H247" s="205">
        <v>0</v>
      </c>
      <c r="I247" s="205">
        <v>0</v>
      </c>
      <c r="J247" s="206"/>
      <c r="K247" s="205">
        <v>0</v>
      </c>
      <c r="L247" s="205">
        <v>0</v>
      </c>
      <c r="M247" s="205">
        <v>0</v>
      </c>
      <c r="N247" s="206"/>
      <c r="O247" s="205">
        <v>0</v>
      </c>
      <c r="P247" s="205">
        <v>0</v>
      </c>
      <c r="Q247" s="205">
        <v>0</v>
      </c>
      <c r="R247" s="206"/>
      <c r="S247" s="205">
        <v>0</v>
      </c>
      <c r="T247" s="205">
        <v>0</v>
      </c>
      <c r="U247" s="205">
        <v>0</v>
      </c>
      <c r="V247" s="195"/>
    </row>
    <row r="248" spans="1:22" x14ac:dyDescent="0.25">
      <c r="A248" s="202">
        <v>2021</v>
      </c>
      <c r="B248" s="202" t="s">
        <v>820</v>
      </c>
      <c r="C248" s="203" t="s">
        <v>269</v>
      </c>
      <c r="D248" s="204" t="s">
        <v>821</v>
      </c>
      <c r="E248" s="204" t="s">
        <v>821</v>
      </c>
      <c r="F248" s="204" t="s">
        <v>269</v>
      </c>
      <c r="G248" s="203" t="s">
        <v>614</v>
      </c>
      <c r="H248" s="205">
        <v>2</v>
      </c>
      <c r="I248" s="205">
        <v>6</v>
      </c>
      <c r="J248" s="206"/>
      <c r="K248" s="205">
        <v>426750.75</v>
      </c>
      <c r="L248" s="205">
        <v>106687.69</v>
      </c>
      <c r="M248" s="205">
        <v>320063.06</v>
      </c>
      <c r="N248" s="206"/>
      <c r="O248" s="205">
        <v>171469.25</v>
      </c>
      <c r="P248" s="205">
        <v>42867.31</v>
      </c>
      <c r="Q248" s="205">
        <v>128601.94</v>
      </c>
      <c r="R248" s="206"/>
      <c r="S248" s="205">
        <v>598220</v>
      </c>
      <c r="T248" s="205">
        <v>149555</v>
      </c>
      <c r="U248" s="205">
        <v>448665</v>
      </c>
      <c r="V248" s="195"/>
    </row>
    <row r="249" spans="1:22" x14ac:dyDescent="0.25">
      <c r="A249" s="202">
        <v>2021</v>
      </c>
      <c r="B249" s="202" t="s">
        <v>822</v>
      </c>
      <c r="C249" s="203" t="s">
        <v>270</v>
      </c>
      <c r="D249" s="204" t="s">
        <v>821</v>
      </c>
      <c r="E249" s="204" t="s">
        <v>821</v>
      </c>
      <c r="F249" s="204" t="s">
        <v>270</v>
      </c>
      <c r="G249" s="203" t="s">
        <v>615</v>
      </c>
      <c r="H249" s="205">
        <v>0</v>
      </c>
      <c r="I249" s="205">
        <v>3</v>
      </c>
      <c r="J249" s="206"/>
      <c r="K249" s="205">
        <v>61210.5</v>
      </c>
      <c r="L249" s="205">
        <v>0</v>
      </c>
      <c r="M249" s="205">
        <v>61210.5</v>
      </c>
      <c r="N249" s="206"/>
      <c r="O249" s="205">
        <v>21811.5</v>
      </c>
      <c r="P249" s="205">
        <v>0</v>
      </c>
      <c r="Q249" s="205">
        <v>21811.5</v>
      </c>
      <c r="R249" s="206"/>
      <c r="S249" s="205">
        <v>83022</v>
      </c>
      <c r="T249" s="205">
        <v>0</v>
      </c>
      <c r="U249" s="205">
        <v>83022</v>
      </c>
      <c r="V249" s="195"/>
    </row>
    <row r="250" spans="1:22" x14ac:dyDescent="0.25">
      <c r="A250" s="202">
        <v>2021</v>
      </c>
      <c r="B250" s="202" t="s">
        <v>825</v>
      </c>
      <c r="C250" s="203" t="s">
        <v>271</v>
      </c>
      <c r="D250" s="204" t="s">
        <v>821</v>
      </c>
      <c r="E250" s="204" t="s">
        <v>821</v>
      </c>
      <c r="F250" s="204" t="s">
        <v>271</v>
      </c>
      <c r="G250" s="203" t="s">
        <v>616</v>
      </c>
      <c r="H250" s="205">
        <v>0</v>
      </c>
      <c r="I250" s="205">
        <v>10</v>
      </c>
      <c r="J250" s="206"/>
      <c r="K250" s="205">
        <v>80478.75</v>
      </c>
      <c r="L250" s="205">
        <v>0</v>
      </c>
      <c r="M250" s="205">
        <v>80478.75</v>
      </c>
      <c r="N250" s="206"/>
      <c r="O250" s="205">
        <v>29511.25</v>
      </c>
      <c r="P250" s="205">
        <v>0</v>
      </c>
      <c r="Q250" s="205">
        <v>29511.25</v>
      </c>
      <c r="R250" s="206"/>
      <c r="S250" s="205">
        <v>109990</v>
      </c>
      <c r="T250" s="205">
        <v>0</v>
      </c>
      <c r="U250" s="205">
        <v>109990</v>
      </c>
      <c r="V250" s="195"/>
    </row>
    <row r="251" spans="1:22" x14ac:dyDescent="0.25">
      <c r="A251" s="202">
        <v>2021</v>
      </c>
      <c r="B251" s="202" t="s">
        <v>820</v>
      </c>
      <c r="C251" s="203" t="s">
        <v>273</v>
      </c>
      <c r="D251" s="204" t="s">
        <v>821</v>
      </c>
      <c r="E251" s="204" t="s">
        <v>821</v>
      </c>
      <c r="F251" s="204" t="s">
        <v>273</v>
      </c>
      <c r="G251" s="203" t="s">
        <v>618</v>
      </c>
      <c r="H251" s="205">
        <v>0</v>
      </c>
      <c r="I251" s="205">
        <v>0</v>
      </c>
      <c r="J251" s="206"/>
      <c r="K251" s="205">
        <v>0</v>
      </c>
      <c r="L251" s="205">
        <v>0</v>
      </c>
      <c r="M251" s="205">
        <v>0</v>
      </c>
      <c r="N251" s="206"/>
      <c r="O251" s="205">
        <v>0</v>
      </c>
      <c r="P251" s="205">
        <v>0</v>
      </c>
      <c r="Q251" s="205">
        <v>0</v>
      </c>
      <c r="R251" s="206"/>
      <c r="S251" s="205">
        <v>0</v>
      </c>
      <c r="T251" s="205">
        <v>0</v>
      </c>
      <c r="U251" s="205">
        <v>0</v>
      </c>
      <c r="V251" s="195"/>
    </row>
    <row r="252" spans="1:22" x14ac:dyDescent="0.25">
      <c r="A252" s="202">
        <v>2021</v>
      </c>
      <c r="B252" s="202" t="s">
        <v>825</v>
      </c>
      <c r="C252" s="203" t="s">
        <v>274</v>
      </c>
      <c r="D252" s="204" t="s">
        <v>821</v>
      </c>
      <c r="E252" s="204" t="s">
        <v>821</v>
      </c>
      <c r="F252" s="204" t="s">
        <v>274</v>
      </c>
      <c r="G252" s="203" t="s">
        <v>619</v>
      </c>
      <c r="H252" s="205">
        <v>1</v>
      </c>
      <c r="I252" s="205">
        <v>1</v>
      </c>
      <c r="J252" s="206"/>
      <c r="K252" s="205">
        <v>33372.75</v>
      </c>
      <c r="L252" s="205">
        <v>16686.38</v>
      </c>
      <c r="M252" s="205">
        <v>16686.37</v>
      </c>
      <c r="N252" s="206"/>
      <c r="O252" s="205">
        <v>11758.25</v>
      </c>
      <c r="P252" s="205">
        <v>5879.13</v>
      </c>
      <c r="Q252" s="205">
        <v>5879.12</v>
      </c>
      <c r="R252" s="206"/>
      <c r="S252" s="205">
        <v>45131</v>
      </c>
      <c r="T252" s="205">
        <v>22565.510000000002</v>
      </c>
      <c r="U252" s="205">
        <v>22565.489999999998</v>
      </c>
      <c r="V252" s="195"/>
    </row>
    <row r="253" spans="1:22" x14ac:dyDescent="0.25">
      <c r="A253" s="202">
        <v>2021</v>
      </c>
      <c r="B253" s="202" t="s">
        <v>824</v>
      </c>
      <c r="C253" s="203" t="s">
        <v>275</v>
      </c>
      <c r="D253" s="204" t="s">
        <v>821</v>
      </c>
      <c r="E253" s="204" t="s">
        <v>821</v>
      </c>
      <c r="F253" s="204" t="s">
        <v>275</v>
      </c>
      <c r="G253" s="203" t="s">
        <v>620</v>
      </c>
      <c r="H253" s="205">
        <v>0</v>
      </c>
      <c r="I253" s="205">
        <v>1</v>
      </c>
      <c r="J253" s="206"/>
      <c r="K253" s="205">
        <v>11037</v>
      </c>
      <c r="L253" s="205">
        <v>0</v>
      </c>
      <c r="M253" s="205">
        <v>11037</v>
      </c>
      <c r="N253" s="206"/>
      <c r="O253" s="205">
        <v>3848</v>
      </c>
      <c r="P253" s="205">
        <v>0</v>
      </c>
      <c r="Q253" s="205">
        <v>3848</v>
      </c>
      <c r="R253" s="206"/>
      <c r="S253" s="205">
        <v>14885</v>
      </c>
      <c r="T253" s="205">
        <v>0</v>
      </c>
      <c r="U253" s="205">
        <v>14885</v>
      </c>
      <c r="V253" s="195"/>
    </row>
    <row r="254" spans="1:22" x14ac:dyDescent="0.25">
      <c r="A254" s="202">
        <v>2021</v>
      </c>
      <c r="B254" s="202" t="s">
        <v>824</v>
      </c>
      <c r="C254" s="203" t="s">
        <v>276</v>
      </c>
      <c r="D254" s="204" t="s">
        <v>821</v>
      </c>
      <c r="E254" s="204" t="s">
        <v>821</v>
      </c>
      <c r="F254" s="204" t="s">
        <v>276</v>
      </c>
      <c r="G254" s="203" t="s">
        <v>621</v>
      </c>
      <c r="H254" s="205">
        <v>0</v>
      </c>
      <c r="I254" s="205">
        <v>0</v>
      </c>
      <c r="J254" s="206"/>
      <c r="K254" s="205">
        <v>0</v>
      </c>
      <c r="L254" s="205">
        <v>0</v>
      </c>
      <c r="M254" s="205">
        <v>0</v>
      </c>
      <c r="N254" s="206"/>
      <c r="O254" s="205">
        <v>0</v>
      </c>
      <c r="P254" s="205">
        <v>0</v>
      </c>
      <c r="Q254" s="205">
        <v>0</v>
      </c>
      <c r="R254" s="206"/>
      <c r="S254" s="205">
        <v>0</v>
      </c>
      <c r="T254" s="205">
        <v>0</v>
      </c>
      <c r="U254" s="205">
        <v>0</v>
      </c>
      <c r="V254" s="195"/>
    </row>
    <row r="255" spans="1:22" x14ac:dyDescent="0.25">
      <c r="A255" s="202">
        <v>2021</v>
      </c>
      <c r="B255" s="202" t="s">
        <v>826</v>
      </c>
      <c r="C255" s="203" t="s">
        <v>277</v>
      </c>
      <c r="D255" s="204" t="s">
        <v>821</v>
      </c>
      <c r="E255" s="204" t="s">
        <v>821</v>
      </c>
      <c r="F255" s="204" t="s">
        <v>277</v>
      </c>
      <c r="G255" s="203" t="s">
        <v>622</v>
      </c>
      <c r="H255" s="205">
        <v>0</v>
      </c>
      <c r="I255" s="205">
        <v>10</v>
      </c>
      <c r="J255" s="206"/>
      <c r="K255" s="205">
        <v>85395</v>
      </c>
      <c r="L255" s="205">
        <v>0</v>
      </c>
      <c r="M255" s="205">
        <v>85395</v>
      </c>
      <c r="N255" s="206"/>
      <c r="O255" s="205">
        <v>34961</v>
      </c>
      <c r="P255" s="205">
        <v>0</v>
      </c>
      <c r="Q255" s="205">
        <v>34961</v>
      </c>
      <c r="R255" s="206"/>
      <c r="S255" s="205">
        <v>120356</v>
      </c>
      <c r="T255" s="205">
        <v>0</v>
      </c>
      <c r="U255" s="205">
        <v>120356</v>
      </c>
      <c r="V255" s="195"/>
    </row>
    <row r="256" spans="1:22" x14ac:dyDescent="0.25">
      <c r="A256" s="202">
        <v>2021</v>
      </c>
      <c r="B256" s="202" t="s">
        <v>824</v>
      </c>
      <c r="C256" s="203" t="s">
        <v>279</v>
      </c>
      <c r="D256" s="204" t="s">
        <v>821</v>
      </c>
      <c r="E256" s="204" t="s">
        <v>821</v>
      </c>
      <c r="F256" s="204" t="s">
        <v>279</v>
      </c>
      <c r="G256" s="203" t="s">
        <v>624</v>
      </c>
      <c r="H256" s="205">
        <v>0</v>
      </c>
      <c r="I256" s="205">
        <v>7</v>
      </c>
      <c r="J256" s="206"/>
      <c r="K256" s="205">
        <v>362223</v>
      </c>
      <c r="L256" s="205">
        <v>0</v>
      </c>
      <c r="M256" s="205">
        <v>362223</v>
      </c>
      <c r="N256" s="206"/>
      <c r="O256" s="205">
        <v>146365</v>
      </c>
      <c r="P256" s="205">
        <v>0</v>
      </c>
      <c r="Q256" s="205">
        <v>146365</v>
      </c>
      <c r="R256" s="206"/>
      <c r="S256" s="205">
        <v>508588</v>
      </c>
      <c r="T256" s="205">
        <v>0</v>
      </c>
      <c r="U256" s="205">
        <v>508588</v>
      </c>
      <c r="V256" s="195"/>
    </row>
    <row r="257" spans="1:22" x14ac:dyDescent="0.25">
      <c r="A257" s="202">
        <v>2021</v>
      </c>
      <c r="B257" s="202" t="s">
        <v>823</v>
      </c>
      <c r="C257" s="203" t="s">
        <v>280</v>
      </c>
      <c r="D257" s="204" t="s">
        <v>821</v>
      </c>
      <c r="E257" s="204" t="s">
        <v>821</v>
      </c>
      <c r="F257" s="204" t="s">
        <v>280</v>
      </c>
      <c r="G257" s="203" t="s">
        <v>625</v>
      </c>
      <c r="H257" s="205">
        <v>4</v>
      </c>
      <c r="I257" s="205">
        <v>4</v>
      </c>
      <c r="J257" s="206"/>
      <c r="K257" s="205">
        <v>300468.75</v>
      </c>
      <c r="L257" s="205">
        <v>150234.38</v>
      </c>
      <c r="M257" s="205">
        <v>150234.37</v>
      </c>
      <c r="N257" s="206"/>
      <c r="O257" s="205">
        <v>109614.25</v>
      </c>
      <c r="P257" s="205">
        <v>54807.13</v>
      </c>
      <c r="Q257" s="205">
        <v>54807.12</v>
      </c>
      <c r="R257" s="206"/>
      <c r="S257" s="205">
        <v>410083</v>
      </c>
      <c r="T257" s="205">
        <v>205041.51</v>
      </c>
      <c r="U257" s="205">
        <v>205041.49</v>
      </c>
      <c r="V257" s="195"/>
    </row>
    <row r="258" spans="1:22" x14ac:dyDescent="0.25">
      <c r="A258" s="202">
        <v>2021</v>
      </c>
      <c r="B258" s="202" t="s">
        <v>824</v>
      </c>
      <c r="C258" s="203" t="s">
        <v>281</v>
      </c>
      <c r="D258" s="204" t="s">
        <v>821</v>
      </c>
      <c r="E258" s="204" t="s">
        <v>821</v>
      </c>
      <c r="F258" s="204" t="s">
        <v>281</v>
      </c>
      <c r="G258" s="203" t="s">
        <v>626</v>
      </c>
      <c r="H258" s="205">
        <v>4</v>
      </c>
      <c r="I258" s="205">
        <v>6</v>
      </c>
      <c r="J258" s="206"/>
      <c r="K258" s="205">
        <v>270298.5</v>
      </c>
      <c r="L258" s="205">
        <v>108119.4</v>
      </c>
      <c r="M258" s="205">
        <v>162179.1</v>
      </c>
      <c r="N258" s="206"/>
      <c r="O258" s="205">
        <v>108210.5</v>
      </c>
      <c r="P258" s="205">
        <v>43284.2</v>
      </c>
      <c r="Q258" s="205">
        <v>64926.3</v>
      </c>
      <c r="R258" s="206"/>
      <c r="S258" s="205">
        <v>378509</v>
      </c>
      <c r="T258" s="205">
        <v>151403.59999999998</v>
      </c>
      <c r="U258" s="205">
        <v>227105.40000000002</v>
      </c>
      <c r="V258" s="195"/>
    </row>
    <row r="259" spans="1:22" x14ac:dyDescent="0.25">
      <c r="A259" s="202">
        <v>2021</v>
      </c>
      <c r="B259" s="202" t="s">
        <v>823</v>
      </c>
      <c r="C259" s="203" t="s">
        <v>282</v>
      </c>
      <c r="D259" s="204" t="s">
        <v>821</v>
      </c>
      <c r="E259" s="204" t="s">
        <v>821</v>
      </c>
      <c r="F259" s="204" t="s">
        <v>282</v>
      </c>
      <c r="G259" s="203" t="s">
        <v>627</v>
      </c>
      <c r="H259" s="205">
        <v>10</v>
      </c>
      <c r="I259" s="205">
        <v>10</v>
      </c>
      <c r="J259" s="206"/>
      <c r="K259" s="205">
        <v>267052.5</v>
      </c>
      <c r="L259" s="205">
        <v>133526.25</v>
      </c>
      <c r="M259" s="205">
        <v>133526.25</v>
      </c>
      <c r="N259" s="206"/>
      <c r="O259" s="205">
        <v>92110.5</v>
      </c>
      <c r="P259" s="205">
        <v>46055.25</v>
      </c>
      <c r="Q259" s="205">
        <v>46055.25</v>
      </c>
      <c r="R259" s="206"/>
      <c r="S259" s="205">
        <v>359163</v>
      </c>
      <c r="T259" s="205">
        <v>179581.5</v>
      </c>
      <c r="U259" s="205">
        <v>179581.5</v>
      </c>
      <c r="V259" s="195"/>
    </row>
    <row r="260" spans="1:22" x14ac:dyDescent="0.25">
      <c r="A260" s="202">
        <v>2021</v>
      </c>
      <c r="B260" s="202" t="s">
        <v>826</v>
      </c>
      <c r="C260" s="203" t="s">
        <v>283</v>
      </c>
      <c r="D260" s="204" t="s">
        <v>821</v>
      </c>
      <c r="E260" s="204" t="s">
        <v>821</v>
      </c>
      <c r="F260" s="204" t="s">
        <v>283</v>
      </c>
      <c r="G260" s="203" t="s">
        <v>628</v>
      </c>
      <c r="H260" s="205">
        <v>0</v>
      </c>
      <c r="I260" s="205">
        <v>1</v>
      </c>
      <c r="J260" s="206"/>
      <c r="K260" s="205">
        <v>21847.5</v>
      </c>
      <c r="L260" s="205">
        <v>0</v>
      </c>
      <c r="M260" s="205">
        <v>21847.5</v>
      </c>
      <c r="N260" s="206"/>
      <c r="O260" s="205">
        <v>8358.5</v>
      </c>
      <c r="P260" s="205">
        <v>0</v>
      </c>
      <c r="Q260" s="205">
        <v>8358.5</v>
      </c>
      <c r="R260" s="206"/>
      <c r="S260" s="205">
        <v>30206</v>
      </c>
      <c r="T260" s="205">
        <v>0</v>
      </c>
      <c r="U260" s="205">
        <v>30206</v>
      </c>
      <c r="V260" s="195"/>
    </row>
    <row r="261" spans="1:22" x14ac:dyDescent="0.25">
      <c r="A261" s="202">
        <v>2021</v>
      </c>
      <c r="B261" s="202" t="s">
        <v>824</v>
      </c>
      <c r="C261" s="203" t="s">
        <v>284</v>
      </c>
      <c r="D261" s="204" t="s">
        <v>821</v>
      </c>
      <c r="E261" s="204" t="s">
        <v>821</v>
      </c>
      <c r="F261" s="204" t="s">
        <v>284</v>
      </c>
      <c r="G261" s="203" t="s">
        <v>629</v>
      </c>
      <c r="H261" s="205">
        <v>0</v>
      </c>
      <c r="I261" s="205">
        <v>5</v>
      </c>
      <c r="J261" s="206"/>
      <c r="K261" s="205">
        <v>400245.75</v>
      </c>
      <c r="L261" s="205">
        <v>0</v>
      </c>
      <c r="M261" s="205">
        <v>400245.75</v>
      </c>
      <c r="N261" s="206"/>
      <c r="O261" s="205">
        <v>143257.25</v>
      </c>
      <c r="P261" s="205">
        <v>0</v>
      </c>
      <c r="Q261" s="205">
        <v>143257.25</v>
      </c>
      <c r="R261" s="206"/>
      <c r="S261" s="205">
        <v>543503</v>
      </c>
      <c r="T261" s="205">
        <v>0</v>
      </c>
      <c r="U261" s="205">
        <v>543503</v>
      </c>
      <c r="V261" s="195"/>
    </row>
    <row r="262" spans="1:22" x14ac:dyDescent="0.25">
      <c r="A262" s="202">
        <v>2021</v>
      </c>
      <c r="B262" s="202" t="s">
        <v>825</v>
      </c>
      <c r="C262" s="203" t="s">
        <v>286</v>
      </c>
      <c r="D262" s="204" t="s">
        <v>821</v>
      </c>
      <c r="E262" s="204" t="s">
        <v>821</v>
      </c>
      <c r="F262" s="204" t="s">
        <v>702</v>
      </c>
      <c r="G262" s="203" t="s">
        <v>631</v>
      </c>
      <c r="H262" s="205">
        <v>0</v>
      </c>
      <c r="I262" s="205">
        <v>5</v>
      </c>
      <c r="J262" s="206"/>
      <c r="K262" s="205">
        <v>101736</v>
      </c>
      <c r="L262" s="205">
        <v>0</v>
      </c>
      <c r="M262" s="205">
        <v>101736</v>
      </c>
      <c r="N262" s="206"/>
      <c r="O262" s="205">
        <v>38961</v>
      </c>
      <c r="P262" s="205">
        <v>0</v>
      </c>
      <c r="Q262" s="205">
        <v>38961</v>
      </c>
      <c r="R262" s="206"/>
      <c r="S262" s="205">
        <v>140697</v>
      </c>
      <c r="T262" s="205">
        <v>0</v>
      </c>
      <c r="U262" s="205">
        <v>140697</v>
      </c>
      <c r="V262" s="195"/>
    </row>
    <row r="263" spans="1:22" x14ac:dyDescent="0.25">
      <c r="A263" s="202">
        <v>2021</v>
      </c>
      <c r="B263" s="202" t="s">
        <v>824</v>
      </c>
      <c r="C263" s="203" t="s">
        <v>285</v>
      </c>
      <c r="D263" s="204" t="s">
        <v>821</v>
      </c>
      <c r="E263" s="204" t="s">
        <v>821</v>
      </c>
      <c r="F263" s="204" t="s">
        <v>285</v>
      </c>
      <c r="G263" s="203" t="s">
        <v>630</v>
      </c>
      <c r="H263" s="205">
        <v>0</v>
      </c>
      <c r="I263" s="205">
        <v>3</v>
      </c>
      <c r="J263" s="206"/>
      <c r="K263" s="205">
        <v>1439144.25</v>
      </c>
      <c r="L263" s="205">
        <v>0</v>
      </c>
      <c r="M263" s="205">
        <v>1439144.25</v>
      </c>
      <c r="N263" s="206"/>
      <c r="O263" s="205">
        <v>536663.75</v>
      </c>
      <c r="P263" s="205">
        <v>0</v>
      </c>
      <c r="Q263" s="205">
        <v>536663.75</v>
      </c>
      <c r="R263" s="206"/>
      <c r="S263" s="205">
        <v>1975808</v>
      </c>
      <c r="T263" s="205">
        <v>0</v>
      </c>
      <c r="U263" s="205">
        <v>1975808</v>
      </c>
      <c r="V263" s="195"/>
    </row>
    <row r="264" spans="1:22" x14ac:dyDescent="0.25">
      <c r="A264" s="202">
        <v>2021</v>
      </c>
      <c r="B264" s="202" t="s">
        <v>827</v>
      </c>
      <c r="C264" s="203" t="s">
        <v>288</v>
      </c>
      <c r="D264" s="204" t="s">
        <v>821</v>
      </c>
      <c r="E264" s="204" t="s">
        <v>821</v>
      </c>
      <c r="F264" s="204" t="s">
        <v>288</v>
      </c>
      <c r="G264" s="203" t="s">
        <v>633</v>
      </c>
      <c r="H264" s="205">
        <v>0</v>
      </c>
      <c r="I264" s="205">
        <v>5</v>
      </c>
      <c r="J264" s="206"/>
      <c r="K264" s="205">
        <v>496227</v>
      </c>
      <c r="L264" s="205">
        <v>0</v>
      </c>
      <c r="M264" s="205">
        <v>496227</v>
      </c>
      <c r="N264" s="206"/>
      <c r="O264" s="205">
        <v>205908</v>
      </c>
      <c r="P264" s="205">
        <v>0</v>
      </c>
      <c r="Q264" s="205">
        <v>205908</v>
      </c>
      <c r="R264" s="206"/>
      <c r="S264" s="205">
        <v>702135</v>
      </c>
      <c r="T264" s="205">
        <v>0</v>
      </c>
      <c r="U264" s="205">
        <v>702135</v>
      </c>
      <c r="V264" s="195"/>
    </row>
    <row r="265" spans="1:22" x14ac:dyDescent="0.25">
      <c r="A265" s="202">
        <v>2021</v>
      </c>
      <c r="B265" s="202" t="s">
        <v>825</v>
      </c>
      <c r="C265" s="203" t="s">
        <v>287</v>
      </c>
      <c r="D265" s="204" t="s">
        <v>821</v>
      </c>
      <c r="E265" s="204" t="s">
        <v>821</v>
      </c>
      <c r="F265" s="204" t="s">
        <v>287</v>
      </c>
      <c r="G265" s="203" t="s">
        <v>632</v>
      </c>
      <c r="H265" s="205">
        <v>0</v>
      </c>
      <c r="I265" s="205">
        <v>1</v>
      </c>
      <c r="J265" s="206"/>
      <c r="K265" s="205">
        <v>39278.25</v>
      </c>
      <c r="L265" s="205">
        <v>0</v>
      </c>
      <c r="M265" s="205">
        <v>39278.25</v>
      </c>
      <c r="N265" s="206"/>
      <c r="O265" s="205">
        <v>14497.75</v>
      </c>
      <c r="P265" s="205">
        <v>0</v>
      </c>
      <c r="Q265" s="205">
        <v>14497.75</v>
      </c>
      <c r="R265" s="206"/>
      <c r="S265" s="205">
        <v>53776</v>
      </c>
      <c r="T265" s="205">
        <v>0</v>
      </c>
      <c r="U265" s="205">
        <v>53776</v>
      </c>
      <c r="V265" s="195"/>
    </row>
    <row r="266" spans="1:22" x14ac:dyDescent="0.25">
      <c r="A266" s="202">
        <v>2021</v>
      </c>
      <c r="B266" s="202" t="s">
        <v>825</v>
      </c>
      <c r="C266" s="203" t="s">
        <v>290</v>
      </c>
      <c r="D266" s="204" t="s">
        <v>821</v>
      </c>
      <c r="E266" s="204" t="s">
        <v>821</v>
      </c>
      <c r="F266" s="204" t="s">
        <v>290</v>
      </c>
      <c r="G266" s="203" t="s">
        <v>635</v>
      </c>
      <c r="H266" s="205">
        <v>0</v>
      </c>
      <c r="I266" s="205">
        <v>8</v>
      </c>
      <c r="J266" s="206"/>
      <c r="K266" s="205">
        <v>243441</v>
      </c>
      <c r="L266" s="205">
        <v>0</v>
      </c>
      <c r="M266" s="205">
        <v>243441</v>
      </c>
      <c r="N266" s="206"/>
      <c r="O266" s="205">
        <v>89587</v>
      </c>
      <c r="P266" s="205">
        <v>0</v>
      </c>
      <c r="Q266" s="205">
        <v>89587</v>
      </c>
      <c r="R266" s="206"/>
      <c r="S266" s="205">
        <v>333028</v>
      </c>
      <c r="T266" s="205">
        <v>0</v>
      </c>
      <c r="U266" s="205">
        <v>333028</v>
      </c>
      <c r="V266" s="195"/>
    </row>
    <row r="267" spans="1:22" x14ac:dyDescent="0.25">
      <c r="A267" s="202">
        <v>2021</v>
      </c>
      <c r="B267" s="202" t="s">
        <v>824</v>
      </c>
      <c r="C267" s="203" t="s">
        <v>255</v>
      </c>
      <c r="D267" s="204" t="s">
        <v>821</v>
      </c>
      <c r="E267" s="204" t="s">
        <v>821</v>
      </c>
      <c r="F267" s="204" t="s">
        <v>699</v>
      </c>
      <c r="G267" s="203" t="s">
        <v>601</v>
      </c>
      <c r="H267" s="205">
        <v>2</v>
      </c>
      <c r="I267" s="205">
        <v>8</v>
      </c>
      <c r="J267" s="206"/>
      <c r="K267" s="205">
        <v>314868</v>
      </c>
      <c r="L267" s="205">
        <v>62973.599999999999</v>
      </c>
      <c r="M267" s="205">
        <v>251894.39999999999</v>
      </c>
      <c r="N267" s="206"/>
      <c r="O267" s="205">
        <v>111813</v>
      </c>
      <c r="P267" s="205">
        <v>22362.6</v>
      </c>
      <c r="Q267" s="205">
        <v>89450.4</v>
      </c>
      <c r="R267" s="206"/>
      <c r="S267" s="205">
        <v>426681</v>
      </c>
      <c r="T267" s="205">
        <v>85336.2</v>
      </c>
      <c r="U267" s="205">
        <v>341344.8</v>
      </c>
      <c r="V267" s="195"/>
    </row>
    <row r="268" spans="1:22" x14ac:dyDescent="0.25">
      <c r="A268" s="202">
        <v>2021</v>
      </c>
      <c r="B268" s="202" t="s">
        <v>823</v>
      </c>
      <c r="C268" s="203" t="s">
        <v>292</v>
      </c>
      <c r="D268" s="204" t="s">
        <v>821</v>
      </c>
      <c r="E268" s="204" t="s">
        <v>821</v>
      </c>
      <c r="F268" s="204" t="s">
        <v>292</v>
      </c>
      <c r="G268" s="203" t="s">
        <v>637</v>
      </c>
      <c r="H268" s="205">
        <v>0</v>
      </c>
      <c r="I268" s="205">
        <v>14</v>
      </c>
      <c r="J268" s="206"/>
      <c r="K268" s="205">
        <v>104505.75</v>
      </c>
      <c r="L268" s="205">
        <v>0</v>
      </c>
      <c r="M268" s="205">
        <v>104505.75</v>
      </c>
      <c r="N268" s="206"/>
      <c r="O268" s="205">
        <v>37315.25</v>
      </c>
      <c r="P268" s="205">
        <v>0</v>
      </c>
      <c r="Q268" s="205">
        <v>37315.25</v>
      </c>
      <c r="R268" s="206"/>
      <c r="S268" s="205">
        <v>141821</v>
      </c>
      <c r="T268" s="205">
        <v>0</v>
      </c>
      <c r="U268" s="205">
        <v>141821</v>
      </c>
      <c r="V268" s="195"/>
    </row>
    <row r="269" spans="1:22" x14ac:dyDescent="0.25">
      <c r="A269" s="202">
        <v>2021</v>
      </c>
      <c r="B269" s="202" t="s">
        <v>822</v>
      </c>
      <c r="C269" s="203" t="s">
        <v>293</v>
      </c>
      <c r="D269" s="204" t="s">
        <v>821</v>
      </c>
      <c r="E269" s="204" t="s">
        <v>821</v>
      </c>
      <c r="F269" s="204" t="s">
        <v>293</v>
      </c>
      <c r="G269" s="203" t="s">
        <v>638</v>
      </c>
      <c r="H269" s="205">
        <v>0</v>
      </c>
      <c r="I269" s="205">
        <v>3</v>
      </c>
      <c r="J269" s="206"/>
      <c r="K269" s="205">
        <v>133323</v>
      </c>
      <c r="L269" s="205">
        <v>0</v>
      </c>
      <c r="M269" s="205">
        <v>133323</v>
      </c>
      <c r="N269" s="206"/>
      <c r="O269" s="205">
        <v>46659</v>
      </c>
      <c r="P269" s="205">
        <v>0</v>
      </c>
      <c r="Q269" s="205">
        <v>46659</v>
      </c>
      <c r="R269" s="206"/>
      <c r="S269" s="205">
        <v>179982</v>
      </c>
      <c r="T269" s="205">
        <v>0</v>
      </c>
      <c r="U269" s="205">
        <v>179982</v>
      </c>
      <c r="V269" s="195"/>
    </row>
    <row r="270" spans="1:22" x14ac:dyDescent="0.25">
      <c r="A270" s="202">
        <v>2021</v>
      </c>
      <c r="B270" s="202" t="s">
        <v>829</v>
      </c>
      <c r="C270" s="203" t="s">
        <v>294</v>
      </c>
      <c r="D270" s="204" t="s">
        <v>821</v>
      </c>
      <c r="E270" s="204" t="s">
        <v>821</v>
      </c>
      <c r="F270" s="204" t="s">
        <v>294</v>
      </c>
      <c r="G270" s="203" t="s">
        <v>639</v>
      </c>
      <c r="H270" s="205">
        <v>3</v>
      </c>
      <c r="I270" s="205">
        <v>3</v>
      </c>
      <c r="J270" s="206"/>
      <c r="K270" s="205">
        <v>159220.5</v>
      </c>
      <c r="L270" s="205">
        <v>79610.25</v>
      </c>
      <c r="M270" s="205">
        <v>79610.25</v>
      </c>
      <c r="N270" s="206"/>
      <c r="O270" s="205">
        <v>59293.5</v>
      </c>
      <c r="P270" s="205">
        <v>29646.75</v>
      </c>
      <c r="Q270" s="205">
        <v>29646.75</v>
      </c>
      <c r="R270" s="206"/>
      <c r="S270" s="205">
        <v>218514</v>
      </c>
      <c r="T270" s="205">
        <v>109257</v>
      </c>
      <c r="U270" s="205">
        <v>109257</v>
      </c>
      <c r="V270" s="195"/>
    </row>
    <row r="271" spans="1:22" x14ac:dyDescent="0.25">
      <c r="A271" s="202">
        <v>2021</v>
      </c>
      <c r="B271" s="202" t="s">
        <v>820</v>
      </c>
      <c r="C271" s="203" t="s">
        <v>295</v>
      </c>
      <c r="D271" s="204" t="s">
        <v>821</v>
      </c>
      <c r="E271" s="204" t="s">
        <v>821</v>
      </c>
      <c r="F271" s="204" t="s">
        <v>295</v>
      </c>
      <c r="G271" s="203" t="s">
        <v>640</v>
      </c>
      <c r="H271" s="205">
        <v>0</v>
      </c>
      <c r="I271" s="205">
        <v>5</v>
      </c>
      <c r="J271" s="206"/>
      <c r="K271" s="205">
        <v>1813601.25</v>
      </c>
      <c r="L271" s="205">
        <v>0</v>
      </c>
      <c r="M271" s="205">
        <v>1813601.25</v>
      </c>
      <c r="N271" s="206"/>
      <c r="O271" s="205">
        <v>683158.75</v>
      </c>
      <c r="P271" s="205">
        <v>0</v>
      </c>
      <c r="Q271" s="205">
        <v>683158.75</v>
      </c>
      <c r="R271" s="206"/>
      <c r="S271" s="205">
        <v>2496760</v>
      </c>
      <c r="T271" s="205">
        <v>0</v>
      </c>
      <c r="U271" s="205">
        <v>2496760</v>
      </c>
      <c r="V271" s="195"/>
    </row>
    <row r="272" spans="1:22" x14ac:dyDescent="0.25">
      <c r="A272" s="202">
        <v>2021</v>
      </c>
      <c r="B272" s="202" t="s">
        <v>820</v>
      </c>
      <c r="C272" s="203" t="s">
        <v>289</v>
      </c>
      <c r="D272" s="204" t="s">
        <v>821</v>
      </c>
      <c r="E272" s="204" t="s">
        <v>821</v>
      </c>
      <c r="F272" s="204" t="s">
        <v>289</v>
      </c>
      <c r="G272" s="203" t="s">
        <v>634</v>
      </c>
      <c r="H272" s="205">
        <v>0</v>
      </c>
      <c r="I272" s="205">
        <v>5</v>
      </c>
      <c r="J272" s="206"/>
      <c r="K272" s="205">
        <v>101658.75</v>
      </c>
      <c r="L272" s="205">
        <v>0</v>
      </c>
      <c r="M272" s="205">
        <v>101658.75</v>
      </c>
      <c r="N272" s="206"/>
      <c r="O272" s="205">
        <v>36764.25</v>
      </c>
      <c r="P272" s="205">
        <v>0</v>
      </c>
      <c r="Q272" s="205">
        <v>36764.25</v>
      </c>
      <c r="R272" s="206"/>
      <c r="S272" s="205">
        <v>138423</v>
      </c>
      <c r="T272" s="205">
        <v>0</v>
      </c>
      <c r="U272" s="205">
        <v>138423</v>
      </c>
      <c r="V272" s="195"/>
    </row>
    <row r="273" spans="1:22" x14ac:dyDescent="0.25">
      <c r="A273" s="202">
        <v>2021</v>
      </c>
      <c r="B273" s="202" t="s">
        <v>825</v>
      </c>
      <c r="C273" s="203" t="s">
        <v>291</v>
      </c>
      <c r="D273" s="204" t="s">
        <v>821</v>
      </c>
      <c r="E273" s="204" t="s">
        <v>821</v>
      </c>
      <c r="F273" s="204" t="s">
        <v>291</v>
      </c>
      <c r="G273" s="203" t="s">
        <v>636</v>
      </c>
      <c r="H273" s="205">
        <v>0</v>
      </c>
      <c r="I273" s="205">
        <v>1</v>
      </c>
      <c r="J273" s="206"/>
      <c r="K273" s="205">
        <v>18992.25</v>
      </c>
      <c r="L273" s="205">
        <v>0</v>
      </c>
      <c r="M273" s="205">
        <v>18992.25</v>
      </c>
      <c r="N273" s="206"/>
      <c r="O273" s="205">
        <v>6314.75</v>
      </c>
      <c r="P273" s="205">
        <v>0</v>
      </c>
      <c r="Q273" s="205">
        <v>6314.75</v>
      </c>
      <c r="R273" s="206"/>
      <c r="S273" s="205">
        <v>25307</v>
      </c>
      <c r="T273" s="205">
        <v>0</v>
      </c>
      <c r="U273" s="205">
        <v>25307</v>
      </c>
      <c r="V273" s="195"/>
    </row>
    <row r="274" spans="1:22" x14ac:dyDescent="0.25">
      <c r="A274" s="202">
        <v>2021</v>
      </c>
      <c r="B274" s="202" t="s">
        <v>825</v>
      </c>
      <c r="C274" s="203" t="s">
        <v>296</v>
      </c>
      <c r="D274" s="204" t="s">
        <v>821</v>
      </c>
      <c r="E274" s="204" t="s">
        <v>821</v>
      </c>
      <c r="F274" s="204" t="s">
        <v>296</v>
      </c>
      <c r="G274" s="203" t="s">
        <v>641</v>
      </c>
      <c r="H274" s="205">
        <v>0</v>
      </c>
      <c r="I274" s="205">
        <v>4</v>
      </c>
      <c r="J274" s="206"/>
      <c r="K274" s="205">
        <v>371863.5</v>
      </c>
      <c r="L274" s="205">
        <v>0</v>
      </c>
      <c r="M274" s="205">
        <v>371863.5</v>
      </c>
      <c r="N274" s="206"/>
      <c r="O274" s="205">
        <v>132878.5</v>
      </c>
      <c r="P274" s="205">
        <v>0</v>
      </c>
      <c r="Q274" s="205">
        <v>132878.5</v>
      </c>
      <c r="R274" s="206"/>
      <c r="S274" s="205">
        <v>504742</v>
      </c>
      <c r="T274" s="205">
        <v>0</v>
      </c>
      <c r="U274" s="205">
        <v>504742</v>
      </c>
      <c r="V274" s="195"/>
    </row>
    <row r="275" spans="1:22" x14ac:dyDescent="0.25">
      <c r="A275" s="202">
        <v>2021</v>
      </c>
      <c r="B275" s="202" t="s">
        <v>825</v>
      </c>
      <c r="C275" s="203" t="s">
        <v>297</v>
      </c>
      <c r="D275" s="204" t="s">
        <v>821</v>
      </c>
      <c r="E275" s="204" t="s">
        <v>821</v>
      </c>
      <c r="F275" s="204" t="s">
        <v>297</v>
      </c>
      <c r="G275" s="203" t="s">
        <v>642</v>
      </c>
      <c r="H275" s="205">
        <v>0</v>
      </c>
      <c r="I275" s="205">
        <v>5</v>
      </c>
      <c r="J275" s="206"/>
      <c r="K275" s="205">
        <v>379381.5</v>
      </c>
      <c r="L275" s="205">
        <v>0</v>
      </c>
      <c r="M275" s="205">
        <v>379381.5</v>
      </c>
      <c r="N275" s="206"/>
      <c r="O275" s="205">
        <v>153401.5</v>
      </c>
      <c r="P275" s="205">
        <v>0</v>
      </c>
      <c r="Q275" s="205">
        <v>153401.5</v>
      </c>
      <c r="R275" s="206"/>
      <c r="S275" s="205">
        <v>532783</v>
      </c>
      <c r="T275" s="205">
        <v>0</v>
      </c>
      <c r="U275" s="205">
        <v>532783</v>
      </c>
      <c r="V275" s="195"/>
    </row>
    <row r="276" spans="1:22" x14ac:dyDescent="0.25">
      <c r="A276" s="202">
        <v>2021</v>
      </c>
      <c r="B276" s="202" t="s">
        <v>827</v>
      </c>
      <c r="C276" s="203" t="s">
        <v>298</v>
      </c>
      <c r="D276" s="204" t="s">
        <v>821</v>
      </c>
      <c r="E276" s="204" t="s">
        <v>821</v>
      </c>
      <c r="F276" s="204" t="s">
        <v>298</v>
      </c>
      <c r="G276" s="203" t="s">
        <v>643</v>
      </c>
      <c r="H276" s="205">
        <v>0</v>
      </c>
      <c r="I276" s="205">
        <v>6</v>
      </c>
      <c r="J276" s="206"/>
      <c r="K276" s="205">
        <v>139684.5</v>
      </c>
      <c r="L276" s="205">
        <v>0</v>
      </c>
      <c r="M276" s="205">
        <v>139684.5</v>
      </c>
      <c r="N276" s="206"/>
      <c r="O276" s="205">
        <v>52046.5</v>
      </c>
      <c r="P276" s="205">
        <v>0</v>
      </c>
      <c r="Q276" s="205">
        <v>52046.5</v>
      </c>
      <c r="R276" s="206"/>
      <c r="S276" s="205">
        <v>191731</v>
      </c>
      <c r="T276" s="205">
        <v>0</v>
      </c>
      <c r="U276" s="205">
        <v>191731</v>
      </c>
      <c r="V276" s="195"/>
    </row>
    <row r="277" spans="1:22" x14ac:dyDescent="0.25">
      <c r="A277" s="202">
        <v>2021</v>
      </c>
      <c r="B277" s="202" t="s">
        <v>822</v>
      </c>
      <c r="C277" s="203" t="s">
        <v>272</v>
      </c>
      <c r="D277" s="204" t="s">
        <v>821</v>
      </c>
      <c r="E277" s="204" t="s">
        <v>821</v>
      </c>
      <c r="F277" s="204" t="s">
        <v>272</v>
      </c>
      <c r="G277" s="203" t="s">
        <v>617</v>
      </c>
      <c r="H277" s="205">
        <v>0</v>
      </c>
      <c r="I277" s="205">
        <v>7</v>
      </c>
      <c r="J277" s="206"/>
      <c r="K277" s="205">
        <v>173925.75</v>
      </c>
      <c r="L277" s="205">
        <v>0</v>
      </c>
      <c r="M277" s="205">
        <v>173925.75</v>
      </c>
      <c r="N277" s="206"/>
      <c r="O277" s="205">
        <v>68877.25</v>
      </c>
      <c r="P277" s="205">
        <v>0</v>
      </c>
      <c r="Q277" s="205">
        <v>68877.25</v>
      </c>
      <c r="R277" s="206"/>
      <c r="S277" s="205">
        <v>242803</v>
      </c>
      <c r="T277" s="205">
        <v>0</v>
      </c>
      <c r="U277" s="205">
        <v>242803</v>
      </c>
      <c r="V277" s="195"/>
    </row>
    <row r="278" spans="1:22" x14ac:dyDescent="0.25">
      <c r="A278" s="202">
        <v>2021</v>
      </c>
      <c r="B278" s="202" t="s">
        <v>823</v>
      </c>
      <c r="C278" s="203" t="s">
        <v>299</v>
      </c>
      <c r="D278" s="204" t="s">
        <v>821</v>
      </c>
      <c r="E278" s="204" t="s">
        <v>821</v>
      </c>
      <c r="F278" s="204" t="s">
        <v>299</v>
      </c>
      <c r="G278" s="203" t="s">
        <v>644</v>
      </c>
      <c r="H278" s="205">
        <v>3</v>
      </c>
      <c r="I278" s="205">
        <v>3</v>
      </c>
      <c r="J278" s="206"/>
      <c r="K278" s="205">
        <v>45504.75</v>
      </c>
      <c r="L278" s="205">
        <v>22752.38</v>
      </c>
      <c r="M278" s="205">
        <v>22752.37</v>
      </c>
      <c r="N278" s="206"/>
      <c r="O278" s="205">
        <v>15949.25</v>
      </c>
      <c r="P278" s="205">
        <v>7974.63</v>
      </c>
      <c r="Q278" s="205">
        <v>7974.62</v>
      </c>
      <c r="R278" s="206"/>
      <c r="S278" s="205">
        <v>61454</v>
      </c>
      <c r="T278" s="205">
        <v>30727.010000000002</v>
      </c>
      <c r="U278" s="205">
        <v>30726.989999999998</v>
      </c>
      <c r="V278" s="195"/>
    </row>
    <row r="279" spans="1:22" x14ac:dyDescent="0.25">
      <c r="A279" s="202">
        <v>2021</v>
      </c>
      <c r="B279" s="202" t="s">
        <v>829</v>
      </c>
      <c r="C279" s="203" t="s">
        <v>300</v>
      </c>
      <c r="D279" s="204" t="s">
        <v>821</v>
      </c>
      <c r="E279" s="204" t="s">
        <v>821</v>
      </c>
      <c r="F279" s="204" t="s">
        <v>300</v>
      </c>
      <c r="G279" s="203" t="s">
        <v>645</v>
      </c>
      <c r="H279" s="205">
        <v>1</v>
      </c>
      <c r="I279" s="205">
        <v>1</v>
      </c>
      <c r="J279" s="206"/>
      <c r="K279" s="205">
        <v>41964.75</v>
      </c>
      <c r="L279" s="205">
        <v>20982.38</v>
      </c>
      <c r="M279" s="205">
        <v>20982.37</v>
      </c>
      <c r="N279" s="206"/>
      <c r="O279" s="205">
        <v>15873.25</v>
      </c>
      <c r="P279" s="205">
        <v>7936.63</v>
      </c>
      <c r="Q279" s="205">
        <v>7936.62</v>
      </c>
      <c r="R279" s="206"/>
      <c r="S279" s="205">
        <v>57838</v>
      </c>
      <c r="T279" s="205">
        <v>28919.010000000002</v>
      </c>
      <c r="U279" s="205">
        <v>28918.989999999998</v>
      </c>
      <c r="V279" s="195"/>
    </row>
    <row r="280" spans="1:22" x14ac:dyDescent="0.25">
      <c r="A280" s="202">
        <v>2021</v>
      </c>
      <c r="B280" s="202" t="s">
        <v>825</v>
      </c>
      <c r="C280" s="203" t="s">
        <v>301</v>
      </c>
      <c r="D280" s="204" t="s">
        <v>821</v>
      </c>
      <c r="E280" s="204" t="s">
        <v>821</v>
      </c>
      <c r="F280" s="204" t="s">
        <v>301</v>
      </c>
      <c r="G280" s="203" t="s">
        <v>646</v>
      </c>
      <c r="H280" s="205">
        <v>0</v>
      </c>
      <c r="I280" s="205">
        <v>4</v>
      </c>
      <c r="J280" s="206"/>
      <c r="K280" s="205">
        <v>340300.5</v>
      </c>
      <c r="L280" s="205">
        <v>0</v>
      </c>
      <c r="M280" s="205">
        <v>340300.5</v>
      </c>
      <c r="N280" s="206"/>
      <c r="O280" s="205">
        <v>126247.5</v>
      </c>
      <c r="P280" s="205">
        <v>0</v>
      </c>
      <c r="Q280" s="205">
        <v>126247.5</v>
      </c>
      <c r="R280" s="206"/>
      <c r="S280" s="205">
        <v>466548</v>
      </c>
      <c r="T280" s="205">
        <v>0</v>
      </c>
      <c r="U280" s="205">
        <v>466548</v>
      </c>
      <c r="V280" s="195"/>
    </row>
    <row r="281" spans="1:22" x14ac:dyDescent="0.25">
      <c r="A281" s="202">
        <v>2021</v>
      </c>
      <c r="B281" s="202" t="s">
        <v>825</v>
      </c>
      <c r="C281" s="203" t="s">
        <v>302</v>
      </c>
      <c r="D281" s="204" t="s">
        <v>821</v>
      </c>
      <c r="E281" s="204" t="s">
        <v>821</v>
      </c>
      <c r="F281" s="204" t="s">
        <v>302</v>
      </c>
      <c r="G281" s="203" t="s">
        <v>647</v>
      </c>
      <c r="H281" s="205">
        <v>0</v>
      </c>
      <c r="I281" s="205">
        <v>7</v>
      </c>
      <c r="J281" s="206"/>
      <c r="K281" s="205">
        <v>56325</v>
      </c>
      <c r="L281" s="205">
        <v>0</v>
      </c>
      <c r="M281" s="205">
        <v>56325</v>
      </c>
      <c r="N281" s="206"/>
      <c r="O281" s="205">
        <v>21269</v>
      </c>
      <c r="P281" s="205">
        <v>0</v>
      </c>
      <c r="Q281" s="205">
        <v>21269</v>
      </c>
      <c r="R281" s="206"/>
      <c r="S281" s="205">
        <v>77594</v>
      </c>
      <c r="T281" s="205">
        <v>0</v>
      </c>
      <c r="U281" s="205">
        <v>77594</v>
      </c>
      <c r="V281" s="195"/>
    </row>
    <row r="282" spans="1:22" x14ac:dyDescent="0.25">
      <c r="A282" s="202">
        <v>2021</v>
      </c>
      <c r="B282" s="202" t="s">
        <v>822</v>
      </c>
      <c r="C282" s="203" t="s">
        <v>304</v>
      </c>
      <c r="D282" s="204" t="s">
        <v>821</v>
      </c>
      <c r="E282" s="204" t="s">
        <v>821</v>
      </c>
      <c r="F282" s="204" t="s">
        <v>304</v>
      </c>
      <c r="G282" s="203" t="s">
        <v>649</v>
      </c>
      <c r="H282" s="205">
        <v>0</v>
      </c>
      <c r="I282" s="205">
        <v>7</v>
      </c>
      <c r="J282" s="206"/>
      <c r="K282" s="205">
        <v>261941.25</v>
      </c>
      <c r="L282" s="205">
        <v>0</v>
      </c>
      <c r="M282" s="205">
        <v>261941.25</v>
      </c>
      <c r="N282" s="206"/>
      <c r="O282" s="205">
        <v>92171.75</v>
      </c>
      <c r="P282" s="205">
        <v>0</v>
      </c>
      <c r="Q282" s="205">
        <v>92171.75</v>
      </c>
      <c r="R282" s="206"/>
      <c r="S282" s="205">
        <v>354113</v>
      </c>
      <c r="T282" s="205">
        <v>0</v>
      </c>
      <c r="U282" s="205">
        <v>354113</v>
      </c>
      <c r="V282" s="195"/>
    </row>
    <row r="283" spans="1:22" x14ac:dyDescent="0.25">
      <c r="A283" s="202">
        <v>2021</v>
      </c>
      <c r="B283" s="202" t="s">
        <v>827</v>
      </c>
      <c r="C283" s="203" t="s">
        <v>305</v>
      </c>
      <c r="D283" s="204" t="s">
        <v>821</v>
      </c>
      <c r="E283" s="204" t="s">
        <v>821</v>
      </c>
      <c r="F283" s="204" t="s">
        <v>305</v>
      </c>
      <c r="G283" s="203" t="s">
        <v>650</v>
      </c>
      <c r="H283" s="205">
        <v>5</v>
      </c>
      <c r="I283" s="205">
        <v>5</v>
      </c>
      <c r="J283" s="206"/>
      <c r="K283" s="205">
        <v>388566</v>
      </c>
      <c r="L283" s="205">
        <v>194283</v>
      </c>
      <c r="M283" s="205">
        <v>194283</v>
      </c>
      <c r="N283" s="206"/>
      <c r="O283" s="205">
        <v>179515</v>
      </c>
      <c r="P283" s="205">
        <v>89757.5</v>
      </c>
      <c r="Q283" s="205">
        <v>89757.5</v>
      </c>
      <c r="R283" s="206"/>
      <c r="S283" s="205">
        <v>568081</v>
      </c>
      <c r="T283" s="205">
        <v>284040.5</v>
      </c>
      <c r="U283" s="205">
        <v>284040.5</v>
      </c>
      <c r="V283" s="195"/>
    </row>
    <row r="284" spans="1:22" x14ac:dyDescent="0.25">
      <c r="A284" s="202">
        <v>2021</v>
      </c>
      <c r="B284" s="202" t="s">
        <v>823</v>
      </c>
      <c r="C284" s="203" t="s">
        <v>306</v>
      </c>
      <c r="D284" s="204" t="s">
        <v>821</v>
      </c>
      <c r="E284" s="204" t="s">
        <v>821</v>
      </c>
      <c r="F284" s="204" t="s">
        <v>306</v>
      </c>
      <c r="G284" s="203" t="s">
        <v>651</v>
      </c>
      <c r="H284" s="205">
        <v>0</v>
      </c>
      <c r="I284" s="205">
        <v>5</v>
      </c>
      <c r="J284" s="206"/>
      <c r="K284" s="205">
        <v>138792.75</v>
      </c>
      <c r="L284" s="205">
        <v>0</v>
      </c>
      <c r="M284" s="205">
        <v>138792.75</v>
      </c>
      <c r="N284" s="206"/>
      <c r="O284" s="205">
        <v>71045.25</v>
      </c>
      <c r="P284" s="205">
        <v>0</v>
      </c>
      <c r="Q284" s="205">
        <v>71045.25</v>
      </c>
      <c r="R284" s="206"/>
      <c r="S284" s="205">
        <v>209838</v>
      </c>
      <c r="T284" s="205">
        <v>0</v>
      </c>
      <c r="U284" s="205">
        <v>209838</v>
      </c>
      <c r="V284" s="195"/>
    </row>
    <row r="285" spans="1:22" x14ac:dyDescent="0.25">
      <c r="A285" s="202">
        <v>2021</v>
      </c>
      <c r="B285" s="202" t="s">
        <v>823</v>
      </c>
      <c r="C285" s="203" t="s">
        <v>307</v>
      </c>
      <c r="D285" s="204" t="s">
        <v>821</v>
      </c>
      <c r="E285" s="204" t="s">
        <v>821</v>
      </c>
      <c r="F285" s="204" t="s">
        <v>307</v>
      </c>
      <c r="G285" s="203" t="s">
        <v>652</v>
      </c>
      <c r="H285" s="205">
        <v>0</v>
      </c>
      <c r="I285" s="205">
        <v>1</v>
      </c>
      <c r="J285" s="206"/>
      <c r="K285" s="205">
        <v>23405.25</v>
      </c>
      <c r="L285" s="205">
        <v>0</v>
      </c>
      <c r="M285" s="205">
        <v>23405.25</v>
      </c>
      <c r="N285" s="206"/>
      <c r="O285" s="205">
        <v>8577.75</v>
      </c>
      <c r="P285" s="205">
        <v>0</v>
      </c>
      <c r="Q285" s="205">
        <v>8577.75</v>
      </c>
      <c r="R285" s="206"/>
      <c r="S285" s="205">
        <v>31983</v>
      </c>
      <c r="T285" s="205">
        <v>0</v>
      </c>
      <c r="U285" s="205">
        <v>31983</v>
      </c>
      <c r="V285" s="195"/>
    </row>
    <row r="286" spans="1:22" x14ac:dyDescent="0.25">
      <c r="A286" s="202">
        <v>2021</v>
      </c>
      <c r="B286" s="202" t="s">
        <v>826</v>
      </c>
      <c r="C286" s="203" t="s">
        <v>308</v>
      </c>
      <c r="D286" s="204" t="s">
        <v>821</v>
      </c>
      <c r="E286" s="204" t="s">
        <v>821</v>
      </c>
      <c r="F286" s="204" t="s">
        <v>308</v>
      </c>
      <c r="G286" s="203" t="s">
        <v>653</v>
      </c>
      <c r="H286" s="205">
        <v>0</v>
      </c>
      <c r="I286" s="205">
        <v>1</v>
      </c>
      <c r="J286" s="206"/>
      <c r="K286" s="205">
        <v>8939.25</v>
      </c>
      <c r="L286" s="205">
        <v>0</v>
      </c>
      <c r="M286" s="205">
        <v>8939.25</v>
      </c>
      <c r="N286" s="206"/>
      <c r="O286" s="205">
        <v>3197.75</v>
      </c>
      <c r="P286" s="205">
        <v>0</v>
      </c>
      <c r="Q286" s="205">
        <v>3197.75</v>
      </c>
      <c r="R286" s="206"/>
      <c r="S286" s="205">
        <v>12137</v>
      </c>
      <c r="T286" s="205">
        <v>0</v>
      </c>
      <c r="U286" s="205">
        <v>12137</v>
      </c>
      <c r="V286" s="195"/>
    </row>
    <row r="287" spans="1:22" x14ac:dyDescent="0.25">
      <c r="A287" s="202">
        <v>2021</v>
      </c>
      <c r="B287" s="202" t="s">
        <v>822</v>
      </c>
      <c r="C287" s="203" t="s">
        <v>309</v>
      </c>
      <c r="D287" s="204" t="s">
        <v>821</v>
      </c>
      <c r="E287" s="204" t="s">
        <v>821</v>
      </c>
      <c r="F287" s="204" t="s">
        <v>309</v>
      </c>
      <c r="G287" s="203" t="s">
        <v>654</v>
      </c>
      <c r="H287" s="205">
        <v>0</v>
      </c>
      <c r="I287" s="205">
        <v>2</v>
      </c>
      <c r="J287" s="206"/>
      <c r="K287" s="205">
        <v>33267.75</v>
      </c>
      <c r="L287" s="205">
        <v>0</v>
      </c>
      <c r="M287" s="205">
        <v>33267.75</v>
      </c>
      <c r="N287" s="206"/>
      <c r="O287" s="205">
        <v>12083.25</v>
      </c>
      <c r="P287" s="205">
        <v>0</v>
      </c>
      <c r="Q287" s="205">
        <v>12083.25</v>
      </c>
      <c r="R287" s="206"/>
      <c r="S287" s="205">
        <v>45351</v>
      </c>
      <c r="T287" s="205">
        <v>0</v>
      </c>
      <c r="U287" s="205">
        <v>45351</v>
      </c>
      <c r="V287" s="195"/>
    </row>
    <row r="288" spans="1:22" x14ac:dyDescent="0.25">
      <c r="A288" s="202">
        <v>2021</v>
      </c>
      <c r="B288" s="202" t="s">
        <v>829</v>
      </c>
      <c r="C288" s="203" t="s">
        <v>310</v>
      </c>
      <c r="D288" s="204" t="s">
        <v>821</v>
      </c>
      <c r="E288" s="204" t="s">
        <v>821</v>
      </c>
      <c r="F288" s="204" t="s">
        <v>310</v>
      </c>
      <c r="G288" s="203" t="s">
        <v>655</v>
      </c>
      <c r="H288" s="205">
        <v>0</v>
      </c>
      <c r="I288" s="205">
        <v>0</v>
      </c>
      <c r="J288" s="206"/>
      <c r="K288" s="205">
        <v>0</v>
      </c>
      <c r="L288" s="205">
        <v>0</v>
      </c>
      <c r="M288" s="205">
        <v>0</v>
      </c>
      <c r="N288" s="206"/>
      <c r="O288" s="205">
        <v>0</v>
      </c>
      <c r="P288" s="205">
        <v>0</v>
      </c>
      <c r="Q288" s="205">
        <v>0</v>
      </c>
      <c r="R288" s="206"/>
      <c r="S288" s="205">
        <v>0</v>
      </c>
      <c r="T288" s="205">
        <v>0</v>
      </c>
      <c r="U288" s="205">
        <v>0</v>
      </c>
    </row>
    <row r="289" spans="1:21" x14ac:dyDescent="0.25">
      <c r="A289" s="202">
        <v>2021</v>
      </c>
      <c r="B289" s="202" t="s">
        <v>820</v>
      </c>
      <c r="C289" s="203" t="s">
        <v>311</v>
      </c>
      <c r="D289" s="204" t="s">
        <v>821</v>
      </c>
      <c r="E289" s="204" t="s">
        <v>821</v>
      </c>
      <c r="F289" s="204" t="s">
        <v>311</v>
      </c>
      <c r="G289" s="203" t="s">
        <v>656</v>
      </c>
      <c r="H289" s="205">
        <v>0</v>
      </c>
      <c r="I289" s="205">
        <v>2</v>
      </c>
      <c r="J289" s="206"/>
      <c r="K289" s="205">
        <v>26574.75</v>
      </c>
      <c r="L289" s="205">
        <v>0</v>
      </c>
      <c r="M289" s="205">
        <v>26574.75</v>
      </c>
      <c r="N289" s="206"/>
      <c r="O289" s="205">
        <v>9139.25</v>
      </c>
      <c r="P289" s="205">
        <v>0</v>
      </c>
      <c r="Q289" s="205">
        <v>9139.25</v>
      </c>
      <c r="R289" s="206"/>
      <c r="S289" s="205">
        <v>35714</v>
      </c>
      <c r="T289" s="205">
        <v>0</v>
      </c>
      <c r="U289" s="205">
        <v>35714</v>
      </c>
    </row>
    <row r="290" spans="1:21" x14ac:dyDescent="0.25">
      <c r="A290" s="202">
        <v>2021</v>
      </c>
      <c r="B290" s="202" t="s">
        <v>825</v>
      </c>
      <c r="C290" s="203" t="s">
        <v>312</v>
      </c>
      <c r="D290" s="204" t="s">
        <v>821</v>
      </c>
      <c r="E290" s="204" t="s">
        <v>821</v>
      </c>
      <c r="F290" s="204" t="s">
        <v>312</v>
      </c>
      <c r="G290" s="203" t="s">
        <v>657</v>
      </c>
      <c r="H290" s="205">
        <v>0</v>
      </c>
      <c r="I290" s="205">
        <v>10</v>
      </c>
      <c r="J290" s="206"/>
      <c r="K290" s="205">
        <v>63128.25</v>
      </c>
      <c r="L290" s="205">
        <v>0</v>
      </c>
      <c r="M290" s="205">
        <v>63128.25</v>
      </c>
      <c r="N290" s="206"/>
      <c r="O290" s="205">
        <v>21771.75</v>
      </c>
      <c r="P290" s="205">
        <v>0</v>
      </c>
      <c r="Q290" s="205">
        <v>21771.75</v>
      </c>
      <c r="R290" s="206"/>
      <c r="S290" s="205">
        <v>84900</v>
      </c>
      <c r="T290" s="205">
        <v>0</v>
      </c>
      <c r="U290" s="205">
        <v>84900</v>
      </c>
    </row>
    <row r="291" spans="1:21" x14ac:dyDescent="0.25">
      <c r="A291" s="202">
        <v>2021</v>
      </c>
      <c r="B291" s="202" t="s">
        <v>823</v>
      </c>
      <c r="C291" s="203" t="s">
        <v>313</v>
      </c>
      <c r="D291" s="204" t="s">
        <v>821</v>
      </c>
      <c r="E291" s="204" t="s">
        <v>821</v>
      </c>
      <c r="F291" s="204" t="s">
        <v>313</v>
      </c>
      <c r="G291" s="203" t="s">
        <v>658</v>
      </c>
      <c r="H291" s="205">
        <v>0</v>
      </c>
      <c r="I291" s="205">
        <v>0</v>
      </c>
      <c r="J291" s="206"/>
      <c r="K291" s="205">
        <v>0</v>
      </c>
      <c r="L291" s="205">
        <v>0</v>
      </c>
      <c r="M291" s="205">
        <v>0</v>
      </c>
      <c r="N291" s="206"/>
      <c r="O291" s="205">
        <v>0</v>
      </c>
      <c r="P291" s="205">
        <v>0</v>
      </c>
      <c r="Q291" s="205">
        <v>0</v>
      </c>
      <c r="R291" s="206"/>
      <c r="S291" s="205">
        <v>0</v>
      </c>
      <c r="T291" s="205">
        <v>0</v>
      </c>
      <c r="U291" s="205">
        <v>0</v>
      </c>
    </row>
    <row r="292" spans="1:21" x14ac:dyDescent="0.25">
      <c r="A292" s="202">
        <v>2021</v>
      </c>
      <c r="B292" s="202" t="s">
        <v>822</v>
      </c>
      <c r="C292" s="203" t="s">
        <v>115</v>
      </c>
      <c r="D292" s="204" t="s">
        <v>821</v>
      </c>
      <c r="E292" s="204" t="s">
        <v>821</v>
      </c>
      <c r="F292" s="204" t="s">
        <v>696</v>
      </c>
      <c r="G292" s="203" t="s">
        <v>468</v>
      </c>
      <c r="H292" s="205">
        <v>1</v>
      </c>
      <c r="I292" s="205">
        <v>7</v>
      </c>
      <c r="J292" s="206"/>
      <c r="K292" s="205">
        <v>397054.5</v>
      </c>
      <c r="L292" s="205">
        <v>49631.81</v>
      </c>
      <c r="M292" s="205">
        <v>347422.69</v>
      </c>
      <c r="N292" s="206"/>
      <c r="O292" s="205">
        <v>156515.5</v>
      </c>
      <c r="P292" s="205">
        <v>19564.439999999999</v>
      </c>
      <c r="Q292" s="205">
        <v>136951.06</v>
      </c>
      <c r="R292" s="206"/>
      <c r="S292" s="205">
        <v>553570</v>
      </c>
      <c r="T292" s="205">
        <v>69196.25</v>
      </c>
      <c r="U292" s="205">
        <v>484373.75</v>
      </c>
    </row>
    <row r="293" spans="1:21" x14ac:dyDescent="0.25">
      <c r="A293" s="202">
        <v>2021</v>
      </c>
      <c r="B293" s="202" t="s">
        <v>820</v>
      </c>
      <c r="C293" s="203" t="s">
        <v>314</v>
      </c>
      <c r="D293" s="204" t="s">
        <v>821</v>
      </c>
      <c r="E293" s="204" t="s">
        <v>821</v>
      </c>
      <c r="F293" s="204" t="s">
        <v>314</v>
      </c>
      <c r="G293" s="203" t="s">
        <v>659</v>
      </c>
      <c r="H293" s="205">
        <v>0</v>
      </c>
      <c r="I293" s="205">
        <v>7</v>
      </c>
      <c r="J293" s="206"/>
      <c r="K293" s="205">
        <v>159900</v>
      </c>
      <c r="L293" s="205">
        <v>0</v>
      </c>
      <c r="M293" s="205">
        <v>159900</v>
      </c>
      <c r="N293" s="206"/>
      <c r="O293" s="205">
        <v>59708</v>
      </c>
      <c r="P293" s="205">
        <v>0</v>
      </c>
      <c r="Q293" s="205">
        <v>59708</v>
      </c>
      <c r="R293" s="206"/>
      <c r="S293" s="205">
        <v>219608</v>
      </c>
      <c r="T293" s="205">
        <v>0</v>
      </c>
      <c r="U293" s="205">
        <v>219608</v>
      </c>
    </row>
    <row r="294" spans="1:21" x14ac:dyDescent="0.25">
      <c r="A294" s="202">
        <v>2021</v>
      </c>
      <c r="B294" s="202" t="s">
        <v>820</v>
      </c>
      <c r="C294" s="203" t="s">
        <v>315</v>
      </c>
      <c r="D294" s="204" t="s">
        <v>821</v>
      </c>
      <c r="E294" s="204" t="s">
        <v>821</v>
      </c>
      <c r="F294" s="204" t="s">
        <v>315</v>
      </c>
      <c r="G294" s="203" t="s">
        <v>660</v>
      </c>
      <c r="H294" s="205">
        <v>0</v>
      </c>
      <c r="I294" s="205">
        <v>0</v>
      </c>
      <c r="J294" s="206"/>
      <c r="K294" s="205">
        <v>0</v>
      </c>
      <c r="L294" s="205">
        <v>0</v>
      </c>
      <c r="M294" s="205">
        <v>0</v>
      </c>
      <c r="N294" s="206"/>
      <c r="O294" s="205">
        <v>0</v>
      </c>
      <c r="P294" s="205">
        <v>0</v>
      </c>
      <c r="Q294" s="205">
        <v>0</v>
      </c>
      <c r="R294" s="206"/>
      <c r="S294" s="205">
        <v>0</v>
      </c>
      <c r="T294" s="205">
        <v>0</v>
      </c>
      <c r="U294" s="205">
        <v>0</v>
      </c>
    </row>
    <row r="295" spans="1:21" x14ac:dyDescent="0.25">
      <c r="A295" s="202">
        <v>2021</v>
      </c>
      <c r="B295" s="202" t="s">
        <v>826</v>
      </c>
      <c r="C295" s="203" t="s">
        <v>317</v>
      </c>
      <c r="D295" s="204" t="s">
        <v>155</v>
      </c>
      <c r="E295" s="204" t="s">
        <v>821</v>
      </c>
      <c r="F295" s="204" t="s">
        <v>317</v>
      </c>
      <c r="G295" s="203" t="s">
        <v>806</v>
      </c>
      <c r="H295" s="205">
        <v>0</v>
      </c>
      <c r="I295" s="205">
        <v>10</v>
      </c>
      <c r="J295" s="206"/>
      <c r="K295" s="205">
        <v>358052.25</v>
      </c>
      <c r="L295" s="205">
        <v>0</v>
      </c>
      <c r="M295" s="205">
        <v>358052.25</v>
      </c>
      <c r="N295" s="206"/>
      <c r="O295" s="205">
        <v>161921.75</v>
      </c>
      <c r="P295" s="205">
        <v>0</v>
      </c>
      <c r="Q295" s="205">
        <v>161921.75</v>
      </c>
      <c r="R295" s="206"/>
      <c r="S295" s="205">
        <v>519974</v>
      </c>
      <c r="T295" s="205">
        <v>0</v>
      </c>
      <c r="U295" s="205">
        <v>519974</v>
      </c>
    </row>
    <row r="296" spans="1:21" x14ac:dyDescent="0.25">
      <c r="A296" s="202">
        <v>2021</v>
      </c>
      <c r="B296" s="202" t="s">
        <v>820</v>
      </c>
      <c r="C296" s="203" t="s">
        <v>318</v>
      </c>
      <c r="D296" s="204" t="s">
        <v>821</v>
      </c>
      <c r="E296" s="204" t="s">
        <v>821</v>
      </c>
      <c r="F296" s="204" t="s">
        <v>318</v>
      </c>
      <c r="G296" s="203" t="s">
        <v>661</v>
      </c>
      <c r="H296" s="205">
        <v>0</v>
      </c>
      <c r="I296" s="205">
        <v>4</v>
      </c>
      <c r="J296" s="206"/>
      <c r="K296" s="205">
        <v>261117</v>
      </c>
      <c r="L296" s="205">
        <v>0</v>
      </c>
      <c r="M296" s="205">
        <v>261117</v>
      </c>
      <c r="N296" s="206"/>
      <c r="O296" s="205">
        <v>128815</v>
      </c>
      <c r="P296" s="205">
        <v>0</v>
      </c>
      <c r="Q296" s="205">
        <v>128815</v>
      </c>
      <c r="R296" s="206"/>
      <c r="S296" s="205">
        <v>389932</v>
      </c>
      <c r="T296" s="205">
        <v>0</v>
      </c>
      <c r="U296" s="205">
        <v>389932</v>
      </c>
    </row>
    <row r="297" spans="1:21" x14ac:dyDescent="0.25">
      <c r="A297" s="202">
        <v>2021</v>
      </c>
      <c r="B297" s="202" t="s">
        <v>823</v>
      </c>
      <c r="C297" s="203" t="s">
        <v>319</v>
      </c>
      <c r="D297" s="204" t="s">
        <v>821</v>
      </c>
      <c r="E297" s="204" t="s">
        <v>821</v>
      </c>
      <c r="F297" s="204" t="s">
        <v>319</v>
      </c>
      <c r="G297" s="203" t="s">
        <v>662</v>
      </c>
      <c r="H297" s="205">
        <v>5</v>
      </c>
      <c r="I297" s="205">
        <v>0</v>
      </c>
      <c r="J297" s="206"/>
      <c r="K297" s="205">
        <v>51615</v>
      </c>
      <c r="L297" s="205">
        <v>51615</v>
      </c>
      <c r="M297" s="205">
        <v>0</v>
      </c>
      <c r="N297" s="206"/>
      <c r="O297" s="205">
        <v>17984</v>
      </c>
      <c r="P297" s="205">
        <v>17984</v>
      </c>
      <c r="Q297" s="205">
        <v>0</v>
      </c>
      <c r="R297" s="206"/>
      <c r="S297" s="205">
        <v>69599</v>
      </c>
      <c r="T297" s="205">
        <v>69599</v>
      </c>
      <c r="U297" s="205">
        <v>0</v>
      </c>
    </row>
    <row r="298" spans="1:21" x14ac:dyDescent="0.25">
      <c r="A298" s="202">
        <v>2021</v>
      </c>
      <c r="B298" s="202" t="s">
        <v>827</v>
      </c>
      <c r="C298" s="203" t="s">
        <v>320</v>
      </c>
      <c r="D298" s="204" t="s">
        <v>821</v>
      </c>
      <c r="E298" s="204" t="s">
        <v>821</v>
      </c>
      <c r="F298" s="204" t="s">
        <v>320</v>
      </c>
      <c r="G298" s="203" t="s">
        <v>663</v>
      </c>
      <c r="H298" s="205">
        <v>5</v>
      </c>
      <c r="I298" s="205">
        <v>2</v>
      </c>
      <c r="J298" s="206"/>
      <c r="K298" s="205">
        <v>488858.25</v>
      </c>
      <c r="L298" s="205">
        <v>349184.46</v>
      </c>
      <c r="M298" s="205">
        <v>139673.78999999998</v>
      </c>
      <c r="N298" s="206"/>
      <c r="O298" s="205">
        <v>185796.75</v>
      </c>
      <c r="P298" s="205">
        <v>132711.96</v>
      </c>
      <c r="Q298" s="205">
        <v>53084.790000000008</v>
      </c>
      <c r="R298" s="206"/>
      <c r="S298" s="205">
        <v>674655</v>
      </c>
      <c r="T298" s="205">
        <v>481896.42000000004</v>
      </c>
      <c r="U298" s="205">
        <v>192758.58</v>
      </c>
    </row>
    <row r="299" spans="1:21" x14ac:dyDescent="0.25">
      <c r="A299" s="202">
        <v>2021</v>
      </c>
      <c r="B299" s="202" t="s">
        <v>826</v>
      </c>
      <c r="C299" s="203" t="s">
        <v>321</v>
      </c>
      <c r="D299" s="204" t="s">
        <v>821</v>
      </c>
      <c r="E299" s="204" t="s">
        <v>821</v>
      </c>
      <c r="F299" s="204" t="s">
        <v>321</v>
      </c>
      <c r="G299" s="203" t="s">
        <v>664</v>
      </c>
      <c r="H299" s="205">
        <v>0</v>
      </c>
      <c r="I299" s="205">
        <v>0</v>
      </c>
      <c r="J299" s="206"/>
      <c r="K299" s="205">
        <v>0</v>
      </c>
      <c r="L299" s="205">
        <v>0</v>
      </c>
      <c r="M299" s="205">
        <v>0</v>
      </c>
      <c r="N299" s="206"/>
      <c r="O299" s="205">
        <v>0</v>
      </c>
      <c r="P299" s="205">
        <v>0</v>
      </c>
      <c r="Q299" s="205">
        <v>0</v>
      </c>
      <c r="R299" s="206"/>
      <c r="S299" s="205">
        <v>0</v>
      </c>
      <c r="T299" s="205">
        <v>0</v>
      </c>
      <c r="U299" s="205">
        <v>0</v>
      </c>
    </row>
    <row r="300" spans="1:21" x14ac:dyDescent="0.25">
      <c r="A300" s="202">
        <v>2021</v>
      </c>
      <c r="B300" s="202" t="s">
        <v>826</v>
      </c>
      <c r="C300" s="203" t="s">
        <v>323</v>
      </c>
      <c r="D300" s="204" t="s">
        <v>821</v>
      </c>
      <c r="E300" s="204" t="s">
        <v>821</v>
      </c>
      <c r="F300" s="204" t="s">
        <v>323</v>
      </c>
      <c r="G300" s="203" t="s">
        <v>666</v>
      </c>
      <c r="H300" s="205">
        <v>1</v>
      </c>
      <c r="I300" s="205">
        <v>3</v>
      </c>
      <c r="J300" s="206"/>
      <c r="K300" s="205">
        <v>90660.75</v>
      </c>
      <c r="L300" s="205">
        <v>22665.19</v>
      </c>
      <c r="M300" s="205">
        <v>67995.56</v>
      </c>
      <c r="N300" s="206"/>
      <c r="O300" s="205">
        <v>37414.25</v>
      </c>
      <c r="P300" s="205">
        <v>9353.56</v>
      </c>
      <c r="Q300" s="205">
        <v>28060.690000000002</v>
      </c>
      <c r="R300" s="206"/>
      <c r="S300" s="205">
        <v>128075</v>
      </c>
      <c r="T300" s="205">
        <v>32018.75</v>
      </c>
      <c r="U300" s="205">
        <v>96056.25</v>
      </c>
    </row>
    <row r="301" spans="1:21" x14ac:dyDescent="0.25">
      <c r="A301" s="202">
        <v>2021</v>
      </c>
      <c r="B301" s="202" t="s">
        <v>822</v>
      </c>
      <c r="C301" s="203" t="s">
        <v>324</v>
      </c>
      <c r="D301" s="204" t="s">
        <v>821</v>
      </c>
      <c r="E301" s="204" t="s">
        <v>821</v>
      </c>
      <c r="F301" s="204" t="s">
        <v>324</v>
      </c>
      <c r="G301" s="203" t="s">
        <v>667</v>
      </c>
      <c r="H301" s="205">
        <v>2</v>
      </c>
      <c r="I301" s="205">
        <v>9</v>
      </c>
      <c r="J301" s="206"/>
      <c r="K301" s="205">
        <v>281879.25</v>
      </c>
      <c r="L301" s="205">
        <v>51250.77</v>
      </c>
      <c r="M301" s="205">
        <v>230628.48000000001</v>
      </c>
      <c r="N301" s="206"/>
      <c r="O301" s="205">
        <v>106726.75</v>
      </c>
      <c r="P301" s="205">
        <v>19404.86</v>
      </c>
      <c r="Q301" s="205">
        <v>87321.89</v>
      </c>
      <c r="R301" s="206"/>
      <c r="S301" s="205">
        <v>388606</v>
      </c>
      <c r="T301" s="205">
        <v>70655.63</v>
      </c>
      <c r="U301" s="205">
        <v>317950.37</v>
      </c>
    </row>
    <row r="302" spans="1:21" x14ac:dyDescent="0.25">
      <c r="A302" s="202">
        <v>2021</v>
      </c>
      <c r="B302" s="202" t="s">
        <v>827</v>
      </c>
      <c r="C302" s="203" t="s">
        <v>325</v>
      </c>
      <c r="D302" s="204" t="s">
        <v>821</v>
      </c>
      <c r="E302" s="204" t="s">
        <v>821</v>
      </c>
      <c r="F302" s="204" t="s">
        <v>325</v>
      </c>
      <c r="G302" s="203" t="s">
        <v>668</v>
      </c>
      <c r="H302" s="205">
        <v>0</v>
      </c>
      <c r="I302" s="205">
        <v>9</v>
      </c>
      <c r="J302" s="206"/>
      <c r="K302" s="205">
        <v>595122</v>
      </c>
      <c r="L302" s="205">
        <v>0</v>
      </c>
      <c r="M302" s="205">
        <v>595122</v>
      </c>
      <c r="N302" s="206"/>
      <c r="O302" s="205">
        <v>218342</v>
      </c>
      <c r="P302" s="205">
        <v>0</v>
      </c>
      <c r="Q302" s="205">
        <v>218342</v>
      </c>
      <c r="R302" s="206"/>
      <c r="S302" s="205">
        <v>813464</v>
      </c>
      <c r="T302" s="205">
        <v>0</v>
      </c>
      <c r="U302" s="205">
        <v>813464</v>
      </c>
    </row>
    <row r="303" spans="1:21" x14ac:dyDescent="0.25">
      <c r="A303" s="202">
        <v>2021</v>
      </c>
      <c r="B303" s="202" t="s">
        <v>822</v>
      </c>
      <c r="C303" s="203" t="s">
        <v>326</v>
      </c>
      <c r="D303" s="204" t="s">
        <v>821</v>
      </c>
      <c r="E303" s="204" t="s">
        <v>821</v>
      </c>
      <c r="F303" s="204" t="s">
        <v>326</v>
      </c>
      <c r="G303" s="203" t="s">
        <v>669</v>
      </c>
      <c r="H303" s="205">
        <v>0</v>
      </c>
      <c r="I303" s="205">
        <v>0</v>
      </c>
      <c r="J303" s="206"/>
      <c r="K303" s="205">
        <v>0</v>
      </c>
      <c r="L303" s="205">
        <v>0</v>
      </c>
      <c r="M303" s="205">
        <v>0</v>
      </c>
      <c r="N303" s="206"/>
      <c r="O303" s="205">
        <v>0</v>
      </c>
      <c r="P303" s="205">
        <v>0</v>
      </c>
      <c r="Q303" s="205">
        <v>0</v>
      </c>
      <c r="R303" s="206"/>
      <c r="S303" s="205">
        <v>0</v>
      </c>
      <c r="T303" s="205">
        <v>0</v>
      </c>
      <c r="U303" s="205">
        <v>0</v>
      </c>
    </row>
    <row r="304" spans="1:21" x14ac:dyDescent="0.25">
      <c r="A304" s="202">
        <v>2021</v>
      </c>
      <c r="B304" s="202" t="s">
        <v>820</v>
      </c>
      <c r="C304" s="203" t="s">
        <v>327</v>
      </c>
      <c r="D304" s="204" t="s">
        <v>821</v>
      </c>
      <c r="E304" s="204" t="s">
        <v>821</v>
      </c>
      <c r="F304" s="204" t="s">
        <v>327</v>
      </c>
      <c r="G304" s="203" t="s">
        <v>670</v>
      </c>
      <c r="H304" s="205">
        <v>0</v>
      </c>
      <c r="I304" s="205">
        <v>0</v>
      </c>
      <c r="J304" s="206"/>
      <c r="K304" s="205">
        <v>0</v>
      </c>
      <c r="L304" s="205">
        <v>0</v>
      </c>
      <c r="M304" s="205">
        <v>0</v>
      </c>
      <c r="N304" s="206"/>
      <c r="O304" s="205">
        <v>0</v>
      </c>
      <c r="P304" s="205">
        <v>0</v>
      </c>
      <c r="Q304" s="205">
        <v>0</v>
      </c>
      <c r="R304" s="206"/>
      <c r="S304" s="205">
        <v>0</v>
      </c>
      <c r="T304" s="205">
        <v>0</v>
      </c>
      <c r="U304" s="205">
        <v>0</v>
      </c>
    </row>
    <row r="305" spans="1:21" x14ac:dyDescent="0.25">
      <c r="A305" s="202">
        <v>2021</v>
      </c>
      <c r="B305" s="202" t="s">
        <v>822</v>
      </c>
      <c r="C305" s="203" t="s">
        <v>328</v>
      </c>
      <c r="D305" s="204" t="s">
        <v>821</v>
      </c>
      <c r="E305" s="204" t="s">
        <v>821</v>
      </c>
      <c r="F305" s="204" t="s">
        <v>328</v>
      </c>
      <c r="G305" s="203" t="s">
        <v>671</v>
      </c>
      <c r="H305" s="205">
        <v>0</v>
      </c>
      <c r="I305" s="205">
        <v>6</v>
      </c>
      <c r="J305" s="206"/>
      <c r="K305" s="205">
        <v>668108.25</v>
      </c>
      <c r="L305" s="205">
        <v>0</v>
      </c>
      <c r="M305" s="205">
        <v>668108.25</v>
      </c>
      <c r="N305" s="206"/>
      <c r="O305" s="205">
        <v>256626.75</v>
      </c>
      <c r="P305" s="205">
        <v>0</v>
      </c>
      <c r="Q305" s="205">
        <v>256626.75</v>
      </c>
      <c r="R305" s="206"/>
      <c r="S305" s="205">
        <v>924735</v>
      </c>
      <c r="T305" s="205">
        <v>0</v>
      </c>
      <c r="U305" s="205">
        <v>924735</v>
      </c>
    </row>
    <row r="306" spans="1:21" x14ac:dyDescent="0.25">
      <c r="A306" s="202">
        <v>2021</v>
      </c>
      <c r="B306" s="202" t="s">
        <v>826</v>
      </c>
      <c r="C306" s="203" t="s">
        <v>329</v>
      </c>
      <c r="D306" s="204" t="s">
        <v>821</v>
      </c>
      <c r="E306" s="204" t="s">
        <v>821</v>
      </c>
      <c r="F306" s="204" t="s">
        <v>329</v>
      </c>
      <c r="G306" s="203" t="s">
        <v>672</v>
      </c>
      <c r="H306" s="205">
        <v>0</v>
      </c>
      <c r="I306" s="205">
        <v>3</v>
      </c>
      <c r="J306" s="206"/>
      <c r="K306" s="205">
        <v>58947.75</v>
      </c>
      <c r="L306" s="205">
        <v>0</v>
      </c>
      <c r="M306" s="205">
        <v>58947.75</v>
      </c>
      <c r="N306" s="206"/>
      <c r="O306" s="205">
        <v>22390.25</v>
      </c>
      <c r="P306" s="205">
        <v>0</v>
      </c>
      <c r="Q306" s="205">
        <v>22390.25</v>
      </c>
      <c r="R306" s="206"/>
      <c r="S306" s="205">
        <v>81338</v>
      </c>
      <c r="T306" s="205">
        <v>0</v>
      </c>
      <c r="U306" s="205">
        <v>81338</v>
      </c>
    </row>
    <row r="307" spans="1:21" x14ac:dyDescent="0.25">
      <c r="A307" s="202">
        <v>2021</v>
      </c>
      <c r="B307" s="202" t="s">
        <v>825</v>
      </c>
      <c r="C307" s="203" t="s">
        <v>330</v>
      </c>
      <c r="D307" s="204" t="s">
        <v>233</v>
      </c>
      <c r="E307" s="204" t="s">
        <v>821</v>
      </c>
      <c r="F307" s="204" t="s">
        <v>330</v>
      </c>
      <c r="G307" s="203" t="s">
        <v>673</v>
      </c>
      <c r="H307" s="205">
        <v>0</v>
      </c>
      <c r="I307" s="205">
        <v>4</v>
      </c>
      <c r="J307" s="206"/>
      <c r="K307" s="205">
        <v>286340.25</v>
      </c>
      <c r="L307" s="205">
        <v>0</v>
      </c>
      <c r="M307" s="205">
        <v>286340.25</v>
      </c>
      <c r="N307" s="206"/>
      <c r="O307" s="205">
        <v>198543.75</v>
      </c>
      <c r="P307" s="205">
        <v>0</v>
      </c>
      <c r="Q307" s="205">
        <v>198543.75</v>
      </c>
      <c r="R307" s="206"/>
      <c r="S307" s="205">
        <v>484884</v>
      </c>
      <c r="T307" s="205">
        <v>0</v>
      </c>
      <c r="U307" s="205">
        <v>484884</v>
      </c>
    </row>
    <row r="308" spans="1:21" x14ac:dyDescent="0.25">
      <c r="A308" s="202">
        <v>2021</v>
      </c>
      <c r="B308" s="202" t="s">
        <v>825</v>
      </c>
      <c r="C308" s="203" t="s">
        <v>331</v>
      </c>
      <c r="D308" s="204" t="s">
        <v>821</v>
      </c>
      <c r="E308" s="204" t="s">
        <v>821</v>
      </c>
      <c r="F308" s="204" t="s">
        <v>331</v>
      </c>
      <c r="G308" s="203" t="s">
        <v>674</v>
      </c>
      <c r="H308" s="205">
        <v>0</v>
      </c>
      <c r="I308" s="205">
        <v>0</v>
      </c>
      <c r="J308" s="206"/>
      <c r="K308" s="205">
        <v>0</v>
      </c>
      <c r="L308" s="205">
        <v>0</v>
      </c>
      <c r="M308" s="205">
        <v>0</v>
      </c>
      <c r="N308" s="206"/>
      <c r="O308" s="205">
        <v>0</v>
      </c>
      <c r="P308" s="205">
        <v>0</v>
      </c>
      <c r="Q308" s="205">
        <v>0</v>
      </c>
      <c r="R308" s="206"/>
      <c r="S308" s="205">
        <v>0</v>
      </c>
      <c r="T308" s="205">
        <v>0</v>
      </c>
      <c r="U308" s="205">
        <v>0</v>
      </c>
    </row>
    <row r="309" spans="1:21" x14ac:dyDescent="0.25">
      <c r="A309" s="202">
        <v>2021</v>
      </c>
      <c r="B309" s="202" t="s">
        <v>827</v>
      </c>
      <c r="C309" s="203" t="s">
        <v>332</v>
      </c>
      <c r="D309" s="204" t="s">
        <v>821</v>
      </c>
      <c r="E309" s="204" t="s">
        <v>821</v>
      </c>
      <c r="F309" s="204" t="s">
        <v>332</v>
      </c>
      <c r="G309" s="203" t="s">
        <v>675</v>
      </c>
      <c r="H309" s="205">
        <v>1</v>
      </c>
      <c r="I309" s="205">
        <v>1</v>
      </c>
      <c r="J309" s="206"/>
      <c r="K309" s="205">
        <v>77176.5</v>
      </c>
      <c r="L309" s="205">
        <v>38588.25</v>
      </c>
      <c r="M309" s="205">
        <v>38588.25</v>
      </c>
      <c r="N309" s="206"/>
      <c r="O309" s="205">
        <v>30794.5</v>
      </c>
      <c r="P309" s="205">
        <v>15397.25</v>
      </c>
      <c r="Q309" s="205">
        <v>15397.25</v>
      </c>
      <c r="R309" s="206"/>
      <c r="S309" s="205">
        <v>107971</v>
      </c>
      <c r="T309" s="205">
        <v>53985.5</v>
      </c>
      <c r="U309" s="205">
        <v>53985.5</v>
      </c>
    </row>
    <row r="310" spans="1:21" x14ac:dyDescent="0.25">
      <c r="A310" s="202">
        <v>2021</v>
      </c>
      <c r="B310" s="202" t="s">
        <v>826</v>
      </c>
      <c r="C310" s="203" t="s">
        <v>333</v>
      </c>
      <c r="D310" s="204" t="s">
        <v>821</v>
      </c>
      <c r="E310" s="204" t="s">
        <v>821</v>
      </c>
      <c r="F310" s="204" t="s">
        <v>333</v>
      </c>
      <c r="G310" s="203" t="s">
        <v>676</v>
      </c>
      <c r="H310" s="205">
        <v>0</v>
      </c>
      <c r="I310" s="205">
        <v>0</v>
      </c>
      <c r="J310" s="206"/>
      <c r="K310" s="205">
        <v>0</v>
      </c>
      <c r="L310" s="205">
        <v>0</v>
      </c>
      <c r="M310" s="205">
        <v>0</v>
      </c>
      <c r="N310" s="206"/>
      <c r="O310" s="205">
        <v>0</v>
      </c>
      <c r="P310" s="205">
        <v>0</v>
      </c>
      <c r="Q310" s="205">
        <v>0</v>
      </c>
      <c r="R310" s="206"/>
      <c r="S310" s="205">
        <v>0</v>
      </c>
      <c r="T310" s="205">
        <v>0</v>
      </c>
      <c r="U310" s="205">
        <v>0</v>
      </c>
    </row>
    <row r="311" spans="1:21" x14ac:dyDescent="0.25">
      <c r="A311" s="202">
        <v>2021</v>
      </c>
      <c r="B311" s="202" t="s">
        <v>829</v>
      </c>
      <c r="C311" s="203" t="s">
        <v>334</v>
      </c>
      <c r="D311" s="204" t="s">
        <v>821</v>
      </c>
      <c r="E311" s="204" t="s">
        <v>821</v>
      </c>
      <c r="F311" s="204" t="s">
        <v>334</v>
      </c>
      <c r="G311" s="203" t="s">
        <v>677</v>
      </c>
      <c r="H311" s="205">
        <v>3</v>
      </c>
      <c r="I311" s="205">
        <v>1</v>
      </c>
      <c r="J311" s="206"/>
      <c r="K311" s="205">
        <v>42853.5</v>
      </c>
      <c r="L311" s="205">
        <v>32140.13</v>
      </c>
      <c r="M311" s="205">
        <v>10713.369999999999</v>
      </c>
      <c r="N311" s="206"/>
      <c r="O311" s="205">
        <v>14834.5</v>
      </c>
      <c r="P311" s="205">
        <v>11125.88</v>
      </c>
      <c r="Q311" s="205">
        <v>3708.6200000000008</v>
      </c>
      <c r="R311" s="206"/>
      <c r="S311" s="205">
        <v>57688</v>
      </c>
      <c r="T311" s="205">
        <v>43266.01</v>
      </c>
      <c r="U311" s="205">
        <v>14421.99</v>
      </c>
    </row>
    <row r="312" spans="1:21" x14ac:dyDescent="0.25">
      <c r="A312" s="202">
        <v>2021</v>
      </c>
      <c r="B312" s="202" t="s">
        <v>820</v>
      </c>
      <c r="C312" s="203" t="s">
        <v>303</v>
      </c>
      <c r="D312" s="204" t="s">
        <v>821</v>
      </c>
      <c r="E312" s="204" t="s">
        <v>821</v>
      </c>
      <c r="F312" s="204" t="s">
        <v>303</v>
      </c>
      <c r="G312" s="203" t="s">
        <v>648</v>
      </c>
      <c r="H312" s="205">
        <v>0</v>
      </c>
      <c r="I312" s="205">
        <v>5</v>
      </c>
      <c r="J312" s="206"/>
      <c r="K312" s="205">
        <v>194933.25</v>
      </c>
      <c r="L312" s="205">
        <v>0</v>
      </c>
      <c r="M312" s="205">
        <v>194933.25</v>
      </c>
      <c r="N312" s="206"/>
      <c r="O312" s="205">
        <v>75040.75</v>
      </c>
      <c r="P312" s="205">
        <v>0</v>
      </c>
      <c r="Q312" s="205">
        <v>75040.75</v>
      </c>
      <c r="R312" s="206"/>
      <c r="S312" s="205">
        <v>269974</v>
      </c>
      <c r="T312" s="205">
        <v>0</v>
      </c>
      <c r="U312" s="205">
        <v>269974</v>
      </c>
    </row>
    <row r="313" spans="1:21" x14ac:dyDescent="0.25">
      <c r="A313" s="202">
        <v>2021</v>
      </c>
      <c r="B313" s="202" t="s">
        <v>829</v>
      </c>
      <c r="C313" s="203" t="s">
        <v>335</v>
      </c>
      <c r="D313" s="204" t="s">
        <v>821</v>
      </c>
      <c r="E313" s="204" t="s">
        <v>821</v>
      </c>
      <c r="F313" s="204" t="s">
        <v>335</v>
      </c>
      <c r="G313" s="203" t="s">
        <v>678</v>
      </c>
      <c r="H313" s="205">
        <v>0</v>
      </c>
      <c r="I313" s="205">
        <v>5</v>
      </c>
      <c r="J313" s="206"/>
      <c r="K313" s="205">
        <v>335340.75</v>
      </c>
      <c r="L313" s="205">
        <v>0</v>
      </c>
      <c r="M313" s="205">
        <v>335340.75</v>
      </c>
      <c r="N313" s="206"/>
      <c r="O313" s="205">
        <v>130437.25</v>
      </c>
      <c r="P313" s="205">
        <v>0</v>
      </c>
      <c r="Q313" s="205">
        <v>130437.25</v>
      </c>
      <c r="R313" s="206"/>
      <c r="S313" s="205">
        <v>465778</v>
      </c>
      <c r="T313" s="205">
        <v>0</v>
      </c>
      <c r="U313" s="205">
        <v>465778</v>
      </c>
    </row>
    <row r="314" spans="1:21" x14ac:dyDescent="0.25">
      <c r="A314" s="202">
        <v>2021</v>
      </c>
      <c r="B314" s="202" t="s">
        <v>820</v>
      </c>
      <c r="C314" s="203" t="s">
        <v>336</v>
      </c>
      <c r="D314" s="204" t="s">
        <v>821</v>
      </c>
      <c r="E314" s="204" t="s">
        <v>821</v>
      </c>
      <c r="F314" s="204" t="s">
        <v>336</v>
      </c>
      <c r="G314" s="203" t="s">
        <v>679</v>
      </c>
      <c r="H314" s="205">
        <v>0</v>
      </c>
      <c r="I314" s="205">
        <v>0</v>
      </c>
      <c r="J314" s="206"/>
      <c r="K314" s="205">
        <v>0</v>
      </c>
      <c r="L314" s="205">
        <v>0</v>
      </c>
      <c r="M314" s="205">
        <v>0</v>
      </c>
      <c r="N314" s="206"/>
      <c r="O314" s="205">
        <v>0</v>
      </c>
      <c r="P314" s="205">
        <v>0</v>
      </c>
      <c r="Q314" s="205">
        <v>0</v>
      </c>
      <c r="R314" s="206"/>
      <c r="S314" s="205">
        <v>0</v>
      </c>
      <c r="T314" s="205">
        <v>0</v>
      </c>
      <c r="U314" s="205">
        <v>0</v>
      </c>
    </row>
    <row r="315" spans="1:21" x14ac:dyDescent="0.25">
      <c r="A315" s="202">
        <v>2021</v>
      </c>
      <c r="B315" s="202" t="s">
        <v>822</v>
      </c>
      <c r="C315" s="203" t="s">
        <v>278</v>
      </c>
      <c r="D315" s="204" t="s">
        <v>821</v>
      </c>
      <c r="E315" s="204" t="s">
        <v>821</v>
      </c>
      <c r="F315" s="204" t="s">
        <v>278</v>
      </c>
      <c r="G315" s="203" t="s">
        <v>623</v>
      </c>
      <c r="H315" s="205">
        <v>0</v>
      </c>
      <c r="I315" s="205">
        <v>5</v>
      </c>
      <c r="J315" s="206"/>
      <c r="K315" s="205">
        <v>161757.75</v>
      </c>
      <c r="L315" s="205">
        <v>0</v>
      </c>
      <c r="M315" s="205">
        <v>161757.75</v>
      </c>
      <c r="N315" s="206"/>
      <c r="O315" s="205">
        <v>60713.25</v>
      </c>
      <c r="P315" s="205">
        <v>0</v>
      </c>
      <c r="Q315" s="205">
        <v>60713.25</v>
      </c>
      <c r="R315" s="206"/>
      <c r="S315" s="205">
        <v>222471</v>
      </c>
      <c r="T315" s="205">
        <v>0</v>
      </c>
      <c r="U315" s="205">
        <v>222471</v>
      </c>
    </row>
    <row r="316" spans="1:21" x14ac:dyDescent="0.25">
      <c r="A316" s="202">
        <v>2021</v>
      </c>
      <c r="B316" s="202" t="s">
        <v>822</v>
      </c>
      <c r="C316" s="203" t="s">
        <v>58</v>
      </c>
      <c r="D316" s="204" t="s">
        <v>821</v>
      </c>
      <c r="E316" s="204" t="s">
        <v>821</v>
      </c>
      <c r="F316" s="204" t="s">
        <v>58</v>
      </c>
      <c r="G316" s="203" t="s">
        <v>413</v>
      </c>
      <c r="H316" s="205">
        <v>1</v>
      </c>
      <c r="I316" s="205">
        <v>8</v>
      </c>
      <c r="J316" s="206"/>
      <c r="K316" s="205">
        <v>217420.5</v>
      </c>
      <c r="L316" s="205">
        <v>24157.83</v>
      </c>
      <c r="M316" s="205">
        <v>193262.66999999998</v>
      </c>
      <c r="N316" s="206"/>
      <c r="O316" s="205">
        <v>75580.5</v>
      </c>
      <c r="P316" s="205">
        <v>8397.83</v>
      </c>
      <c r="Q316" s="205">
        <v>67182.67</v>
      </c>
      <c r="R316" s="206"/>
      <c r="S316" s="205">
        <v>293001</v>
      </c>
      <c r="T316" s="205">
        <v>32555.660000000003</v>
      </c>
      <c r="U316" s="205">
        <v>260445.33999999997</v>
      </c>
    </row>
    <row r="317" spans="1:21" x14ac:dyDescent="0.25">
      <c r="A317" s="202">
        <v>2021</v>
      </c>
      <c r="B317" s="202" t="s">
        <v>823</v>
      </c>
      <c r="C317" s="203" t="s">
        <v>338</v>
      </c>
      <c r="D317" s="204" t="s">
        <v>821</v>
      </c>
      <c r="E317" s="204" t="s">
        <v>821</v>
      </c>
      <c r="F317" s="204" t="s">
        <v>338</v>
      </c>
      <c r="G317" s="203" t="s">
        <v>681</v>
      </c>
      <c r="H317" s="205">
        <v>0</v>
      </c>
      <c r="I317" s="205">
        <v>2</v>
      </c>
      <c r="J317" s="206"/>
      <c r="K317" s="205">
        <v>20993.25</v>
      </c>
      <c r="L317" s="205">
        <v>0</v>
      </c>
      <c r="M317" s="205">
        <v>20993.25</v>
      </c>
      <c r="N317" s="206"/>
      <c r="O317" s="205">
        <v>7819.75</v>
      </c>
      <c r="P317" s="205">
        <v>0</v>
      </c>
      <c r="Q317" s="205">
        <v>7819.75</v>
      </c>
      <c r="R317" s="206"/>
      <c r="S317" s="205">
        <v>28813</v>
      </c>
      <c r="T317" s="205">
        <v>0</v>
      </c>
      <c r="U317" s="205">
        <v>28813</v>
      </c>
    </row>
    <row r="318" spans="1:21" x14ac:dyDescent="0.25">
      <c r="A318" s="202">
        <v>2021</v>
      </c>
      <c r="B318" s="202" t="s">
        <v>830</v>
      </c>
      <c r="C318" s="203" t="s">
        <v>339</v>
      </c>
      <c r="D318" s="204" t="s">
        <v>821</v>
      </c>
      <c r="E318" s="204" t="s">
        <v>821</v>
      </c>
      <c r="F318" s="204" t="s">
        <v>339</v>
      </c>
      <c r="G318" s="203" t="s">
        <v>682</v>
      </c>
      <c r="H318" s="205">
        <v>4</v>
      </c>
      <c r="I318" s="205">
        <v>4</v>
      </c>
      <c r="J318" s="206"/>
      <c r="K318" s="205">
        <v>338694.75</v>
      </c>
      <c r="L318" s="205">
        <v>169347.38</v>
      </c>
      <c r="M318" s="205">
        <v>169347.37</v>
      </c>
      <c r="N318" s="206"/>
      <c r="O318" s="205">
        <v>130368.25</v>
      </c>
      <c r="P318" s="205">
        <v>65184.13</v>
      </c>
      <c r="Q318" s="205">
        <v>65184.12</v>
      </c>
      <c r="R318" s="206"/>
      <c r="S318" s="205">
        <v>469063</v>
      </c>
      <c r="T318" s="205">
        <v>234531.51</v>
      </c>
      <c r="U318" s="205">
        <v>234531.49</v>
      </c>
    </row>
    <row r="319" spans="1:21" x14ac:dyDescent="0.25">
      <c r="A319" s="202">
        <v>2021</v>
      </c>
      <c r="B319" s="202" t="s">
        <v>824</v>
      </c>
      <c r="C319" s="203" t="s">
        <v>340</v>
      </c>
      <c r="D319" s="204" t="s">
        <v>821</v>
      </c>
      <c r="E319" s="204" t="s">
        <v>821</v>
      </c>
      <c r="F319" s="204" t="s">
        <v>340</v>
      </c>
      <c r="G319" s="203" t="s">
        <v>683</v>
      </c>
      <c r="H319" s="205">
        <v>0</v>
      </c>
      <c r="I319" s="205">
        <v>9</v>
      </c>
      <c r="J319" s="206"/>
      <c r="K319" s="205">
        <v>325797.75</v>
      </c>
      <c r="L319" s="205">
        <v>0</v>
      </c>
      <c r="M319" s="205">
        <v>325797.75</v>
      </c>
      <c r="N319" s="206"/>
      <c r="O319" s="205">
        <v>118262.25</v>
      </c>
      <c r="P319" s="205">
        <v>0</v>
      </c>
      <c r="Q319" s="205">
        <v>118262.25</v>
      </c>
      <c r="R319" s="206"/>
      <c r="S319" s="205">
        <v>444060</v>
      </c>
      <c r="T319" s="205">
        <v>0</v>
      </c>
      <c r="U319" s="205">
        <v>444060</v>
      </c>
    </row>
    <row r="320" spans="1:21" x14ac:dyDescent="0.25">
      <c r="A320" s="202">
        <v>2021</v>
      </c>
      <c r="B320" s="202" t="s">
        <v>822</v>
      </c>
      <c r="C320" s="203" t="s">
        <v>341</v>
      </c>
      <c r="D320" s="204" t="s">
        <v>821</v>
      </c>
      <c r="E320" s="204" t="s">
        <v>821</v>
      </c>
      <c r="F320" s="204" t="s">
        <v>341</v>
      </c>
      <c r="G320" s="203" t="s">
        <v>684</v>
      </c>
      <c r="H320" s="205">
        <v>0</v>
      </c>
      <c r="I320" s="205">
        <v>8</v>
      </c>
      <c r="J320" s="206"/>
      <c r="K320" s="205">
        <v>276052.5</v>
      </c>
      <c r="L320" s="205">
        <v>0</v>
      </c>
      <c r="M320" s="205">
        <v>276052.5</v>
      </c>
      <c r="N320" s="206"/>
      <c r="O320" s="205">
        <v>105353.5</v>
      </c>
      <c r="P320" s="205">
        <v>0</v>
      </c>
      <c r="Q320" s="205">
        <v>105353.5</v>
      </c>
      <c r="R320" s="206"/>
      <c r="S320" s="205">
        <v>381406</v>
      </c>
      <c r="T320" s="205">
        <v>0</v>
      </c>
      <c r="U320" s="205">
        <v>381406</v>
      </c>
    </row>
    <row r="321" spans="1:21" x14ac:dyDescent="0.25">
      <c r="A321" s="202">
        <v>2021</v>
      </c>
      <c r="B321" s="202" t="s">
        <v>824</v>
      </c>
      <c r="C321" s="203" t="s">
        <v>342</v>
      </c>
      <c r="D321" s="204" t="s">
        <v>821</v>
      </c>
      <c r="E321" s="204" t="s">
        <v>821</v>
      </c>
      <c r="F321" s="204" t="s">
        <v>342</v>
      </c>
      <c r="G321" s="203" t="s">
        <v>685</v>
      </c>
      <c r="H321" s="205">
        <v>2</v>
      </c>
      <c r="I321" s="205">
        <v>4</v>
      </c>
      <c r="J321" s="206"/>
      <c r="K321" s="205">
        <v>155715</v>
      </c>
      <c r="L321" s="205">
        <v>51905</v>
      </c>
      <c r="M321" s="205">
        <v>103810</v>
      </c>
      <c r="N321" s="206"/>
      <c r="O321" s="205">
        <v>57450</v>
      </c>
      <c r="P321" s="205">
        <v>19150</v>
      </c>
      <c r="Q321" s="205">
        <v>38300</v>
      </c>
      <c r="R321" s="206"/>
      <c r="S321" s="205">
        <v>213165</v>
      </c>
      <c r="T321" s="205">
        <v>71055</v>
      </c>
      <c r="U321" s="205">
        <v>142110</v>
      </c>
    </row>
    <row r="322" spans="1:21" x14ac:dyDescent="0.25">
      <c r="A322" s="202">
        <v>2021</v>
      </c>
      <c r="B322" s="202" t="s">
        <v>824</v>
      </c>
      <c r="C322" s="203" t="s">
        <v>343</v>
      </c>
      <c r="D322" s="204" t="s">
        <v>821</v>
      </c>
      <c r="E322" s="204" t="s">
        <v>821</v>
      </c>
      <c r="F322" s="204" t="s">
        <v>343</v>
      </c>
      <c r="G322" s="203" t="s">
        <v>686</v>
      </c>
      <c r="H322" s="205">
        <v>0</v>
      </c>
      <c r="I322" s="205">
        <v>7</v>
      </c>
      <c r="J322" s="206"/>
      <c r="K322" s="205">
        <v>190803.75</v>
      </c>
      <c r="L322" s="205">
        <v>0</v>
      </c>
      <c r="M322" s="205">
        <v>190803.75</v>
      </c>
      <c r="N322" s="206"/>
      <c r="O322" s="205">
        <v>69315.25</v>
      </c>
      <c r="P322" s="205">
        <v>0</v>
      </c>
      <c r="Q322" s="205">
        <v>69315.25</v>
      </c>
      <c r="R322" s="206"/>
      <c r="S322" s="205">
        <v>260119</v>
      </c>
      <c r="T322" s="205">
        <v>0</v>
      </c>
      <c r="U322" s="205">
        <v>260119</v>
      </c>
    </row>
    <row r="323" spans="1:21" x14ac:dyDescent="0.25">
      <c r="A323" s="202">
        <v>2021</v>
      </c>
      <c r="B323" s="202" t="s">
        <v>829</v>
      </c>
      <c r="C323" s="203" t="s">
        <v>337</v>
      </c>
      <c r="D323" s="204" t="s">
        <v>821</v>
      </c>
      <c r="E323" s="204" t="s">
        <v>821</v>
      </c>
      <c r="F323" s="204" t="s">
        <v>337</v>
      </c>
      <c r="G323" s="203" t="s">
        <v>680</v>
      </c>
      <c r="H323" s="205">
        <v>0</v>
      </c>
      <c r="I323" s="205">
        <v>6</v>
      </c>
      <c r="J323" s="206"/>
      <c r="K323" s="205">
        <v>1170378</v>
      </c>
      <c r="L323" s="205">
        <v>0</v>
      </c>
      <c r="M323" s="205">
        <v>1170378</v>
      </c>
      <c r="N323" s="206"/>
      <c r="O323" s="205">
        <v>451652</v>
      </c>
      <c r="P323" s="205">
        <v>0</v>
      </c>
      <c r="Q323" s="205">
        <v>451652</v>
      </c>
      <c r="R323" s="206"/>
      <c r="S323" s="205">
        <v>1622030</v>
      </c>
      <c r="T323" s="205">
        <v>0</v>
      </c>
      <c r="U323" s="205">
        <v>1622030</v>
      </c>
    </row>
    <row r="324" spans="1:21" x14ac:dyDescent="0.25">
      <c r="A324" s="202">
        <v>2021</v>
      </c>
      <c r="B324" s="202" t="s">
        <v>824</v>
      </c>
      <c r="C324" s="203" t="s">
        <v>344</v>
      </c>
      <c r="D324" s="204" t="s">
        <v>821</v>
      </c>
      <c r="E324" s="204" t="s">
        <v>821</v>
      </c>
      <c r="F324" s="204" t="s">
        <v>344</v>
      </c>
      <c r="G324" s="203" t="s">
        <v>687</v>
      </c>
      <c r="H324" s="205">
        <v>1</v>
      </c>
      <c r="I324" s="205">
        <v>6</v>
      </c>
      <c r="J324" s="206"/>
      <c r="K324" s="205">
        <v>167259</v>
      </c>
      <c r="L324" s="205">
        <v>23894.14</v>
      </c>
      <c r="M324" s="205">
        <v>143364.85999999999</v>
      </c>
      <c r="N324" s="206"/>
      <c r="O324" s="205">
        <v>61346</v>
      </c>
      <c r="P324" s="205">
        <v>8763.7099999999991</v>
      </c>
      <c r="Q324" s="205">
        <v>52582.29</v>
      </c>
      <c r="R324" s="206"/>
      <c r="S324" s="205">
        <v>228605</v>
      </c>
      <c r="T324" s="205">
        <v>32657.85</v>
      </c>
      <c r="U324" s="205">
        <v>195947.15</v>
      </c>
    </row>
    <row r="325" spans="1:21" x14ac:dyDescent="0.25">
      <c r="A325" s="202">
        <v>2021</v>
      </c>
      <c r="B325" s="202" t="s">
        <v>824</v>
      </c>
      <c r="C325" s="203" t="s">
        <v>345</v>
      </c>
      <c r="D325" s="204" t="s">
        <v>821</v>
      </c>
      <c r="E325" s="204" t="s">
        <v>821</v>
      </c>
      <c r="F325" s="204" t="s">
        <v>345</v>
      </c>
      <c r="G325" s="203" t="s">
        <v>688</v>
      </c>
      <c r="H325" s="205">
        <v>0</v>
      </c>
      <c r="I325" s="205">
        <v>5</v>
      </c>
      <c r="J325" s="206"/>
      <c r="K325" s="205">
        <v>44048.25</v>
      </c>
      <c r="L325" s="205">
        <v>0</v>
      </c>
      <c r="M325" s="205">
        <v>44048.25</v>
      </c>
      <c r="N325" s="206"/>
      <c r="O325" s="205">
        <v>15396.75</v>
      </c>
      <c r="P325" s="205">
        <v>0</v>
      </c>
      <c r="Q325" s="205">
        <v>15396.75</v>
      </c>
      <c r="R325" s="206"/>
      <c r="S325" s="205">
        <v>59445</v>
      </c>
      <c r="T325" s="205">
        <v>0</v>
      </c>
      <c r="U325" s="205">
        <v>59445</v>
      </c>
    </row>
    <row r="326" spans="1:21" x14ac:dyDescent="0.25">
      <c r="A326" s="202">
        <v>2021</v>
      </c>
      <c r="B326" s="202" t="s">
        <v>827</v>
      </c>
      <c r="C326" s="203" t="s">
        <v>346</v>
      </c>
      <c r="D326" s="204" t="s">
        <v>821</v>
      </c>
      <c r="E326" s="204" t="s">
        <v>821</v>
      </c>
      <c r="F326" s="204" t="s">
        <v>346</v>
      </c>
      <c r="G326" s="203" t="s">
        <v>689</v>
      </c>
      <c r="H326" s="205">
        <v>0</v>
      </c>
      <c r="I326" s="205">
        <v>7</v>
      </c>
      <c r="J326" s="206"/>
      <c r="K326" s="205">
        <v>387511.5</v>
      </c>
      <c r="L326" s="205">
        <v>0</v>
      </c>
      <c r="M326" s="205">
        <v>387511.5</v>
      </c>
      <c r="N326" s="206"/>
      <c r="O326" s="205">
        <v>148448.5</v>
      </c>
      <c r="P326" s="205">
        <v>0</v>
      </c>
      <c r="Q326" s="205">
        <v>148448.5</v>
      </c>
      <c r="R326" s="206"/>
      <c r="S326" s="205">
        <v>535960</v>
      </c>
      <c r="T326" s="205">
        <v>0</v>
      </c>
      <c r="U326" s="205">
        <v>535960</v>
      </c>
    </row>
    <row r="327" spans="1:21" x14ac:dyDescent="0.25">
      <c r="A327" s="202">
        <v>2021</v>
      </c>
      <c r="B327" s="202" t="s">
        <v>830</v>
      </c>
      <c r="C327" s="203" t="s">
        <v>347</v>
      </c>
      <c r="D327" s="204" t="s">
        <v>821</v>
      </c>
      <c r="E327" s="204" t="s">
        <v>821</v>
      </c>
      <c r="F327" s="204" t="s">
        <v>347</v>
      </c>
      <c r="G327" s="203" t="s">
        <v>690</v>
      </c>
      <c r="H327" s="205">
        <v>0</v>
      </c>
      <c r="I327" s="205">
        <v>5</v>
      </c>
      <c r="J327" s="206"/>
      <c r="K327" s="205">
        <v>186149.25</v>
      </c>
      <c r="L327" s="205">
        <v>0</v>
      </c>
      <c r="M327" s="205">
        <v>186149.25</v>
      </c>
      <c r="N327" s="206"/>
      <c r="O327" s="205">
        <v>64808.75</v>
      </c>
      <c r="P327" s="205">
        <v>0</v>
      </c>
      <c r="Q327" s="205">
        <v>64808.75</v>
      </c>
      <c r="R327" s="206"/>
      <c r="S327" s="205">
        <v>250958</v>
      </c>
      <c r="T327" s="205">
        <v>0</v>
      </c>
      <c r="U327" s="205">
        <v>250958</v>
      </c>
    </row>
    <row r="328" spans="1:21" x14ac:dyDescent="0.25">
      <c r="A328" s="202">
        <v>2021</v>
      </c>
      <c r="B328" s="202" t="s">
        <v>826</v>
      </c>
      <c r="C328" s="203" t="s">
        <v>348</v>
      </c>
      <c r="D328" s="204" t="s">
        <v>821</v>
      </c>
      <c r="E328" s="204" t="s">
        <v>821</v>
      </c>
      <c r="F328" s="204" t="s">
        <v>348</v>
      </c>
      <c r="G328" s="203" t="s">
        <v>691</v>
      </c>
      <c r="H328" s="205">
        <v>0</v>
      </c>
      <c r="I328" s="205">
        <v>7</v>
      </c>
      <c r="J328" s="206"/>
      <c r="K328" s="205">
        <v>74859</v>
      </c>
      <c r="L328" s="205">
        <v>0</v>
      </c>
      <c r="M328" s="205">
        <v>74859</v>
      </c>
      <c r="N328" s="206"/>
      <c r="O328" s="205">
        <v>30967</v>
      </c>
      <c r="P328" s="205">
        <v>0</v>
      </c>
      <c r="Q328" s="205">
        <v>30967</v>
      </c>
      <c r="R328" s="206"/>
      <c r="S328" s="205">
        <v>105826</v>
      </c>
      <c r="T328" s="205">
        <v>0</v>
      </c>
      <c r="U328" s="205">
        <v>105826</v>
      </c>
    </row>
    <row r="329" spans="1:21" x14ac:dyDescent="0.25">
      <c r="A329" s="202">
        <v>2021</v>
      </c>
      <c r="B329" s="202" t="s">
        <v>820</v>
      </c>
      <c r="C329" s="203" t="s">
        <v>349</v>
      </c>
      <c r="D329" s="204" t="s">
        <v>821</v>
      </c>
      <c r="E329" s="204" t="s">
        <v>821</v>
      </c>
      <c r="F329" s="204" t="s">
        <v>349</v>
      </c>
      <c r="G329" s="203" t="s">
        <v>692</v>
      </c>
      <c r="H329" s="205">
        <v>0</v>
      </c>
      <c r="I329" s="205">
        <v>4</v>
      </c>
      <c r="J329" s="206"/>
      <c r="K329" s="205">
        <v>324063.75</v>
      </c>
      <c r="L329" s="205">
        <v>0</v>
      </c>
      <c r="M329" s="205">
        <v>324063.75</v>
      </c>
      <c r="N329" s="206"/>
      <c r="O329" s="205">
        <v>129424.25</v>
      </c>
      <c r="P329" s="205">
        <v>0</v>
      </c>
      <c r="Q329" s="205">
        <v>129424.25</v>
      </c>
      <c r="R329" s="206"/>
      <c r="S329" s="205">
        <v>453488</v>
      </c>
      <c r="T329" s="205">
        <v>0</v>
      </c>
      <c r="U329" s="205">
        <v>453488</v>
      </c>
    </row>
    <row r="330" spans="1:21" x14ac:dyDescent="0.25">
      <c r="A330" s="202">
        <v>2021</v>
      </c>
      <c r="B330" s="202" t="s">
        <v>823</v>
      </c>
      <c r="C330" s="203" t="s">
        <v>350</v>
      </c>
      <c r="D330" s="204" t="s">
        <v>821</v>
      </c>
      <c r="E330" s="204" t="s">
        <v>821</v>
      </c>
      <c r="F330" s="204" t="s">
        <v>350</v>
      </c>
      <c r="G330" s="203" t="s">
        <v>693</v>
      </c>
      <c r="H330" s="205">
        <v>5</v>
      </c>
      <c r="I330" s="205">
        <v>9</v>
      </c>
      <c r="J330" s="206"/>
      <c r="K330" s="205">
        <v>199427.25</v>
      </c>
      <c r="L330" s="205">
        <v>71224.02</v>
      </c>
      <c r="M330" s="205">
        <v>128203.23</v>
      </c>
      <c r="N330" s="206"/>
      <c r="O330" s="205">
        <v>87306.75</v>
      </c>
      <c r="P330" s="205">
        <v>31180.98</v>
      </c>
      <c r="Q330" s="205">
        <v>56125.770000000004</v>
      </c>
      <c r="R330" s="206"/>
      <c r="S330" s="205">
        <v>286734</v>
      </c>
      <c r="T330" s="205">
        <v>102405</v>
      </c>
      <c r="U330" s="205">
        <v>184329</v>
      </c>
    </row>
    <row r="331" spans="1:21" x14ac:dyDescent="0.25">
      <c r="A331" s="202">
        <v>2021</v>
      </c>
      <c r="B331" s="202" t="s">
        <v>824</v>
      </c>
      <c r="C331" s="203" t="s">
        <v>351</v>
      </c>
      <c r="D331" s="204" t="s">
        <v>821</v>
      </c>
      <c r="E331" s="204" t="s">
        <v>821</v>
      </c>
      <c r="F331" s="204" t="s">
        <v>351</v>
      </c>
      <c r="G331" s="203" t="s">
        <v>694</v>
      </c>
      <c r="H331" s="205">
        <v>0</v>
      </c>
      <c r="I331" s="205">
        <v>2</v>
      </c>
      <c r="J331" s="206"/>
      <c r="K331" s="205">
        <v>54286.5</v>
      </c>
      <c r="L331" s="205">
        <v>0</v>
      </c>
      <c r="M331" s="205">
        <v>54286.5</v>
      </c>
      <c r="N331" s="206"/>
      <c r="O331" s="205">
        <v>20846.5</v>
      </c>
      <c r="P331" s="205">
        <v>0</v>
      </c>
      <c r="Q331" s="205">
        <v>20846.5</v>
      </c>
      <c r="R331" s="206"/>
      <c r="S331" s="205">
        <v>75133</v>
      </c>
      <c r="T331" s="205">
        <v>0</v>
      </c>
      <c r="U331" s="205">
        <v>75133</v>
      </c>
    </row>
    <row r="332" spans="1:21" x14ac:dyDescent="0.25">
      <c r="A332" s="202">
        <v>2021</v>
      </c>
      <c r="B332" s="202" t="s">
        <v>820</v>
      </c>
      <c r="C332" s="203" t="s">
        <v>352</v>
      </c>
      <c r="D332" s="204" t="s">
        <v>821</v>
      </c>
      <c r="E332" s="204" t="s">
        <v>821</v>
      </c>
      <c r="F332" s="204" t="s">
        <v>352</v>
      </c>
      <c r="G332" s="203" t="s">
        <v>695</v>
      </c>
      <c r="H332" s="205">
        <v>0</v>
      </c>
      <c r="I332" s="205">
        <v>6</v>
      </c>
      <c r="J332" s="206"/>
      <c r="K332" s="205">
        <v>316119</v>
      </c>
      <c r="L332" s="205">
        <v>0</v>
      </c>
      <c r="M332" s="205">
        <v>316119</v>
      </c>
      <c r="N332" s="206"/>
      <c r="O332" s="205">
        <v>123270</v>
      </c>
      <c r="P332" s="205">
        <v>0</v>
      </c>
      <c r="Q332" s="205">
        <v>123270</v>
      </c>
      <c r="R332" s="206"/>
      <c r="S332" s="205">
        <v>439389</v>
      </c>
      <c r="T332" s="205">
        <v>0</v>
      </c>
      <c r="U332" s="205">
        <v>439389</v>
      </c>
    </row>
    <row r="333" spans="1:21" ht="15.75" thickBot="1" x14ac:dyDescent="0.3">
      <c r="A333" s="198"/>
      <c r="B333" s="198"/>
      <c r="C333" s="207" t="s">
        <v>790</v>
      </c>
      <c r="D333" s="198"/>
      <c r="E333" s="198"/>
      <c r="F333" s="200"/>
      <c r="G333" s="199"/>
      <c r="H333" s="199"/>
      <c r="I333" s="199"/>
      <c r="J333" s="199"/>
      <c r="K333" s="196">
        <f>SUM(K6:K332)</f>
        <v>75137126.25</v>
      </c>
      <c r="L333" s="196">
        <f t="shared" ref="L333:M333" si="0">SUM(L6:L332)</f>
        <v>7800045.8299999973</v>
      </c>
      <c r="M333" s="196">
        <f t="shared" si="0"/>
        <v>67337080.419999957</v>
      </c>
      <c r="N333" s="199"/>
      <c r="O333" s="196">
        <f>SUM(O6:O332)</f>
        <v>29315857.75</v>
      </c>
      <c r="P333" s="196">
        <f t="shared" ref="P333:Q333" si="1">SUM(P6:P332)</f>
        <v>2960676.0899999994</v>
      </c>
      <c r="Q333" s="196">
        <f t="shared" si="1"/>
        <v>26355181.660000008</v>
      </c>
      <c r="R333" s="199"/>
      <c r="S333" s="196">
        <f>SUM(S6:S332)</f>
        <v>104452984</v>
      </c>
      <c r="T333" s="196">
        <f t="shared" ref="T333:U333" si="2">SUM(T6:T332)</f>
        <v>10760721.919999998</v>
      </c>
      <c r="U333" s="19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4" t="s">
        <v>792</v>
      </c>
    </row>
    <row r="2" spans="1:40" x14ac:dyDescent="0.2">
      <c r="A2" s="1">
        <v>2022</v>
      </c>
      <c r="B2" s="2" t="s">
        <v>20</v>
      </c>
      <c r="C2" s="2" t="s">
        <v>20</v>
      </c>
      <c r="D2" s="1" t="s">
        <v>0</v>
      </c>
      <c r="E2" s="3">
        <v>3485100</v>
      </c>
      <c r="F2" s="1">
        <v>746</v>
      </c>
      <c r="G2" s="3">
        <v>16062</v>
      </c>
      <c r="H2" s="1">
        <v>0</v>
      </c>
      <c r="I2" s="3">
        <v>3484354</v>
      </c>
      <c r="J2" s="3">
        <v>3468292</v>
      </c>
      <c r="K2" s="3">
        <v>3468292</v>
      </c>
      <c r="L2" s="3">
        <v>161862</v>
      </c>
      <c r="M2" s="3">
        <v>438096</v>
      </c>
      <c r="N2" s="3">
        <v>42148</v>
      </c>
      <c r="O2" s="3">
        <v>47408</v>
      </c>
      <c r="P2" s="3">
        <v>236041</v>
      </c>
      <c r="Q2" s="3">
        <v>2558799</v>
      </c>
      <c r="R2" s="3">
        <v>2542737</v>
      </c>
      <c r="S2" s="3">
        <v>2542737</v>
      </c>
      <c r="T2" s="3">
        <v>348435</v>
      </c>
      <c r="U2" s="3">
        <v>348435</v>
      </c>
      <c r="V2" s="3">
        <v>348435</v>
      </c>
      <c r="W2" s="3">
        <v>348435</v>
      </c>
      <c r="X2" s="3">
        <v>345759</v>
      </c>
      <c r="Y2" s="3">
        <v>345759</v>
      </c>
      <c r="Z2" s="4">
        <v>345759</v>
      </c>
      <c r="AA2" s="4">
        <v>345759</v>
      </c>
      <c r="AB2" s="4">
        <v>345759</v>
      </c>
      <c r="AC2" s="4">
        <v>345757</v>
      </c>
      <c r="AD2" s="4">
        <v>348435</v>
      </c>
      <c r="AE2" s="4">
        <v>696870</v>
      </c>
      <c r="AF2" s="4">
        <v>1045305</v>
      </c>
      <c r="AG2" s="4">
        <v>1393740</v>
      </c>
      <c r="AH2" s="4">
        <v>1739499</v>
      </c>
      <c r="AI2" s="4">
        <v>2085258</v>
      </c>
      <c r="AJ2" s="4">
        <v>2431017</v>
      </c>
      <c r="AK2" s="4">
        <v>2776776</v>
      </c>
      <c r="AL2" s="4">
        <v>3122535</v>
      </c>
      <c r="AM2" s="4">
        <v>3468292</v>
      </c>
      <c r="AN2" s="153">
        <v>326759</v>
      </c>
    </row>
    <row r="3" spans="1:40" x14ac:dyDescent="0.2">
      <c r="A3" s="1">
        <v>2022</v>
      </c>
      <c r="B3" s="2" t="s">
        <v>21</v>
      </c>
      <c r="C3" s="2" t="s">
        <v>21</v>
      </c>
      <c r="D3" s="1" t="s">
        <v>381</v>
      </c>
      <c r="E3" s="3">
        <v>1512092</v>
      </c>
      <c r="F3" s="1">
        <v>299</v>
      </c>
      <c r="G3" s="3">
        <v>7012</v>
      </c>
      <c r="H3" s="3">
        <v>0</v>
      </c>
      <c r="I3" s="3">
        <v>1511793</v>
      </c>
      <c r="J3" s="3">
        <v>1504781</v>
      </c>
      <c r="K3" s="3">
        <v>1504781</v>
      </c>
      <c r="L3" s="3">
        <v>64744</v>
      </c>
      <c r="M3" s="3">
        <v>198587</v>
      </c>
      <c r="N3" s="3">
        <v>22022</v>
      </c>
      <c r="O3" s="3">
        <v>19956</v>
      </c>
      <c r="P3" s="3">
        <v>103045</v>
      </c>
      <c r="Q3" s="3">
        <v>1103439</v>
      </c>
      <c r="R3" s="3">
        <v>1096427</v>
      </c>
      <c r="S3" s="3">
        <v>1096427</v>
      </c>
      <c r="T3" s="3">
        <v>151179</v>
      </c>
      <c r="U3" s="3">
        <v>151179</v>
      </c>
      <c r="V3" s="3">
        <v>151179</v>
      </c>
      <c r="W3" s="3">
        <v>151179</v>
      </c>
      <c r="X3" s="3">
        <v>150011</v>
      </c>
      <c r="Y3" s="3">
        <v>150011</v>
      </c>
      <c r="Z3" s="4">
        <v>150011</v>
      </c>
      <c r="AA3" s="4">
        <v>150011</v>
      </c>
      <c r="AB3" s="4">
        <v>150011</v>
      </c>
      <c r="AC3" s="4">
        <v>150010</v>
      </c>
      <c r="AD3" s="4">
        <v>151179</v>
      </c>
      <c r="AE3" s="4">
        <v>302358</v>
      </c>
      <c r="AF3" s="4">
        <v>453537</v>
      </c>
      <c r="AG3" s="4">
        <v>604716</v>
      </c>
      <c r="AH3" s="4">
        <v>754727</v>
      </c>
      <c r="AI3" s="4">
        <v>904738</v>
      </c>
      <c r="AJ3" s="4">
        <v>1054749</v>
      </c>
      <c r="AK3" s="4">
        <v>1204760</v>
      </c>
      <c r="AL3" s="4">
        <v>1354771</v>
      </c>
      <c r="AM3" s="4">
        <v>1504781</v>
      </c>
      <c r="AN3" s="153">
        <v>135462</v>
      </c>
    </row>
    <row r="4" spans="1:40" x14ac:dyDescent="0.2">
      <c r="A4" s="1">
        <v>2022</v>
      </c>
      <c r="B4" s="2" t="s">
        <v>22</v>
      </c>
      <c r="C4" s="2" t="s">
        <v>22</v>
      </c>
      <c r="D4" s="1" t="s">
        <v>382</v>
      </c>
      <c r="E4" s="3">
        <v>13528656</v>
      </c>
      <c r="F4" s="1">
        <v>0</v>
      </c>
      <c r="G4" s="3">
        <v>47609</v>
      </c>
      <c r="H4" s="1">
        <v>0</v>
      </c>
      <c r="I4" s="3">
        <v>13528656</v>
      </c>
      <c r="J4" s="3">
        <v>13481047</v>
      </c>
      <c r="K4" s="3">
        <v>13481047</v>
      </c>
      <c r="L4" s="3">
        <v>0</v>
      </c>
      <c r="M4" s="3">
        <v>1265495</v>
      </c>
      <c r="N4" s="3">
        <v>143267</v>
      </c>
      <c r="O4" s="3">
        <v>137335</v>
      </c>
      <c r="P4" s="3">
        <v>699641</v>
      </c>
      <c r="Q4" s="3">
        <v>11282918</v>
      </c>
      <c r="R4" s="3">
        <v>11235309</v>
      </c>
      <c r="S4" s="3">
        <v>11235309</v>
      </c>
      <c r="T4" s="3">
        <v>1352866</v>
      </c>
      <c r="U4" s="3">
        <v>1352866</v>
      </c>
      <c r="V4" s="3">
        <v>1352866</v>
      </c>
      <c r="W4" s="3">
        <v>1352866</v>
      </c>
      <c r="X4" s="3">
        <v>1344931</v>
      </c>
      <c r="Y4" s="3">
        <v>1344931</v>
      </c>
      <c r="Z4" s="4">
        <v>1344930</v>
      </c>
      <c r="AA4" s="4">
        <v>1344930</v>
      </c>
      <c r="AB4" s="4">
        <v>1344930</v>
      </c>
      <c r="AC4" s="4">
        <v>1344931</v>
      </c>
      <c r="AD4" s="4">
        <v>1352866</v>
      </c>
      <c r="AE4" s="4">
        <v>2705732</v>
      </c>
      <c r="AF4" s="4">
        <v>4058598</v>
      </c>
      <c r="AG4" s="4">
        <v>5411464</v>
      </c>
      <c r="AH4" s="4">
        <v>6756395</v>
      </c>
      <c r="AI4" s="4">
        <v>8101326</v>
      </c>
      <c r="AJ4" s="4">
        <v>9446256</v>
      </c>
      <c r="AK4" s="4">
        <v>10791186</v>
      </c>
      <c r="AL4" s="4">
        <v>12136116</v>
      </c>
      <c r="AM4" s="4">
        <v>13481047</v>
      </c>
      <c r="AN4" s="153">
        <v>930678</v>
      </c>
    </row>
    <row r="5" spans="1:40" x14ac:dyDescent="0.2">
      <c r="A5" s="1">
        <v>2022</v>
      </c>
      <c r="B5" s="2" t="s">
        <v>23</v>
      </c>
      <c r="C5" s="2" t="s">
        <v>23</v>
      </c>
      <c r="D5" s="1" t="s">
        <v>383</v>
      </c>
      <c r="E5" s="3">
        <v>3690942</v>
      </c>
      <c r="F5" s="1">
        <v>464</v>
      </c>
      <c r="G5" s="3">
        <v>12815</v>
      </c>
      <c r="H5" s="1">
        <v>0</v>
      </c>
      <c r="I5" s="3">
        <v>3690478</v>
      </c>
      <c r="J5" s="3">
        <v>3677663</v>
      </c>
      <c r="K5" s="3">
        <v>3677663</v>
      </c>
      <c r="L5" s="3">
        <v>100714</v>
      </c>
      <c r="M5" s="3">
        <v>373757</v>
      </c>
      <c r="N5" s="3">
        <v>41480</v>
      </c>
      <c r="O5" s="3">
        <v>42780</v>
      </c>
      <c r="P5" s="3">
        <v>196830</v>
      </c>
      <c r="Q5" s="3">
        <v>2934917</v>
      </c>
      <c r="R5" s="3">
        <v>2922102</v>
      </c>
      <c r="S5" s="3">
        <v>2922102</v>
      </c>
      <c r="T5" s="3">
        <v>369048</v>
      </c>
      <c r="U5" s="3">
        <v>369048</v>
      </c>
      <c r="V5" s="3">
        <v>369048</v>
      </c>
      <c r="W5" s="3">
        <v>369048</v>
      </c>
      <c r="X5" s="3">
        <v>366912</v>
      </c>
      <c r="Y5" s="3">
        <v>366912</v>
      </c>
      <c r="Z5" s="4">
        <v>366912</v>
      </c>
      <c r="AA5" s="4">
        <v>366912</v>
      </c>
      <c r="AB5" s="4">
        <v>366912</v>
      </c>
      <c r="AC5" s="4">
        <v>366911</v>
      </c>
      <c r="AD5" s="4">
        <v>369048</v>
      </c>
      <c r="AE5" s="4">
        <v>738096</v>
      </c>
      <c r="AF5" s="4">
        <v>1107144</v>
      </c>
      <c r="AG5" s="4">
        <v>1476192</v>
      </c>
      <c r="AH5" s="4">
        <v>1843104</v>
      </c>
      <c r="AI5" s="4">
        <v>2210016</v>
      </c>
      <c r="AJ5" s="4">
        <v>2576928</v>
      </c>
      <c r="AK5" s="4">
        <v>2943840</v>
      </c>
      <c r="AL5" s="4">
        <v>3310752</v>
      </c>
      <c r="AM5" s="4">
        <v>3677663</v>
      </c>
      <c r="AN5" s="153">
        <v>273249</v>
      </c>
    </row>
    <row r="6" spans="1:40" x14ac:dyDescent="0.2">
      <c r="A6" s="1">
        <v>2022</v>
      </c>
      <c r="B6" s="2" t="s">
        <v>24</v>
      </c>
      <c r="C6" s="2" t="s">
        <v>24</v>
      </c>
      <c r="D6" s="1" t="s">
        <v>384</v>
      </c>
      <c r="E6" s="3">
        <v>1133202</v>
      </c>
      <c r="F6" s="1">
        <v>182</v>
      </c>
      <c r="G6" s="3">
        <v>5124</v>
      </c>
      <c r="H6" s="3">
        <v>0</v>
      </c>
      <c r="I6" s="3">
        <v>1133020</v>
      </c>
      <c r="J6" s="3">
        <v>1127896</v>
      </c>
      <c r="K6" s="3">
        <v>1127896</v>
      </c>
      <c r="L6" s="3">
        <v>39567</v>
      </c>
      <c r="M6" s="3">
        <v>116428</v>
      </c>
      <c r="N6" s="3">
        <v>10548</v>
      </c>
      <c r="O6" s="3">
        <v>10116</v>
      </c>
      <c r="P6" s="3">
        <v>75294</v>
      </c>
      <c r="Q6" s="3">
        <v>881067</v>
      </c>
      <c r="R6" s="3">
        <v>875943</v>
      </c>
      <c r="S6" s="3">
        <v>875943</v>
      </c>
      <c r="T6" s="3">
        <v>113302</v>
      </c>
      <c r="U6" s="3">
        <v>113302</v>
      </c>
      <c r="V6" s="3">
        <v>113302</v>
      </c>
      <c r="W6" s="3">
        <v>113302</v>
      </c>
      <c r="X6" s="3">
        <v>112448</v>
      </c>
      <c r="Y6" s="3">
        <v>112448</v>
      </c>
      <c r="Z6" s="4">
        <v>112448</v>
      </c>
      <c r="AA6" s="4">
        <v>112448</v>
      </c>
      <c r="AB6" s="4">
        <v>112448</v>
      </c>
      <c r="AC6" s="4">
        <v>112448</v>
      </c>
      <c r="AD6" s="4">
        <v>113302</v>
      </c>
      <c r="AE6" s="4">
        <v>226604</v>
      </c>
      <c r="AF6" s="4">
        <v>339906</v>
      </c>
      <c r="AG6" s="4">
        <v>453208</v>
      </c>
      <c r="AH6" s="4">
        <v>565656</v>
      </c>
      <c r="AI6" s="4">
        <v>678104</v>
      </c>
      <c r="AJ6" s="4">
        <v>790552</v>
      </c>
      <c r="AK6" s="4">
        <v>903000</v>
      </c>
      <c r="AL6" s="4">
        <v>1015448</v>
      </c>
      <c r="AM6" s="4">
        <v>1127896</v>
      </c>
      <c r="AN6" s="153">
        <v>103616</v>
      </c>
    </row>
    <row r="7" spans="1:40" x14ac:dyDescent="0.2">
      <c r="A7" s="1">
        <v>2022</v>
      </c>
      <c r="B7" s="2" t="s">
        <v>25</v>
      </c>
      <c r="C7" s="2" t="s">
        <v>25</v>
      </c>
      <c r="D7" s="1" t="s">
        <v>385</v>
      </c>
      <c r="E7" s="3">
        <v>8117974</v>
      </c>
      <c r="F7" s="3">
        <v>995</v>
      </c>
      <c r="G7" s="3">
        <v>27314</v>
      </c>
      <c r="H7" s="3">
        <v>0</v>
      </c>
      <c r="I7" s="3">
        <v>8116979</v>
      </c>
      <c r="J7" s="3">
        <v>8089665</v>
      </c>
      <c r="K7" s="3">
        <v>8089665</v>
      </c>
      <c r="L7" s="3">
        <v>215815</v>
      </c>
      <c r="M7" s="3">
        <v>697092</v>
      </c>
      <c r="N7" s="3">
        <v>78699</v>
      </c>
      <c r="O7" s="3">
        <v>80596</v>
      </c>
      <c r="P7" s="3">
        <v>401396</v>
      </c>
      <c r="Q7" s="3">
        <v>6643381</v>
      </c>
      <c r="R7" s="3">
        <v>6616067</v>
      </c>
      <c r="S7" s="3">
        <v>6616067</v>
      </c>
      <c r="T7" s="3">
        <v>811698</v>
      </c>
      <c r="U7" s="3">
        <v>811698</v>
      </c>
      <c r="V7" s="3">
        <v>811698</v>
      </c>
      <c r="W7" s="3">
        <v>811698</v>
      </c>
      <c r="X7" s="3">
        <v>807146</v>
      </c>
      <c r="Y7" s="3">
        <v>807146</v>
      </c>
      <c r="Z7" s="4">
        <v>807145</v>
      </c>
      <c r="AA7" s="4">
        <v>807145</v>
      </c>
      <c r="AB7" s="4">
        <v>807145</v>
      </c>
      <c r="AC7" s="4">
        <v>807146</v>
      </c>
      <c r="AD7" s="4">
        <v>811698</v>
      </c>
      <c r="AE7" s="4">
        <v>1623396</v>
      </c>
      <c r="AF7" s="4">
        <v>2435094</v>
      </c>
      <c r="AG7" s="4">
        <v>3246792</v>
      </c>
      <c r="AH7" s="4">
        <v>4053938</v>
      </c>
      <c r="AI7" s="4">
        <v>4861084</v>
      </c>
      <c r="AJ7" s="4">
        <v>5668229</v>
      </c>
      <c r="AK7" s="4">
        <v>6475374</v>
      </c>
      <c r="AL7" s="4">
        <v>7282519</v>
      </c>
      <c r="AM7" s="4">
        <v>8089665</v>
      </c>
      <c r="AN7" s="153">
        <v>528302</v>
      </c>
    </row>
    <row r="8" spans="1:40" x14ac:dyDescent="0.2">
      <c r="A8" s="1">
        <v>2022</v>
      </c>
      <c r="B8" s="2" t="s">
        <v>26</v>
      </c>
      <c r="C8" s="2" t="s">
        <v>26</v>
      </c>
      <c r="D8" s="1" t="s">
        <v>386</v>
      </c>
      <c r="E8" s="3">
        <v>3112186</v>
      </c>
      <c r="F8" s="3">
        <v>597</v>
      </c>
      <c r="G8" s="3">
        <v>12259</v>
      </c>
      <c r="H8" s="1">
        <v>0</v>
      </c>
      <c r="I8" s="3">
        <v>3111589</v>
      </c>
      <c r="J8" s="3">
        <v>3099330</v>
      </c>
      <c r="K8" s="3">
        <v>3099330</v>
      </c>
      <c r="L8" s="3">
        <v>129489</v>
      </c>
      <c r="M8" s="3">
        <v>323822</v>
      </c>
      <c r="N8" s="3">
        <v>31740</v>
      </c>
      <c r="O8" s="3">
        <v>37330</v>
      </c>
      <c r="P8" s="3">
        <v>180155</v>
      </c>
      <c r="Q8" s="3">
        <v>2409053</v>
      </c>
      <c r="R8" s="3">
        <v>2396794</v>
      </c>
      <c r="S8" s="3">
        <v>2396794</v>
      </c>
      <c r="T8" s="3">
        <v>311159</v>
      </c>
      <c r="U8" s="3">
        <v>311159</v>
      </c>
      <c r="V8" s="3">
        <v>311159</v>
      </c>
      <c r="W8" s="3">
        <v>311159</v>
      </c>
      <c r="X8" s="3">
        <v>309116</v>
      </c>
      <c r="Y8" s="3">
        <v>309116</v>
      </c>
      <c r="Z8" s="4">
        <v>309116</v>
      </c>
      <c r="AA8" s="4">
        <v>309116</v>
      </c>
      <c r="AB8" s="4">
        <v>309116</v>
      </c>
      <c r="AC8" s="4">
        <v>309114</v>
      </c>
      <c r="AD8" s="4">
        <v>311159</v>
      </c>
      <c r="AE8" s="4">
        <v>622318</v>
      </c>
      <c r="AF8" s="4">
        <v>933477</v>
      </c>
      <c r="AG8" s="4">
        <v>1244636</v>
      </c>
      <c r="AH8" s="4">
        <v>1553752</v>
      </c>
      <c r="AI8" s="4">
        <v>1862868</v>
      </c>
      <c r="AJ8" s="4">
        <v>2171984</v>
      </c>
      <c r="AK8" s="4">
        <v>2481100</v>
      </c>
      <c r="AL8" s="4">
        <v>2790216</v>
      </c>
      <c r="AM8" s="4">
        <v>3099330</v>
      </c>
      <c r="AN8" s="153">
        <v>231265</v>
      </c>
    </row>
    <row r="9" spans="1:40" x14ac:dyDescent="0.2">
      <c r="A9" s="1">
        <v>2022</v>
      </c>
      <c r="B9" s="2" t="s">
        <v>27</v>
      </c>
      <c r="C9" s="2" t="s">
        <v>27</v>
      </c>
      <c r="D9" s="1" t="s">
        <v>387</v>
      </c>
      <c r="E9" s="3">
        <v>1494352</v>
      </c>
      <c r="F9" s="1">
        <v>216</v>
      </c>
      <c r="G9" s="3">
        <v>6017</v>
      </c>
      <c r="H9" s="1">
        <v>0</v>
      </c>
      <c r="I9" s="3">
        <v>1494136</v>
      </c>
      <c r="J9" s="3">
        <v>1488119</v>
      </c>
      <c r="K9" s="3">
        <v>1488119</v>
      </c>
      <c r="L9" s="3">
        <v>46760</v>
      </c>
      <c r="M9" s="3">
        <v>171699</v>
      </c>
      <c r="N9" s="3">
        <v>21289</v>
      </c>
      <c r="O9" s="3">
        <v>16430</v>
      </c>
      <c r="P9" s="3">
        <v>90131</v>
      </c>
      <c r="Q9" s="3">
        <v>1147827</v>
      </c>
      <c r="R9" s="3">
        <v>1141810</v>
      </c>
      <c r="S9" s="3">
        <v>1141810</v>
      </c>
      <c r="T9" s="3">
        <v>149414</v>
      </c>
      <c r="U9" s="3">
        <v>149414</v>
      </c>
      <c r="V9" s="3">
        <v>149414</v>
      </c>
      <c r="W9" s="3">
        <v>149414</v>
      </c>
      <c r="X9" s="3">
        <v>148411</v>
      </c>
      <c r="Y9" s="3">
        <v>148411</v>
      </c>
      <c r="Z9" s="4">
        <v>148410</v>
      </c>
      <c r="AA9" s="4">
        <v>148410</v>
      </c>
      <c r="AB9" s="4">
        <v>148410</v>
      </c>
      <c r="AC9" s="4">
        <v>148411</v>
      </c>
      <c r="AD9" s="4">
        <v>149414</v>
      </c>
      <c r="AE9" s="4">
        <v>298828</v>
      </c>
      <c r="AF9" s="4">
        <v>448242</v>
      </c>
      <c r="AG9" s="4">
        <v>597656</v>
      </c>
      <c r="AH9" s="4">
        <v>746067</v>
      </c>
      <c r="AI9" s="4">
        <v>894478</v>
      </c>
      <c r="AJ9" s="4">
        <v>1042888</v>
      </c>
      <c r="AK9" s="4">
        <v>1191298</v>
      </c>
      <c r="AL9" s="4">
        <v>1339708</v>
      </c>
      <c r="AM9" s="4">
        <v>1488119</v>
      </c>
      <c r="AN9" s="153">
        <v>120978</v>
      </c>
    </row>
    <row r="10" spans="1:40" x14ac:dyDescent="0.2">
      <c r="A10" s="1">
        <v>2022</v>
      </c>
      <c r="B10" s="2" t="s">
        <v>28</v>
      </c>
      <c r="C10" s="2" t="s">
        <v>28</v>
      </c>
      <c r="D10" s="1" t="s">
        <v>388</v>
      </c>
      <c r="E10" s="3">
        <v>7441342</v>
      </c>
      <c r="F10" s="3">
        <v>1791</v>
      </c>
      <c r="G10" s="3">
        <v>30462</v>
      </c>
      <c r="H10" s="1">
        <v>0</v>
      </c>
      <c r="I10" s="3">
        <v>7439551</v>
      </c>
      <c r="J10" s="3">
        <v>7409089</v>
      </c>
      <c r="K10" s="3">
        <v>7409089</v>
      </c>
      <c r="L10" s="3">
        <v>388467</v>
      </c>
      <c r="M10" s="3">
        <v>805732</v>
      </c>
      <c r="N10" s="3">
        <v>86088</v>
      </c>
      <c r="O10" s="3">
        <v>97052</v>
      </c>
      <c r="P10" s="3">
        <v>447647</v>
      </c>
      <c r="Q10" s="3">
        <v>5614565</v>
      </c>
      <c r="R10" s="3">
        <v>5584103</v>
      </c>
      <c r="S10" s="3">
        <v>5584103</v>
      </c>
      <c r="T10" s="3">
        <v>743955</v>
      </c>
      <c r="U10" s="3">
        <v>743955</v>
      </c>
      <c r="V10" s="3">
        <v>743955</v>
      </c>
      <c r="W10" s="3">
        <v>743955</v>
      </c>
      <c r="X10" s="3">
        <v>738878</v>
      </c>
      <c r="Y10" s="3">
        <v>738878</v>
      </c>
      <c r="Z10" s="4">
        <v>738878</v>
      </c>
      <c r="AA10" s="4">
        <v>738878</v>
      </c>
      <c r="AB10" s="4">
        <v>738878</v>
      </c>
      <c r="AC10" s="4">
        <v>738879</v>
      </c>
      <c r="AD10" s="4">
        <v>743955</v>
      </c>
      <c r="AE10" s="4">
        <v>1487910</v>
      </c>
      <c r="AF10" s="4">
        <v>2231865</v>
      </c>
      <c r="AG10" s="4">
        <v>2975820</v>
      </c>
      <c r="AH10" s="4">
        <v>3714698</v>
      </c>
      <c r="AI10" s="4">
        <v>4453576</v>
      </c>
      <c r="AJ10" s="4">
        <v>5192454</v>
      </c>
      <c r="AK10" s="4">
        <v>5931332</v>
      </c>
      <c r="AL10" s="4">
        <v>6670210</v>
      </c>
      <c r="AM10" s="4">
        <v>7409089</v>
      </c>
      <c r="AN10" s="153">
        <v>649936</v>
      </c>
    </row>
    <row r="11" spans="1:40" x14ac:dyDescent="0.2">
      <c r="A11" s="1">
        <v>2022</v>
      </c>
      <c r="B11" s="2" t="s">
        <v>29</v>
      </c>
      <c r="C11" s="2" t="s">
        <v>29</v>
      </c>
      <c r="D11" s="1" t="s">
        <v>389</v>
      </c>
      <c r="E11" s="3">
        <v>6273009</v>
      </c>
      <c r="F11" s="3">
        <v>1111</v>
      </c>
      <c r="G11" s="3">
        <v>25438</v>
      </c>
      <c r="H11" s="1">
        <v>0</v>
      </c>
      <c r="I11" s="3">
        <v>6271898</v>
      </c>
      <c r="J11" s="3">
        <v>6246460</v>
      </c>
      <c r="K11" s="3">
        <v>6246460</v>
      </c>
      <c r="L11" s="3">
        <v>240994</v>
      </c>
      <c r="M11" s="3">
        <v>654566</v>
      </c>
      <c r="N11" s="3">
        <v>76409</v>
      </c>
      <c r="O11" s="3">
        <v>69576</v>
      </c>
      <c r="P11" s="3">
        <v>373819</v>
      </c>
      <c r="Q11" s="3">
        <v>4856534</v>
      </c>
      <c r="R11" s="3">
        <v>4831096</v>
      </c>
      <c r="S11" s="3">
        <v>4831096</v>
      </c>
      <c r="T11" s="3">
        <v>627190</v>
      </c>
      <c r="U11" s="3">
        <v>627190</v>
      </c>
      <c r="V11" s="3">
        <v>627190</v>
      </c>
      <c r="W11" s="3">
        <v>627190</v>
      </c>
      <c r="X11" s="3">
        <v>622950</v>
      </c>
      <c r="Y11" s="3">
        <v>622950</v>
      </c>
      <c r="Z11" s="4">
        <v>622950</v>
      </c>
      <c r="AA11" s="4">
        <v>622950</v>
      </c>
      <c r="AB11" s="4">
        <v>622950</v>
      </c>
      <c r="AC11" s="4">
        <v>622950</v>
      </c>
      <c r="AD11" s="4">
        <v>627190</v>
      </c>
      <c r="AE11" s="4">
        <v>1254380</v>
      </c>
      <c r="AF11" s="4">
        <v>1881570</v>
      </c>
      <c r="AG11" s="4">
        <v>2508760</v>
      </c>
      <c r="AH11" s="4">
        <v>3131710</v>
      </c>
      <c r="AI11" s="4">
        <v>3754660</v>
      </c>
      <c r="AJ11" s="4">
        <v>4377610</v>
      </c>
      <c r="AK11" s="4">
        <v>5000560</v>
      </c>
      <c r="AL11" s="4">
        <v>5623510</v>
      </c>
      <c r="AM11" s="4">
        <v>6246460</v>
      </c>
      <c r="AN11" s="153">
        <v>525071</v>
      </c>
    </row>
    <row r="12" spans="1:40" x14ac:dyDescent="0.2">
      <c r="A12" s="1">
        <v>2022</v>
      </c>
      <c r="B12" s="2" t="s">
        <v>30</v>
      </c>
      <c r="C12" s="2" t="s">
        <v>30</v>
      </c>
      <c r="D12" s="1" t="s">
        <v>390</v>
      </c>
      <c r="E12" s="3">
        <v>3398920</v>
      </c>
      <c r="F12" s="3">
        <v>381</v>
      </c>
      <c r="G12" s="3">
        <v>13335</v>
      </c>
      <c r="H12" s="1">
        <v>0</v>
      </c>
      <c r="I12" s="3">
        <v>3398539</v>
      </c>
      <c r="J12" s="3">
        <v>3385204</v>
      </c>
      <c r="K12" s="3">
        <v>3385204</v>
      </c>
      <c r="L12" s="3">
        <v>82730</v>
      </c>
      <c r="M12" s="3">
        <v>393918</v>
      </c>
      <c r="N12" s="3">
        <v>37715</v>
      </c>
      <c r="O12" s="3">
        <v>44115</v>
      </c>
      <c r="P12" s="3">
        <v>195968</v>
      </c>
      <c r="Q12" s="3">
        <v>2644093</v>
      </c>
      <c r="R12" s="3">
        <v>2630758</v>
      </c>
      <c r="S12" s="3">
        <v>2630758</v>
      </c>
      <c r="T12" s="3">
        <v>339854</v>
      </c>
      <c r="U12" s="3">
        <v>339854</v>
      </c>
      <c r="V12" s="3">
        <v>339854</v>
      </c>
      <c r="W12" s="3">
        <v>339854</v>
      </c>
      <c r="X12" s="3">
        <v>337631</v>
      </c>
      <c r="Y12" s="3">
        <v>337631</v>
      </c>
      <c r="Z12" s="4">
        <v>337632</v>
      </c>
      <c r="AA12" s="4">
        <v>337632</v>
      </c>
      <c r="AB12" s="4">
        <v>337632</v>
      </c>
      <c r="AC12" s="4">
        <v>337630</v>
      </c>
      <c r="AD12" s="4">
        <v>339854</v>
      </c>
      <c r="AE12" s="4">
        <v>679708</v>
      </c>
      <c r="AF12" s="4">
        <v>1019562</v>
      </c>
      <c r="AG12" s="4">
        <v>1359416</v>
      </c>
      <c r="AH12" s="4">
        <v>1697047</v>
      </c>
      <c r="AI12" s="4">
        <v>2034678</v>
      </c>
      <c r="AJ12" s="4">
        <v>2372310</v>
      </c>
      <c r="AK12" s="4">
        <v>2709942</v>
      </c>
      <c r="AL12" s="4">
        <v>3047574</v>
      </c>
      <c r="AM12" s="4">
        <v>3385204</v>
      </c>
      <c r="AN12" s="153">
        <v>273779</v>
      </c>
    </row>
    <row r="13" spans="1:40" x14ac:dyDescent="0.2">
      <c r="A13" s="1">
        <v>2022</v>
      </c>
      <c r="B13" s="2" t="s">
        <v>31</v>
      </c>
      <c r="C13" s="2" t="s">
        <v>31</v>
      </c>
      <c r="D13" s="1" t="s">
        <v>800</v>
      </c>
      <c r="E13" s="3">
        <v>4838074</v>
      </c>
      <c r="F13" s="3">
        <v>995</v>
      </c>
      <c r="G13" s="3">
        <v>19620</v>
      </c>
      <c r="H13" s="1">
        <v>0</v>
      </c>
      <c r="I13" s="3">
        <v>4837079</v>
      </c>
      <c r="J13" s="3">
        <v>4817459</v>
      </c>
      <c r="K13" s="3">
        <v>4817459</v>
      </c>
      <c r="L13" s="3">
        <v>215815</v>
      </c>
      <c r="M13" s="3">
        <v>560441</v>
      </c>
      <c r="N13" s="3">
        <v>68219</v>
      </c>
      <c r="O13" s="3">
        <v>63998</v>
      </c>
      <c r="P13" s="3">
        <v>288332</v>
      </c>
      <c r="Q13" s="3">
        <v>3640274</v>
      </c>
      <c r="R13" s="3">
        <v>3620654</v>
      </c>
      <c r="S13" s="3">
        <v>3620654</v>
      </c>
      <c r="T13" s="3">
        <v>483708</v>
      </c>
      <c r="U13" s="3">
        <v>483708</v>
      </c>
      <c r="V13" s="3">
        <v>483708</v>
      </c>
      <c r="W13" s="3">
        <v>483708</v>
      </c>
      <c r="X13" s="3">
        <v>480438</v>
      </c>
      <c r="Y13" s="3">
        <v>480438</v>
      </c>
      <c r="Z13" s="4">
        <v>480438</v>
      </c>
      <c r="AA13" s="4">
        <v>480438</v>
      </c>
      <c r="AB13" s="4">
        <v>480438</v>
      </c>
      <c r="AC13" s="4">
        <v>480437</v>
      </c>
      <c r="AD13" s="4">
        <v>483708</v>
      </c>
      <c r="AE13" s="4">
        <v>967416</v>
      </c>
      <c r="AF13" s="4">
        <v>1451124</v>
      </c>
      <c r="AG13" s="4">
        <v>1934832</v>
      </c>
      <c r="AH13" s="4">
        <v>2415270</v>
      </c>
      <c r="AI13" s="4">
        <v>2895708</v>
      </c>
      <c r="AJ13" s="4">
        <v>3376146</v>
      </c>
      <c r="AK13" s="4">
        <v>3856584</v>
      </c>
      <c r="AL13" s="4">
        <v>4337022</v>
      </c>
      <c r="AM13" s="4">
        <v>4817459</v>
      </c>
      <c r="AN13" s="153">
        <v>390569</v>
      </c>
    </row>
    <row r="14" spans="1:40" x14ac:dyDescent="0.2">
      <c r="A14" s="1">
        <v>2022</v>
      </c>
      <c r="B14" s="2" t="s">
        <v>32</v>
      </c>
      <c r="C14" s="2" t="s">
        <v>32</v>
      </c>
      <c r="D14" s="1" t="s">
        <v>391</v>
      </c>
      <c r="E14" s="3">
        <v>20470197</v>
      </c>
      <c r="F14" s="3">
        <v>4196</v>
      </c>
      <c r="G14" s="3">
        <v>103354</v>
      </c>
      <c r="H14" s="1">
        <v>0</v>
      </c>
      <c r="I14" s="3">
        <v>20466001</v>
      </c>
      <c r="J14" s="3">
        <v>20362647</v>
      </c>
      <c r="K14" s="3">
        <v>20362647</v>
      </c>
      <c r="L14" s="3">
        <v>910020</v>
      </c>
      <c r="M14" s="3">
        <v>2711110</v>
      </c>
      <c r="N14" s="3">
        <v>302807</v>
      </c>
      <c r="O14" s="3">
        <v>331596</v>
      </c>
      <c r="P14" s="3">
        <v>1526301</v>
      </c>
      <c r="Q14" s="3">
        <v>14684167</v>
      </c>
      <c r="R14" s="3">
        <v>14580813</v>
      </c>
      <c r="S14" s="3">
        <v>14580813</v>
      </c>
      <c r="T14" s="3">
        <v>2046600</v>
      </c>
      <c r="U14" s="3">
        <v>2046600</v>
      </c>
      <c r="V14" s="3">
        <v>2046600</v>
      </c>
      <c r="W14" s="3">
        <v>2046600</v>
      </c>
      <c r="X14" s="3">
        <v>2029375</v>
      </c>
      <c r="Y14" s="3">
        <v>2029375</v>
      </c>
      <c r="Z14" s="4">
        <v>2029374</v>
      </c>
      <c r="AA14" s="4">
        <v>2029374</v>
      </c>
      <c r="AB14" s="4">
        <v>2029374</v>
      </c>
      <c r="AC14" s="4">
        <v>2029375</v>
      </c>
      <c r="AD14" s="4">
        <v>2046600</v>
      </c>
      <c r="AE14" s="4">
        <v>4093200</v>
      </c>
      <c r="AF14" s="4">
        <v>6139800</v>
      </c>
      <c r="AG14" s="4">
        <v>8186400</v>
      </c>
      <c r="AH14" s="4">
        <v>10215775</v>
      </c>
      <c r="AI14" s="4">
        <v>12245150</v>
      </c>
      <c r="AJ14" s="4">
        <v>14274524</v>
      </c>
      <c r="AK14" s="4">
        <v>16303898</v>
      </c>
      <c r="AL14" s="4">
        <v>18333272</v>
      </c>
      <c r="AM14" s="4">
        <v>20362647</v>
      </c>
      <c r="AN14" s="153">
        <v>2000875</v>
      </c>
    </row>
    <row r="15" spans="1:40" x14ac:dyDescent="0.2">
      <c r="A15" s="1">
        <v>2022</v>
      </c>
      <c r="B15" s="2" t="s">
        <v>33</v>
      </c>
      <c r="C15" s="2" t="s">
        <v>33</v>
      </c>
      <c r="D15" s="1" t="s">
        <v>392</v>
      </c>
      <c r="E15" s="3">
        <v>8561055</v>
      </c>
      <c r="F15" s="3">
        <v>929</v>
      </c>
      <c r="G15" s="3">
        <v>30533</v>
      </c>
      <c r="H15" s="1">
        <v>0</v>
      </c>
      <c r="I15" s="3">
        <v>8560126</v>
      </c>
      <c r="J15" s="3">
        <v>8529593</v>
      </c>
      <c r="K15" s="3">
        <v>8529593</v>
      </c>
      <c r="L15" s="3">
        <v>201427</v>
      </c>
      <c r="M15" s="3">
        <v>833248</v>
      </c>
      <c r="N15" s="3">
        <v>88230</v>
      </c>
      <c r="O15" s="3">
        <v>98796</v>
      </c>
      <c r="P15" s="3">
        <v>448695</v>
      </c>
      <c r="Q15" s="3">
        <v>6889730</v>
      </c>
      <c r="R15" s="3">
        <v>6859197</v>
      </c>
      <c r="S15" s="3">
        <v>6859197</v>
      </c>
      <c r="T15" s="3">
        <v>856013</v>
      </c>
      <c r="U15" s="3">
        <v>856013</v>
      </c>
      <c r="V15" s="3">
        <v>856013</v>
      </c>
      <c r="W15" s="3">
        <v>856013</v>
      </c>
      <c r="X15" s="3">
        <v>850924</v>
      </c>
      <c r="Y15" s="3">
        <v>850924</v>
      </c>
      <c r="Z15" s="4">
        <v>850923</v>
      </c>
      <c r="AA15" s="4">
        <v>850923</v>
      </c>
      <c r="AB15" s="4">
        <v>850923</v>
      </c>
      <c r="AC15" s="4">
        <v>850924</v>
      </c>
      <c r="AD15" s="4">
        <v>856013</v>
      </c>
      <c r="AE15" s="4">
        <v>1712026</v>
      </c>
      <c r="AF15" s="4">
        <v>2568039</v>
      </c>
      <c r="AG15" s="4">
        <v>3424052</v>
      </c>
      <c r="AH15" s="4">
        <v>4274976</v>
      </c>
      <c r="AI15" s="4">
        <v>5125900</v>
      </c>
      <c r="AJ15" s="4">
        <v>5976823</v>
      </c>
      <c r="AK15" s="4">
        <v>6827746</v>
      </c>
      <c r="AL15" s="4">
        <v>7678669</v>
      </c>
      <c r="AM15" s="4">
        <v>8529593</v>
      </c>
      <c r="AN15" s="153">
        <v>601872</v>
      </c>
    </row>
    <row r="16" spans="1:40" x14ac:dyDescent="0.2">
      <c r="A16" s="1">
        <v>2022</v>
      </c>
      <c r="B16" s="2" t="s">
        <v>34</v>
      </c>
      <c r="C16" s="2" t="s">
        <v>34</v>
      </c>
      <c r="D16" s="1" t="s">
        <v>393</v>
      </c>
      <c r="E16" s="3">
        <v>1305045</v>
      </c>
      <c r="F16" s="1">
        <v>149</v>
      </c>
      <c r="G16" s="3">
        <v>5152</v>
      </c>
      <c r="H16" s="1">
        <v>0</v>
      </c>
      <c r="I16" s="3">
        <v>1304896</v>
      </c>
      <c r="J16" s="3">
        <v>1299744</v>
      </c>
      <c r="K16" s="3">
        <v>1299744</v>
      </c>
      <c r="L16" s="3">
        <v>32373</v>
      </c>
      <c r="M16" s="3">
        <v>152293</v>
      </c>
      <c r="N16" s="3">
        <v>19206</v>
      </c>
      <c r="O16" s="3">
        <v>16795</v>
      </c>
      <c r="P16" s="3">
        <v>79871</v>
      </c>
      <c r="Q16" s="3">
        <v>1004358</v>
      </c>
      <c r="R16" s="3">
        <v>999206</v>
      </c>
      <c r="S16" s="3">
        <v>999206</v>
      </c>
      <c r="T16" s="3">
        <v>130490</v>
      </c>
      <c r="U16" s="3">
        <v>130490</v>
      </c>
      <c r="V16" s="3">
        <v>130490</v>
      </c>
      <c r="W16" s="3">
        <v>130490</v>
      </c>
      <c r="X16" s="3">
        <v>129631</v>
      </c>
      <c r="Y16" s="3">
        <v>129631</v>
      </c>
      <c r="Z16" s="4">
        <v>129631</v>
      </c>
      <c r="AA16" s="4">
        <v>129631</v>
      </c>
      <c r="AB16" s="4">
        <v>129631</v>
      </c>
      <c r="AC16" s="4">
        <v>129629</v>
      </c>
      <c r="AD16" s="4">
        <v>130490</v>
      </c>
      <c r="AE16" s="4">
        <v>260980</v>
      </c>
      <c r="AF16" s="4">
        <v>391470</v>
      </c>
      <c r="AG16" s="4">
        <v>521960</v>
      </c>
      <c r="AH16" s="4">
        <v>651591</v>
      </c>
      <c r="AI16" s="4">
        <v>781222</v>
      </c>
      <c r="AJ16" s="4">
        <v>910853</v>
      </c>
      <c r="AK16" s="4">
        <v>1040484</v>
      </c>
      <c r="AL16" s="4">
        <v>1170115</v>
      </c>
      <c r="AM16" s="4">
        <v>1299744</v>
      </c>
      <c r="AN16" s="153">
        <v>114272</v>
      </c>
    </row>
    <row r="17" spans="1:40" x14ac:dyDescent="0.2">
      <c r="A17" s="1">
        <v>2022</v>
      </c>
      <c r="B17" s="2" t="s">
        <v>35</v>
      </c>
      <c r="C17" s="2" t="s">
        <v>35</v>
      </c>
      <c r="D17" s="1" t="s">
        <v>394</v>
      </c>
      <c r="E17" s="3">
        <v>75383866</v>
      </c>
      <c r="F17" s="3">
        <v>4312</v>
      </c>
      <c r="G17" s="3">
        <v>288543</v>
      </c>
      <c r="H17" s="1">
        <v>0</v>
      </c>
      <c r="I17" s="3">
        <v>75379554</v>
      </c>
      <c r="J17" s="3">
        <v>75091011</v>
      </c>
      <c r="K17" s="3">
        <v>75091011</v>
      </c>
      <c r="L17" s="3">
        <v>935198</v>
      </c>
      <c r="M17" s="3">
        <v>6909077</v>
      </c>
      <c r="N17" s="3">
        <v>801728</v>
      </c>
      <c r="O17" s="3">
        <v>762492</v>
      </c>
      <c r="P17" s="3">
        <v>4240293</v>
      </c>
      <c r="Q17" s="3">
        <v>61730766</v>
      </c>
      <c r="R17" s="3">
        <v>61442223</v>
      </c>
      <c r="S17" s="3">
        <v>61442223</v>
      </c>
      <c r="T17" s="3">
        <v>7537955</v>
      </c>
      <c r="U17" s="3">
        <v>7537955</v>
      </c>
      <c r="V17" s="3">
        <v>7537955</v>
      </c>
      <c r="W17" s="3">
        <v>7537955</v>
      </c>
      <c r="X17" s="3">
        <v>7489865</v>
      </c>
      <c r="Y17" s="3">
        <v>7489865</v>
      </c>
      <c r="Z17" s="4">
        <v>7489865</v>
      </c>
      <c r="AA17" s="4">
        <v>7489865</v>
      </c>
      <c r="AB17" s="4">
        <v>7489865</v>
      </c>
      <c r="AC17" s="4">
        <v>7489866</v>
      </c>
      <c r="AD17" s="4">
        <v>7537955</v>
      </c>
      <c r="AE17" s="4">
        <v>15075910</v>
      </c>
      <c r="AF17" s="4">
        <v>22613865</v>
      </c>
      <c r="AG17" s="4">
        <v>30151820</v>
      </c>
      <c r="AH17" s="4">
        <v>37641685</v>
      </c>
      <c r="AI17" s="4">
        <v>45131550</v>
      </c>
      <c r="AJ17" s="4">
        <v>52621415</v>
      </c>
      <c r="AK17" s="4">
        <v>60111280</v>
      </c>
      <c r="AL17" s="4">
        <v>67601145</v>
      </c>
      <c r="AM17" s="4">
        <v>75091011</v>
      </c>
      <c r="AN17" s="153">
        <v>5857857</v>
      </c>
    </row>
    <row r="18" spans="1:40" x14ac:dyDescent="0.2">
      <c r="A18" s="1">
        <v>2022</v>
      </c>
      <c r="B18" s="2" t="s">
        <v>36</v>
      </c>
      <c r="C18" s="2" t="s">
        <v>36</v>
      </c>
      <c r="D18" s="1" t="s">
        <v>395</v>
      </c>
      <c r="E18" s="3">
        <v>5309783</v>
      </c>
      <c r="F18" s="1">
        <v>829</v>
      </c>
      <c r="G18" s="3">
        <v>18889</v>
      </c>
      <c r="H18" s="1">
        <v>0</v>
      </c>
      <c r="I18" s="3">
        <v>5308954</v>
      </c>
      <c r="J18" s="3">
        <v>5290065</v>
      </c>
      <c r="K18" s="3">
        <v>5290065</v>
      </c>
      <c r="L18" s="3">
        <v>179846</v>
      </c>
      <c r="M18" s="3">
        <v>514208</v>
      </c>
      <c r="N18" s="3">
        <v>67139</v>
      </c>
      <c r="O18" s="3">
        <v>57405</v>
      </c>
      <c r="P18" s="3">
        <v>277580</v>
      </c>
      <c r="Q18" s="3">
        <v>4212776</v>
      </c>
      <c r="R18" s="3">
        <v>4193887</v>
      </c>
      <c r="S18" s="3">
        <v>4193887</v>
      </c>
      <c r="T18" s="3">
        <v>530895</v>
      </c>
      <c r="U18" s="3">
        <v>530895</v>
      </c>
      <c r="V18" s="3">
        <v>530895</v>
      </c>
      <c r="W18" s="3">
        <v>530895</v>
      </c>
      <c r="X18" s="3">
        <v>527748</v>
      </c>
      <c r="Y18" s="3">
        <v>527748</v>
      </c>
      <c r="Z18" s="4">
        <v>527747</v>
      </c>
      <c r="AA18" s="4">
        <v>527747</v>
      </c>
      <c r="AB18" s="4">
        <v>527747</v>
      </c>
      <c r="AC18" s="4">
        <v>527748</v>
      </c>
      <c r="AD18" s="4">
        <v>530895</v>
      </c>
      <c r="AE18" s="4">
        <v>1061790</v>
      </c>
      <c r="AF18" s="4">
        <v>1592685</v>
      </c>
      <c r="AG18" s="4">
        <v>2123580</v>
      </c>
      <c r="AH18" s="4">
        <v>2651328</v>
      </c>
      <c r="AI18" s="4">
        <v>3179076</v>
      </c>
      <c r="AJ18" s="4">
        <v>3706823</v>
      </c>
      <c r="AK18" s="4">
        <v>4234570</v>
      </c>
      <c r="AL18" s="4">
        <v>4762317</v>
      </c>
      <c r="AM18" s="4">
        <v>5290065</v>
      </c>
      <c r="AN18" s="153">
        <v>394017</v>
      </c>
    </row>
    <row r="19" spans="1:40" x14ac:dyDescent="0.2">
      <c r="A19" s="1">
        <v>2022</v>
      </c>
      <c r="B19" s="2" t="s">
        <v>37</v>
      </c>
      <c r="C19" s="2" t="s">
        <v>37</v>
      </c>
      <c r="D19" s="1" t="s">
        <v>396</v>
      </c>
      <c r="E19" s="3">
        <v>1618210</v>
      </c>
      <c r="F19" s="1">
        <v>216</v>
      </c>
      <c r="G19" s="3">
        <v>9525</v>
      </c>
      <c r="H19" s="1">
        <v>0</v>
      </c>
      <c r="I19" s="3">
        <v>1617994</v>
      </c>
      <c r="J19" s="3">
        <v>1608469</v>
      </c>
      <c r="K19" s="3">
        <v>1608469</v>
      </c>
      <c r="L19" s="3">
        <v>46760</v>
      </c>
      <c r="M19" s="3">
        <v>287822</v>
      </c>
      <c r="N19" s="3">
        <v>34923</v>
      </c>
      <c r="O19" s="3">
        <v>32393</v>
      </c>
      <c r="P19" s="3">
        <v>139977</v>
      </c>
      <c r="Q19" s="3">
        <v>1076119</v>
      </c>
      <c r="R19" s="3">
        <v>1066594</v>
      </c>
      <c r="S19" s="3">
        <v>1066594</v>
      </c>
      <c r="T19" s="3">
        <v>161799</v>
      </c>
      <c r="U19" s="3">
        <v>161799</v>
      </c>
      <c r="V19" s="3">
        <v>161799</v>
      </c>
      <c r="W19" s="3">
        <v>161799</v>
      </c>
      <c r="X19" s="3">
        <v>160212</v>
      </c>
      <c r="Y19" s="3">
        <v>160212</v>
      </c>
      <c r="Z19" s="4">
        <v>160212</v>
      </c>
      <c r="AA19" s="4">
        <v>160212</v>
      </c>
      <c r="AB19" s="4">
        <v>160212</v>
      </c>
      <c r="AC19" s="4">
        <v>160213</v>
      </c>
      <c r="AD19" s="4">
        <v>161799</v>
      </c>
      <c r="AE19" s="4">
        <v>323598</v>
      </c>
      <c r="AF19" s="4">
        <v>485397</v>
      </c>
      <c r="AG19" s="4">
        <v>647196</v>
      </c>
      <c r="AH19" s="4">
        <v>807408</v>
      </c>
      <c r="AI19" s="4">
        <v>967620</v>
      </c>
      <c r="AJ19" s="4">
        <v>1127832</v>
      </c>
      <c r="AK19" s="4">
        <v>1288044</v>
      </c>
      <c r="AL19" s="4">
        <v>1448256</v>
      </c>
      <c r="AM19" s="4">
        <v>1608469</v>
      </c>
      <c r="AN19" s="153">
        <v>208944</v>
      </c>
    </row>
    <row r="20" spans="1:40" x14ac:dyDescent="0.2">
      <c r="A20" s="1">
        <v>2022</v>
      </c>
      <c r="B20" s="2" t="s">
        <v>38</v>
      </c>
      <c r="C20" s="2" t="s">
        <v>38</v>
      </c>
      <c r="D20" s="1" t="s">
        <v>397</v>
      </c>
      <c r="E20" s="3">
        <v>1079883</v>
      </c>
      <c r="F20" s="3">
        <v>299</v>
      </c>
      <c r="G20" s="3">
        <v>6603</v>
      </c>
      <c r="H20" s="1">
        <v>0</v>
      </c>
      <c r="I20" s="3">
        <v>1079584</v>
      </c>
      <c r="J20" s="3">
        <v>1072981</v>
      </c>
      <c r="K20" s="3">
        <v>1072981</v>
      </c>
      <c r="L20" s="3">
        <v>64744</v>
      </c>
      <c r="M20" s="3">
        <v>180339</v>
      </c>
      <c r="N20" s="3">
        <v>18356</v>
      </c>
      <c r="O20" s="3">
        <v>17859</v>
      </c>
      <c r="P20" s="3">
        <v>97041</v>
      </c>
      <c r="Q20" s="3">
        <v>701245</v>
      </c>
      <c r="R20" s="3">
        <v>694642</v>
      </c>
      <c r="S20" s="3">
        <v>694642</v>
      </c>
      <c r="T20" s="3">
        <v>107958</v>
      </c>
      <c r="U20" s="3">
        <v>107958</v>
      </c>
      <c r="V20" s="3">
        <v>107958</v>
      </c>
      <c r="W20" s="3">
        <v>107958</v>
      </c>
      <c r="X20" s="3">
        <v>106858</v>
      </c>
      <c r="Y20" s="3">
        <v>106858</v>
      </c>
      <c r="Z20" s="4">
        <v>106858</v>
      </c>
      <c r="AA20" s="4">
        <v>106858</v>
      </c>
      <c r="AB20" s="4">
        <v>106858</v>
      </c>
      <c r="AC20" s="4">
        <v>106859</v>
      </c>
      <c r="AD20" s="4">
        <v>107958</v>
      </c>
      <c r="AE20" s="4">
        <v>215916</v>
      </c>
      <c r="AF20" s="4">
        <v>323874</v>
      </c>
      <c r="AG20" s="4">
        <v>431832</v>
      </c>
      <c r="AH20" s="4">
        <v>538690</v>
      </c>
      <c r="AI20" s="4">
        <v>645548</v>
      </c>
      <c r="AJ20" s="4">
        <v>752406</v>
      </c>
      <c r="AK20" s="4">
        <v>859264</v>
      </c>
      <c r="AL20" s="4">
        <v>966122</v>
      </c>
      <c r="AM20" s="4">
        <v>1072981</v>
      </c>
      <c r="AN20" s="153">
        <v>139411</v>
      </c>
    </row>
    <row r="21" spans="1:40" x14ac:dyDescent="0.2">
      <c r="A21" s="1">
        <v>2022</v>
      </c>
      <c r="B21" s="2" t="s">
        <v>39</v>
      </c>
      <c r="C21" s="2" t="s">
        <v>39</v>
      </c>
      <c r="D21" s="1" t="s">
        <v>398</v>
      </c>
      <c r="E21" s="3">
        <v>9141088</v>
      </c>
      <c r="F21" s="3">
        <v>1393</v>
      </c>
      <c r="G21" s="3">
        <v>31671</v>
      </c>
      <c r="H21" s="1">
        <v>0</v>
      </c>
      <c r="I21" s="3">
        <v>9139695</v>
      </c>
      <c r="J21" s="3">
        <v>9108024</v>
      </c>
      <c r="K21" s="3">
        <v>9108024</v>
      </c>
      <c r="L21" s="3">
        <v>302141</v>
      </c>
      <c r="M21" s="3">
        <v>847845</v>
      </c>
      <c r="N21" s="3">
        <v>110904</v>
      </c>
      <c r="O21" s="3">
        <v>99171</v>
      </c>
      <c r="P21" s="3">
        <v>465415</v>
      </c>
      <c r="Q21" s="3">
        <v>7314219</v>
      </c>
      <c r="R21" s="3">
        <v>7282548</v>
      </c>
      <c r="S21" s="3">
        <v>7282548</v>
      </c>
      <c r="T21" s="3">
        <v>913970</v>
      </c>
      <c r="U21" s="3">
        <v>913970</v>
      </c>
      <c r="V21" s="3">
        <v>913970</v>
      </c>
      <c r="W21" s="3">
        <v>913970</v>
      </c>
      <c r="X21" s="3">
        <v>908691</v>
      </c>
      <c r="Y21" s="3">
        <v>908691</v>
      </c>
      <c r="Z21" s="4">
        <v>908691</v>
      </c>
      <c r="AA21" s="4">
        <v>908691</v>
      </c>
      <c r="AB21" s="4">
        <v>908691</v>
      </c>
      <c r="AC21" s="4">
        <v>908689</v>
      </c>
      <c r="AD21" s="4">
        <v>913970</v>
      </c>
      <c r="AE21" s="4">
        <v>1827940</v>
      </c>
      <c r="AF21" s="4">
        <v>2741910</v>
      </c>
      <c r="AG21" s="4">
        <v>3655880</v>
      </c>
      <c r="AH21" s="4">
        <v>4564571</v>
      </c>
      <c r="AI21" s="4">
        <v>5473262</v>
      </c>
      <c r="AJ21" s="4">
        <v>6381953</v>
      </c>
      <c r="AK21" s="4">
        <v>7290644</v>
      </c>
      <c r="AL21" s="4">
        <v>8199335</v>
      </c>
      <c r="AM21" s="4">
        <v>9108024</v>
      </c>
      <c r="AN21" s="153">
        <v>645764</v>
      </c>
    </row>
    <row r="22" spans="1:40" x14ac:dyDescent="0.2">
      <c r="A22" s="1">
        <v>2022</v>
      </c>
      <c r="B22" s="2" t="s">
        <v>40</v>
      </c>
      <c r="C22" s="2" t="s">
        <v>40</v>
      </c>
      <c r="D22" s="1" t="s">
        <v>399</v>
      </c>
      <c r="E22" s="3">
        <v>2994966</v>
      </c>
      <c r="F22" s="3">
        <v>514</v>
      </c>
      <c r="G22" s="3">
        <v>11927</v>
      </c>
      <c r="H22" s="3">
        <v>0</v>
      </c>
      <c r="I22" s="3">
        <v>2994452</v>
      </c>
      <c r="J22" s="3">
        <v>2982525</v>
      </c>
      <c r="K22" s="3">
        <v>2982525</v>
      </c>
      <c r="L22" s="3">
        <v>111505</v>
      </c>
      <c r="M22" s="3">
        <v>324999</v>
      </c>
      <c r="N22" s="3">
        <v>33601</v>
      </c>
      <c r="O22" s="3">
        <v>37051</v>
      </c>
      <c r="P22" s="3">
        <v>175268</v>
      </c>
      <c r="Q22" s="3">
        <v>2312028</v>
      </c>
      <c r="R22" s="3">
        <v>2300101</v>
      </c>
      <c r="S22" s="3">
        <v>2300101</v>
      </c>
      <c r="T22" s="3">
        <v>299445</v>
      </c>
      <c r="U22" s="3">
        <v>299445</v>
      </c>
      <c r="V22" s="3">
        <v>299445</v>
      </c>
      <c r="W22" s="3">
        <v>299445</v>
      </c>
      <c r="X22" s="3">
        <v>297458</v>
      </c>
      <c r="Y22" s="3">
        <v>297458</v>
      </c>
      <c r="Z22" s="4">
        <v>297457</v>
      </c>
      <c r="AA22" s="4">
        <v>297457</v>
      </c>
      <c r="AB22" s="4">
        <v>297457</v>
      </c>
      <c r="AC22" s="4">
        <v>297458</v>
      </c>
      <c r="AD22" s="4">
        <v>299445</v>
      </c>
      <c r="AE22" s="4">
        <v>598890</v>
      </c>
      <c r="AF22" s="4">
        <v>898335</v>
      </c>
      <c r="AG22" s="4">
        <v>1197780</v>
      </c>
      <c r="AH22" s="4">
        <v>1495238</v>
      </c>
      <c r="AI22" s="4">
        <v>1792696</v>
      </c>
      <c r="AJ22" s="4">
        <v>2090153</v>
      </c>
      <c r="AK22" s="4">
        <v>2387610</v>
      </c>
      <c r="AL22" s="4">
        <v>2685067</v>
      </c>
      <c r="AM22" s="4">
        <v>2982525</v>
      </c>
      <c r="AN22" s="153">
        <v>226097</v>
      </c>
    </row>
    <row r="23" spans="1:40" x14ac:dyDescent="0.2">
      <c r="A23" s="1">
        <v>2022</v>
      </c>
      <c r="B23" s="2" t="s">
        <v>42</v>
      </c>
      <c r="C23" s="2" t="s">
        <v>42</v>
      </c>
      <c r="D23" s="1" t="s">
        <v>19</v>
      </c>
      <c r="E23" s="3">
        <v>3792953</v>
      </c>
      <c r="F23" s="1">
        <v>796</v>
      </c>
      <c r="G23" s="3">
        <v>17934</v>
      </c>
      <c r="H23" s="1">
        <v>0</v>
      </c>
      <c r="I23" s="3">
        <v>3792157</v>
      </c>
      <c r="J23" s="3">
        <v>3774223</v>
      </c>
      <c r="K23" s="3">
        <v>3774223</v>
      </c>
      <c r="L23" s="3">
        <v>172652</v>
      </c>
      <c r="M23" s="3">
        <v>444812</v>
      </c>
      <c r="N23" s="3">
        <v>49910</v>
      </c>
      <c r="O23" s="3">
        <v>44875</v>
      </c>
      <c r="P23" s="3">
        <v>266133</v>
      </c>
      <c r="Q23" s="3">
        <v>2813775</v>
      </c>
      <c r="R23" s="3">
        <v>2795841</v>
      </c>
      <c r="S23" s="3">
        <v>2795841</v>
      </c>
      <c r="T23" s="3">
        <v>379216</v>
      </c>
      <c r="U23" s="3">
        <v>379216</v>
      </c>
      <c r="V23" s="3">
        <v>379216</v>
      </c>
      <c r="W23" s="3">
        <v>379216</v>
      </c>
      <c r="X23" s="3">
        <v>376227</v>
      </c>
      <c r="Y23" s="3">
        <v>376227</v>
      </c>
      <c r="Z23" s="4">
        <v>376226</v>
      </c>
      <c r="AA23" s="4">
        <v>376226</v>
      </c>
      <c r="AB23" s="4">
        <v>376226</v>
      </c>
      <c r="AC23" s="4">
        <v>376227</v>
      </c>
      <c r="AD23" s="4">
        <v>379216</v>
      </c>
      <c r="AE23" s="4">
        <v>758432</v>
      </c>
      <c r="AF23" s="4">
        <v>1137648</v>
      </c>
      <c r="AG23" s="4">
        <v>1516864</v>
      </c>
      <c r="AH23" s="4">
        <v>1893091</v>
      </c>
      <c r="AI23" s="4">
        <v>2269318</v>
      </c>
      <c r="AJ23" s="4">
        <v>2645544</v>
      </c>
      <c r="AK23" s="4">
        <v>3021770</v>
      </c>
      <c r="AL23" s="4">
        <v>3397996</v>
      </c>
      <c r="AM23" s="4">
        <v>3774223</v>
      </c>
      <c r="AN23" s="153">
        <v>354299</v>
      </c>
    </row>
    <row r="24" spans="1:40" x14ac:dyDescent="0.2">
      <c r="A24" s="1">
        <v>2022</v>
      </c>
      <c r="B24" s="2" t="s">
        <v>43</v>
      </c>
      <c r="C24" s="2" t="s">
        <v>43</v>
      </c>
      <c r="D24" s="1" t="s">
        <v>400</v>
      </c>
      <c r="E24" s="3">
        <v>11499398</v>
      </c>
      <c r="F24" s="3">
        <v>2090</v>
      </c>
      <c r="G24" s="3">
        <v>39072</v>
      </c>
      <c r="H24" s="1">
        <v>0</v>
      </c>
      <c r="I24" s="3">
        <v>11497308</v>
      </c>
      <c r="J24" s="3">
        <v>11458236</v>
      </c>
      <c r="K24" s="3">
        <v>11458236</v>
      </c>
      <c r="L24" s="3">
        <v>453211</v>
      </c>
      <c r="M24" s="3">
        <v>946887</v>
      </c>
      <c r="N24" s="3">
        <v>119009</v>
      </c>
      <c r="O24" s="3">
        <v>101425</v>
      </c>
      <c r="P24" s="3">
        <v>574185</v>
      </c>
      <c r="Q24" s="3">
        <v>9302591</v>
      </c>
      <c r="R24" s="3">
        <v>9263519</v>
      </c>
      <c r="S24" s="3">
        <v>9263519</v>
      </c>
      <c r="T24" s="3">
        <v>1149731</v>
      </c>
      <c r="U24" s="3">
        <v>1149731</v>
      </c>
      <c r="V24" s="3">
        <v>1149731</v>
      </c>
      <c r="W24" s="3">
        <v>1149731</v>
      </c>
      <c r="X24" s="3">
        <v>1143219</v>
      </c>
      <c r="Y24" s="3">
        <v>1143219</v>
      </c>
      <c r="Z24" s="4">
        <v>1143219</v>
      </c>
      <c r="AA24" s="4">
        <v>1143219</v>
      </c>
      <c r="AB24" s="4">
        <v>1143219</v>
      </c>
      <c r="AC24" s="4">
        <v>1143217</v>
      </c>
      <c r="AD24" s="4">
        <v>1149731</v>
      </c>
      <c r="AE24" s="4">
        <v>2299462</v>
      </c>
      <c r="AF24" s="4">
        <v>3449193</v>
      </c>
      <c r="AG24" s="4">
        <v>4598924</v>
      </c>
      <c r="AH24" s="4">
        <v>5742143</v>
      </c>
      <c r="AI24" s="4">
        <v>6885362</v>
      </c>
      <c r="AJ24" s="4">
        <v>8028581</v>
      </c>
      <c r="AK24" s="4">
        <v>9171800</v>
      </c>
      <c r="AL24" s="4">
        <v>10315019</v>
      </c>
      <c r="AM24" s="4">
        <v>11458236</v>
      </c>
      <c r="AN24" s="153">
        <v>758353</v>
      </c>
    </row>
    <row r="25" spans="1:40" x14ac:dyDescent="0.2">
      <c r="A25" s="1">
        <v>2022</v>
      </c>
      <c r="B25" s="2" t="s">
        <v>45</v>
      </c>
      <c r="C25" s="2" t="s">
        <v>45</v>
      </c>
      <c r="D25" s="1" t="s">
        <v>401</v>
      </c>
      <c r="E25" s="3">
        <v>2373274</v>
      </c>
      <c r="F25" s="3">
        <v>415</v>
      </c>
      <c r="G25" s="3">
        <v>8107</v>
      </c>
      <c r="H25" s="3">
        <v>0</v>
      </c>
      <c r="I25" s="3">
        <v>2372859</v>
      </c>
      <c r="J25" s="3">
        <v>2364752</v>
      </c>
      <c r="K25" s="3">
        <v>2364752</v>
      </c>
      <c r="L25" s="3">
        <v>89923</v>
      </c>
      <c r="M25" s="3">
        <v>224913</v>
      </c>
      <c r="N25" s="3">
        <v>24376</v>
      </c>
      <c r="O25" s="3">
        <v>22710</v>
      </c>
      <c r="P25" s="3">
        <v>119138</v>
      </c>
      <c r="Q25" s="3">
        <v>1891799</v>
      </c>
      <c r="R25" s="3">
        <v>1883692</v>
      </c>
      <c r="S25" s="3">
        <v>1883692</v>
      </c>
      <c r="T25" s="3">
        <v>237286</v>
      </c>
      <c r="U25" s="3">
        <v>237286</v>
      </c>
      <c r="V25" s="3">
        <v>237286</v>
      </c>
      <c r="W25" s="3">
        <v>237286</v>
      </c>
      <c r="X25" s="3">
        <v>235935</v>
      </c>
      <c r="Y25" s="3">
        <v>235935</v>
      </c>
      <c r="Z25" s="4">
        <v>235935</v>
      </c>
      <c r="AA25" s="4">
        <v>235935</v>
      </c>
      <c r="AB25" s="4">
        <v>235935</v>
      </c>
      <c r="AC25" s="4">
        <v>235933</v>
      </c>
      <c r="AD25" s="4">
        <v>237286</v>
      </c>
      <c r="AE25" s="4">
        <v>474572</v>
      </c>
      <c r="AF25" s="4">
        <v>711858</v>
      </c>
      <c r="AG25" s="4">
        <v>949144</v>
      </c>
      <c r="AH25" s="4">
        <v>1185079</v>
      </c>
      <c r="AI25" s="4">
        <v>1421014</v>
      </c>
      <c r="AJ25" s="4">
        <v>1656949</v>
      </c>
      <c r="AK25" s="4">
        <v>1892884</v>
      </c>
      <c r="AL25" s="4">
        <v>2128819</v>
      </c>
      <c r="AM25" s="4">
        <v>2364752</v>
      </c>
      <c r="AN25" s="153">
        <v>155567</v>
      </c>
    </row>
    <row r="26" spans="1:40" x14ac:dyDescent="0.2">
      <c r="A26" s="1">
        <v>2022</v>
      </c>
      <c r="B26" s="2" t="s">
        <v>46</v>
      </c>
      <c r="C26" s="2" t="s">
        <v>46</v>
      </c>
      <c r="D26" s="1" t="s">
        <v>1</v>
      </c>
      <c r="E26" s="3">
        <v>2612327</v>
      </c>
      <c r="F26" s="1">
        <v>348</v>
      </c>
      <c r="G26" s="3">
        <v>11689</v>
      </c>
      <c r="H26" s="1">
        <v>0</v>
      </c>
      <c r="I26" s="3">
        <v>2611979</v>
      </c>
      <c r="J26" s="3">
        <v>2600290</v>
      </c>
      <c r="K26" s="3">
        <v>2600290</v>
      </c>
      <c r="L26" s="3">
        <v>75536</v>
      </c>
      <c r="M26" s="3">
        <v>309800</v>
      </c>
      <c r="N26" s="3">
        <v>33104</v>
      </c>
      <c r="O26" s="3">
        <v>34415</v>
      </c>
      <c r="P26" s="3">
        <v>171843</v>
      </c>
      <c r="Q26" s="3">
        <v>1987281</v>
      </c>
      <c r="R26" s="3">
        <v>1975592</v>
      </c>
      <c r="S26" s="3">
        <v>1975592</v>
      </c>
      <c r="T26" s="3">
        <v>261198</v>
      </c>
      <c r="U26" s="3">
        <v>261198</v>
      </c>
      <c r="V26" s="3">
        <v>261198</v>
      </c>
      <c r="W26" s="3">
        <v>261198</v>
      </c>
      <c r="X26" s="3">
        <v>259250</v>
      </c>
      <c r="Y26" s="3">
        <v>259250</v>
      </c>
      <c r="Z26" s="4">
        <v>259250</v>
      </c>
      <c r="AA26" s="4">
        <v>259250</v>
      </c>
      <c r="AB26" s="4">
        <v>259250</v>
      </c>
      <c r="AC26" s="4">
        <v>259248</v>
      </c>
      <c r="AD26" s="4">
        <v>261198</v>
      </c>
      <c r="AE26" s="4">
        <v>522396</v>
      </c>
      <c r="AF26" s="4">
        <v>783594</v>
      </c>
      <c r="AG26" s="4">
        <v>1044792</v>
      </c>
      <c r="AH26" s="4">
        <v>1304042</v>
      </c>
      <c r="AI26" s="4">
        <v>1563292</v>
      </c>
      <c r="AJ26" s="4">
        <v>1822542</v>
      </c>
      <c r="AK26" s="4">
        <v>2081792</v>
      </c>
      <c r="AL26" s="4">
        <v>2341042</v>
      </c>
      <c r="AM26" s="4">
        <v>2600290</v>
      </c>
      <c r="AN26" s="153">
        <v>244267</v>
      </c>
    </row>
    <row r="27" spans="1:40" x14ac:dyDescent="0.2">
      <c r="A27" s="1">
        <v>2022</v>
      </c>
      <c r="B27" s="2" t="s">
        <v>47</v>
      </c>
      <c r="C27" s="2" t="s">
        <v>47</v>
      </c>
      <c r="D27" s="1" t="s">
        <v>402</v>
      </c>
      <c r="E27" s="3">
        <v>3040663</v>
      </c>
      <c r="F27" s="1">
        <v>614</v>
      </c>
      <c r="G27" s="3">
        <v>11627</v>
      </c>
      <c r="H27" s="1">
        <v>0</v>
      </c>
      <c r="I27" s="3">
        <v>3040049</v>
      </c>
      <c r="J27" s="3">
        <v>3028422</v>
      </c>
      <c r="K27" s="3">
        <v>3028422</v>
      </c>
      <c r="L27" s="3">
        <v>133086</v>
      </c>
      <c r="M27" s="3">
        <v>324020</v>
      </c>
      <c r="N27" s="3">
        <v>37863</v>
      </c>
      <c r="O27" s="3">
        <v>34466</v>
      </c>
      <c r="P27" s="3">
        <v>170870</v>
      </c>
      <c r="Q27" s="3">
        <v>2339744</v>
      </c>
      <c r="R27" s="3">
        <v>2328117</v>
      </c>
      <c r="S27" s="3">
        <v>2328117</v>
      </c>
      <c r="T27" s="3">
        <v>304005</v>
      </c>
      <c r="U27" s="3">
        <v>304005</v>
      </c>
      <c r="V27" s="3">
        <v>304005</v>
      </c>
      <c r="W27" s="3">
        <v>304005</v>
      </c>
      <c r="X27" s="3">
        <v>302067</v>
      </c>
      <c r="Y27" s="3">
        <v>302067</v>
      </c>
      <c r="Z27" s="4">
        <v>302067</v>
      </c>
      <c r="AA27" s="4">
        <v>302067</v>
      </c>
      <c r="AB27" s="4">
        <v>302067</v>
      </c>
      <c r="AC27" s="4">
        <v>302067</v>
      </c>
      <c r="AD27" s="4">
        <v>304005</v>
      </c>
      <c r="AE27" s="4">
        <v>608010</v>
      </c>
      <c r="AF27" s="4">
        <v>912015</v>
      </c>
      <c r="AG27" s="4">
        <v>1216020</v>
      </c>
      <c r="AH27" s="4">
        <v>1518087</v>
      </c>
      <c r="AI27" s="4">
        <v>1820154</v>
      </c>
      <c r="AJ27" s="4">
        <v>2122221</v>
      </c>
      <c r="AK27" s="4">
        <v>2424288</v>
      </c>
      <c r="AL27" s="4">
        <v>2726355</v>
      </c>
      <c r="AM27" s="4">
        <v>3028422</v>
      </c>
      <c r="AN27" s="153">
        <v>225815</v>
      </c>
    </row>
    <row r="28" spans="1:40" x14ac:dyDescent="0.2">
      <c r="A28" s="1">
        <v>2022</v>
      </c>
      <c r="B28" s="2" t="s">
        <v>48</v>
      </c>
      <c r="C28" s="2" t="s">
        <v>48</v>
      </c>
      <c r="D28" s="1" t="s">
        <v>403</v>
      </c>
      <c r="E28" s="3">
        <v>2938700</v>
      </c>
      <c r="F28" s="1">
        <v>365</v>
      </c>
      <c r="G28" s="3">
        <v>11119</v>
      </c>
      <c r="H28" s="1">
        <v>0</v>
      </c>
      <c r="I28" s="3">
        <v>2938335</v>
      </c>
      <c r="J28" s="3">
        <v>2927216</v>
      </c>
      <c r="K28" s="3">
        <v>2927216</v>
      </c>
      <c r="L28" s="3">
        <v>79132</v>
      </c>
      <c r="M28" s="3">
        <v>288943</v>
      </c>
      <c r="N28" s="3">
        <v>29368</v>
      </c>
      <c r="O28" s="3">
        <v>28864</v>
      </c>
      <c r="P28" s="3">
        <v>165093</v>
      </c>
      <c r="Q28" s="3">
        <v>2346935</v>
      </c>
      <c r="R28" s="3">
        <v>2335816</v>
      </c>
      <c r="S28" s="3">
        <v>2335816</v>
      </c>
      <c r="T28" s="3">
        <v>293834</v>
      </c>
      <c r="U28" s="3">
        <v>293834</v>
      </c>
      <c r="V28" s="3">
        <v>293834</v>
      </c>
      <c r="W28" s="3">
        <v>293834</v>
      </c>
      <c r="X28" s="3">
        <v>291980</v>
      </c>
      <c r="Y28" s="3">
        <v>291980</v>
      </c>
      <c r="Z28" s="4">
        <v>291980</v>
      </c>
      <c r="AA28" s="4">
        <v>291980</v>
      </c>
      <c r="AB28" s="4">
        <v>291980</v>
      </c>
      <c r="AC28" s="4">
        <v>291980</v>
      </c>
      <c r="AD28" s="4">
        <v>293834</v>
      </c>
      <c r="AE28" s="4">
        <v>587668</v>
      </c>
      <c r="AF28" s="4">
        <v>881502</v>
      </c>
      <c r="AG28" s="4">
        <v>1175336</v>
      </c>
      <c r="AH28" s="4">
        <v>1467316</v>
      </c>
      <c r="AI28" s="4">
        <v>1759296</v>
      </c>
      <c r="AJ28" s="4">
        <v>2051276</v>
      </c>
      <c r="AK28" s="4">
        <v>2343256</v>
      </c>
      <c r="AL28" s="4">
        <v>2635236</v>
      </c>
      <c r="AM28" s="4">
        <v>2927216</v>
      </c>
      <c r="AN28" s="153">
        <v>215273</v>
      </c>
    </row>
    <row r="29" spans="1:40" x14ac:dyDescent="0.2">
      <c r="A29" s="1">
        <v>2022</v>
      </c>
      <c r="B29" s="2" t="s">
        <v>49</v>
      </c>
      <c r="C29" s="2" t="s">
        <v>49</v>
      </c>
      <c r="D29" s="1" t="s">
        <v>404</v>
      </c>
      <c r="E29" s="3">
        <v>3466122</v>
      </c>
      <c r="F29" s="3">
        <v>1194</v>
      </c>
      <c r="G29" s="3">
        <v>14031</v>
      </c>
      <c r="H29" s="3">
        <v>49456</v>
      </c>
      <c r="I29" s="3">
        <v>3464928</v>
      </c>
      <c r="J29" s="3">
        <v>3450897</v>
      </c>
      <c r="K29" s="3">
        <v>3401441</v>
      </c>
      <c r="L29" s="3">
        <v>258978</v>
      </c>
      <c r="M29" s="3">
        <v>379052</v>
      </c>
      <c r="N29" s="3">
        <v>38986</v>
      </c>
      <c r="O29" s="3">
        <v>41839</v>
      </c>
      <c r="P29" s="3">
        <v>206196</v>
      </c>
      <c r="Q29" s="3">
        <v>2539877</v>
      </c>
      <c r="R29" s="3">
        <v>2525846</v>
      </c>
      <c r="S29" s="3">
        <v>2476390</v>
      </c>
      <c r="T29" s="3">
        <v>346493</v>
      </c>
      <c r="U29" s="3">
        <v>346493</v>
      </c>
      <c r="V29" s="3">
        <v>346493</v>
      </c>
      <c r="W29" s="3">
        <v>346493</v>
      </c>
      <c r="X29" s="3">
        <v>344154</v>
      </c>
      <c r="Y29" s="3">
        <v>344154</v>
      </c>
      <c r="Z29" s="4">
        <v>331790</v>
      </c>
      <c r="AA29" s="4">
        <v>331790</v>
      </c>
      <c r="AB29" s="4">
        <v>331790</v>
      </c>
      <c r="AC29" s="4">
        <v>331791</v>
      </c>
      <c r="AD29" s="4">
        <v>346493</v>
      </c>
      <c r="AE29" s="4">
        <v>692986</v>
      </c>
      <c r="AF29" s="4">
        <v>1039479</v>
      </c>
      <c r="AG29" s="4">
        <v>1385972</v>
      </c>
      <c r="AH29" s="4">
        <v>1730126</v>
      </c>
      <c r="AI29" s="4">
        <v>2074280</v>
      </c>
      <c r="AJ29" s="4">
        <v>2406070</v>
      </c>
      <c r="AK29" s="4">
        <v>2737860</v>
      </c>
      <c r="AL29" s="4">
        <v>3069650</v>
      </c>
      <c r="AM29" s="4">
        <v>3401441</v>
      </c>
      <c r="AN29" s="153">
        <v>287303</v>
      </c>
    </row>
    <row r="30" spans="1:40" x14ac:dyDescent="0.2">
      <c r="A30" s="1">
        <v>2022</v>
      </c>
      <c r="B30" s="2" t="s">
        <v>50</v>
      </c>
      <c r="C30" s="2" t="s">
        <v>50</v>
      </c>
      <c r="D30" s="1" t="s">
        <v>405</v>
      </c>
      <c r="E30" s="3">
        <v>4759804</v>
      </c>
      <c r="F30" s="3">
        <v>431</v>
      </c>
      <c r="G30" s="3">
        <v>18195</v>
      </c>
      <c r="H30" s="1">
        <v>0</v>
      </c>
      <c r="I30" s="3">
        <v>4759373</v>
      </c>
      <c r="J30" s="3">
        <v>4741178</v>
      </c>
      <c r="K30" s="3">
        <v>4741178</v>
      </c>
      <c r="L30" s="3">
        <v>93520</v>
      </c>
      <c r="M30" s="3">
        <v>469887</v>
      </c>
      <c r="N30" s="3">
        <v>58515</v>
      </c>
      <c r="O30" s="3">
        <v>50273</v>
      </c>
      <c r="P30" s="3">
        <v>267388</v>
      </c>
      <c r="Q30" s="3">
        <v>3819790</v>
      </c>
      <c r="R30" s="3">
        <v>3801595</v>
      </c>
      <c r="S30" s="3">
        <v>3801595</v>
      </c>
      <c r="T30" s="3">
        <v>475937</v>
      </c>
      <c r="U30" s="3">
        <v>475937</v>
      </c>
      <c r="V30" s="3">
        <v>475937</v>
      </c>
      <c r="W30" s="3">
        <v>475937</v>
      </c>
      <c r="X30" s="3">
        <v>472905</v>
      </c>
      <c r="Y30" s="3">
        <v>472905</v>
      </c>
      <c r="Z30" s="4">
        <v>472905</v>
      </c>
      <c r="AA30" s="4">
        <v>472905</v>
      </c>
      <c r="AB30" s="4">
        <v>472905</v>
      </c>
      <c r="AC30" s="4">
        <v>472905</v>
      </c>
      <c r="AD30" s="4">
        <v>475937</v>
      </c>
      <c r="AE30" s="4">
        <v>951874</v>
      </c>
      <c r="AF30" s="4">
        <v>1427811</v>
      </c>
      <c r="AG30" s="4">
        <v>1903748</v>
      </c>
      <c r="AH30" s="4">
        <v>2376653</v>
      </c>
      <c r="AI30" s="4">
        <v>2849558</v>
      </c>
      <c r="AJ30" s="4">
        <v>3322463</v>
      </c>
      <c r="AK30" s="4">
        <v>3795368</v>
      </c>
      <c r="AL30" s="4">
        <v>4268273</v>
      </c>
      <c r="AM30" s="4">
        <v>4741178</v>
      </c>
      <c r="AN30" s="153">
        <v>372368</v>
      </c>
    </row>
    <row r="31" spans="1:40" x14ac:dyDescent="0.2">
      <c r="A31" s="1">
        <v>2022</v>
      </c>
      <c r="B31" s="2" t="s">
        <v>51</v>
      </c>
      <c r="C31" s="2" t="s">
        <v>51</v>
      </c>
      <c r="D31" s="1" t="s">
        <v>406</v>
      </c>
      <c r="E31" s="3">
        <v>1178361</v>
      </c>
      <c r="F31" s="3">
        <v>116</v>
      </c>
      <c r="G31" s="3">
        <v>4801</v>
      </c>
      <c r="H31" s="3">
        <v>15099</v>
      </c>
      <c r="I31" s="3">
        <v>1178245</v>
      </c>
      <c r="J31" s="3">
        <v>1173444</v>
      </c>
      <c r="K31" s="3">
        <v>1158345</v>
      </c>
      <c r="L31" s="3">
        <v>25179</v>
      </c>
      <c r="M31" s="3">
        <v>117976</v>
      </c>
      <c r="N31" s="3">
        <v>14353</v>
      </c>
      <c r="O31" s="3">
        <v>8929</v>
      </c>
      <c r="P31" s="3">
        <v>70547</v>
      </c>
      <c r="Q31" s="3">
        <v>941261</v>
      </c>
      <c r="R31" s="3">
        <v>936460</v>
      </c>
      <c r="S31" s="3">
        <v>921361</v>
      </c>
      <c r="T31" s="3">
        <v>117825</v>
      </c>
      <c r="U31" s="3">
        <v>117825</v>
      </c>
      <c r="V31" s="3">
        <v>117825</v>
      </c>
      <c r="W31" s="3">
        <v>117825</v>
      </c>
      <c r="X31" s="3">
        <v>117024</v>
      </c>
      <c r="Y31" s="3">
        <v>117024</v>
      </c>
      <c r="Z31" s="4">
        <v>113249</v>
      </c>
      <c r="AA31" s="4">
        <v>113249</v>
      </c>
      <c r="AB31" s="4">
        <v>113249</v>
      </c>
      <c r="AC31" s="4">
        <v>113250</v>
      </c>
      <c r="AD31" s="4">
        <v>117825</v>
      </c>
      <c r="AE31" s="4">
        <v>235650</v>
      </c>
      <c r="AF31" s="4">
        <v>353475</v>
      </c>
      <c r="AG31" s="4">
        <v>471300</v>
      </c>
      <c r="AH31" s="4">
        <v>588324</v>
      </c>
      <c r="AI31" s="4">
        <v>705348</v>
      </c>
      <c r="AJ31" s="4">
        <v>818597</v>
      </c>
      <c r="AK31" s="4">
        <v>931846</v>
      </c>
      <c r="AL31" s="4">
        <v>1045095</v>
      </c>
      <c r="AM31" s="4">
        <v>1158345</v>
      </c>
      <c r="AN31" s="153">
        <v>93582</v>
      </c>
    </row>
    <row r="32" spans="1:40" x14ac:dyDescent="0.2">
      <c r="A32" s="1">
        <v>2022</v>
      </c>
      <c r="B32" s="2" t="s">
        <v>52</v>
      </c>
      <c r="C32" s="2" t="s">
        <v>52</v>
      </c>
      <c r="D32" s="1" t="s">
        <v>407</v>
      </c>
      <c r="E32" s="3">
        <v>8737989</v>
      </c>
      <c r="F32" s="3">
        <v>1675</v>
      </c>
      <c r="G32" s="3">
        <v>35652</v>
      </c>
      <c r="H32" s="1">
        <v>0</v>
      </c>
      <c r="I32" s="3">
        <v>8736314</v>
      </c>
      <c r="J32" s="3">
        <v>8700662</v>
      </c>
      <c r="K32" s="3">
        <v>8700662</v>
      </c>
      <c r="L32" s="3">
        <v>363289</v>
      </c>
      <c r="M32" s="3">
        <v>918926</v>
      </c>
      <c r="N32" s="3">
        <v>95787</v>
      </c>
      <c r="O32" s="3">
        <v>101266</v>
      </c>
      <c r="P32" s="3">
        <v>523919</v>
      </c>
      <c r="Q32" s="3">
        <v>6733127</v>
      </c>
      <c r="R32" s="3">
        <v>6697475</v>
      </c>
      <c r="S32" s="3">
        <v>6697475</v>
      </c>
      <c r="T32" s="3">
        <v>873631</v>
      </c>
      <c r="U32" s="3">
        <v>873631</v>
      </c>
      <c r="V32" s="3">
        <v>873631</v>
      </c>
      <c r="W32" s="3">
        <v>873631</v>
      </c>
      <c r="X32" s="3">
        <v>867690</v>
      </c>
      <c r="Y32" s="3">
        <v>867690</v>
      </c>
      <c r="Z32" s="4">
        <v>867690</v>
      </c>
      <c r="AA32" s="4">
        <v>867690</v>
      </c>
      <c r="AB32" s="4">
        <v>867690</v>
      </c>
      <c r="AC32" s="4">
        <v>867688</v>
      </c>
      <c r="AD32" s="4">
        <v>873631</v>
      </c>
      <c r="AE32" s="4">
        <v>1747262</v>
      </c>
      <c r="AF32" s="4">
        <v>2620893</v>
      </c>
      <c r="AG32" s="4">
        <v>3494524</v>
      </c>
      <c r="AH32" s="4">
        <v>4362214</v>
      </c>
      <c r="AI32" s="4">
        <v>5229904</v>
      </c>
      <c r="AJ32" s="4">
        <v>6097594</v>
      </c>
      <c r="AK32" s="4">
        <v>6965284</v>
      </c>
      <c r="AL32" s="4">
        <v>7832974</v>
      </c>
      <c r="AM32" s="4">
        <v>8700662</v>
      </c>
      <c r="AN32" s="153">
        <v>704082</v>
      </c>
    </row>
    <row r="33" spans="1:40" x14ac:dyDescent="0.2">
      <c r="A33" s="1">
        <v>2022</v>
      </c>
      <c r="B33" s="2" t="s">
        <v>53</v>
      </c>
      <c r="C33" s="2" t="s">
        <v>53</v>
      </c>
      <c r="D33" s="1" t="s">
        <v>408</v>
      </c>
      <c r="E33" s="3">
        <v>25363002</v>
      </c>
      <c r="F33" s="3">
        <v>3781</v>
      </c>
      <c r="G33" s="3">
        <v>96703</v>
      </c>
      <c r="H33" s="1">
        <v>0</v>
      </c>
      <c r="I33" s="3">
        <v>25359221</v>
      </c>
      <c r="J33" s="3">
        <v>25262518</v>
      </c>
      <c r="K33" s="3">
        <v>25262518</v>
      </c>
      <c r="L33" s="3">
        <v>820097</v>
      </c>
      <c r="M33" s="3">
        <v>2460532</v>
      </c>
      <c r="N33" s="3">
        <v>284163</v>
      </c>
      <c r="O33" s="3">
        <v>281459</v>
      </c>
      <c r="P33" s="3">
        <v>1421852</v>
      </c>
      <c r="Q33" s="3">
        <v>20091118</v>
      </c>
      <c r="R33" s="3">
        <v>19994415</v>
      </c>
      <c r="S33" s="3">
        <v>19994415</v>
      </c>
      <c r="T33" s="3">
        <v>2535922</v>
      </c>
      <c r="U33" s="3">
        <v>2535922</v>
      </c>
      <c r="V33" s="3">
        <v>2535922</v>
      </c>
      <c r="W33" s="3">
        <v>2535922</v>
      </c>
      <c r="X33" s="3">
        <v>2519805</v>
      </c>
      <c r="Y33" s="3">
        <v>2519805</v>
      </c>
      <c r="Z33" s="4">
        <v>2519805</v>
      </c>
      <c r="AA33" s="4">
        <v>2519805</v>
      </c>
      <c r="AB33" s="4">
        <v>2519805</v>
      </c>
      <c r="AC33" s="4">
        <v>2519805</v>
      </c>
      <c r="AD33" s="4">
        <v>2535922</v>
      </c>
      <c r="AE33" s="4">
        <v>5071844</v>
      </c>
      <c r="AF33" s="4">
        <v>7607766</v>
      </c>
      <c r="AG33" s="4">
        <v>10143688</v>
      </c>
      <c r="AH33" s="4">
        <v>12663493</v>
      </c>
      <c r="AI33" s="4">
        <v>15183298</v>
      </c>
      <c r="AJ33" s="4">
        <v>17703103</v>
      </c>
      <c r="AK33" s="4">
        <v>20222908</v>
      </c>
      <c r="AL33" s="4">
        <v>22742713</v>
      </c>
      <c r="AM33" s="4">
        <v>25262518</v>
      </c>
      <c r="AN33" s="153">
        <v>1957259</v>
      </c>
    </row>
    <row r="34" spans="1:40" x14ac:dyDescent="0.2">
      <c r="A34" s="1">
        <v>2022</v>
      </c>
      <c r="B34" s="2" t="s">
        <v>54</v>
      </c>
      <c r="C34" s="2" t="s">
        <v>54</v>
      </c>
      <c r="D34" s="1" t="s">
        <v>409</v>
      </c>
      <c r="E34" s="3">
        <v>4416499</v>
      </c>
      <c r="F34" s="3">
        <v>713</v>
      </c>
      <c r="G34" s="3">
        <v>20687</v>
      </c>
      <c r="H34" s="1">
        <v>0</v>
      </c>
      <c r="I34" s="3">
        <v>4415786</v>
      </c>
      <c r="J34" s="3">
        <v>4395099</v>
      </c>
      <c r="K34" s="3">
        <v>4395099</v>
      </c>
      <c r="L34" s="3">
        <v>154668</v>
      </c>
      <c r="M34" s="3">
        <v>552421</v>
      </c>
      <c r="N34" s="3">
        <v>71048</v>
      </c>
      <c r="O34" s="3">
        <v>58699</v>
      </c>
      <c r="P34" s="3">
        <v>304005</v>
      </c>
      <c r="Q34" s="3">
        <v>3274945</v>
      </c>
      <c r="R34" s="3">
        <v>3254258</v>
      </c>
      <c r="S34" s="3">
        <v>3254258</v>
      </c>
      <c r="T34" s="3">
        <v>441579</v>
      </c>
      <c r="U34" s="3">
        <v>441579</v>
      </c>
      <c r="V34" s="3">
        <v>441579</v>
      </c>
      <c r="W34" s="3">
        <v>441579</v>
      </c>
      <c r="X34" s="3">
        <v>438131</v>
      </c>
      <c r="Y34" s="3">
        <v>438131</v>
      </c>
      <c r="Z34" s="4">
        <v>438130</v>
      </c>
      <c r="AA34" s="4">
        <v>438130</v>
      </c>
      <c r="AB34" s="4">
        <v>438130</v>
      </c>
      <c r="AC34" s="4">
        <v>438131</v>
      </c>
      <c r="AD34" s="4">
        <v>441579</v>
      </c>
      <c r="AE34" s="4">
        <v>883158</v>
      </c>
      <c r="AF34" s="4">
        <v>1324737</v>
      </c>
      <c r="AG34" s="4">
        <v>1766316</v>
      </c>
      <c r="AH34" s="4">
        <v>2204447</v>
      </c>
      <c r="AI34" s="4">
        <v>2642578</v>
      </c>
      <c r="AJ34" s="4">
        <v>3080708</v>
      </c>
      <c r="AK34" s="4">
        <v>3518838</v>
      </c>
      <c r="AL34" s="4">
        <v>3956968</v>
      </c>
      <c r="AM34" s="4">
        <v>4395099</v>
      </c>
      <c r="AN34" s="153">
        <v>399815</v>
      </c>
    </row>
    <row r="35" spans="1:40" x14ac:dyDescent="0.2">
      <c r="A35" s="1">
        <v>2022</v>
      </c>
      <c r="B35" s="2" t="s">
        <v>55</v>
      </c>
      <c r="C35" s="2" t="s">
        <v>55</v>
      </c>
      <c r="D35" s="1" t="s">
        <v>410</v>
      </c>
      <c r="E35" s="3">
        <v>16351727</v>
      </c>
      <c r="F35" s="3">
        <v>1692</v>
      </c>
      <c r="G35" s="3">
        <v>54902</v>
      </c>
      <c r="H35" s="1">
        <v>0</v>
      </c>
      <c r="I35" s="3">
        <v>16350035</v>
      </c>
      <c r="J35" s="3">
        <v>16295133</v>
      </c>
      <c r="K35" s="3">
        <v>16295133</v>
      </c>
      <c r="L35" s="3">
        <v>366885</v>
      </c>
      <c r="M35" s="3">
        <v>1367504</v>
      </c>
      <c r="N35" s="3">
        <v>166044</v>
      </c>
      <c r="O35" s="3">
        <v>142469</v>
      </c>
      <c r="P35" s="3">
        <v>806805</v>
      </c>
      <c r="Q35" s="3">
        <v>13500328</v>
      </c>
      <c r="R35" s="3">
        <v>13445426</v>
      </c>
      <c r="S35" s="3">
        <v>13445426</v>
      </c>
      <c r="T35" s="3">
        <v>1635004</v>
      </c>
      <c r="U35" s="3">
        <v>1635004</v>
      </c>
      <c r="V35" s="3">
        <v>1635004</v>
      </c>
      <c r="W35" s="3">
        <v>1635004</v>
      </c>
      <c r="X35" s="3">
        <v>1625853</v>
      </c>
      <c r="Y35" s="3">
        <v>1625853</v>
      </c>
      <c r="Z35" s="4">
        <v>1625853</v>
      </c>
      <c r="AA35" s="4">
        <v>1625853</v>
      </c>
      <c r="AB35" s="4">
        <v>1625853</v>
      </c>
      <c r="AC35" s="4">
        <v>1625852</v>
      </c>
      <c r="AD35" s="4">
        <v>1635004</v>
      </c>
      <c r="AE35" s="4">
        <v>3270008</v>
      </c>
      <c r="AF35" s="4">
        <v>4905012</v>
      </c>
      <c r="AG35" s="4">
        <v>6540016</v>
      </c>
      <c r="AH35" s="4">
        <v>8165869</v>
      </c>
      <c r="AI35" s="4">
        <v>9791722</v>
      </c>
      <c r="AJ35" s="4">
        <v>11417575</v>
      </c>
      <c r="AK35" s="4">
        <v>13043428</v>
      </c>
      <c r="AL35" s="4">
        <v>14669281</v>
      </c>
      <c r="AM35" s="4">
        <v>16295133</v>
      </c>
      <c r="AN35" s="153">
        <v>1107816</v>
      </c>
    </row>
    <row r="36" spans="1:40" x14ac:dyDescent="0.2">
      <c r="A36" s="1">
        <v>2022</v>
      </c>
      <c r="B36" s="2" t="s">
        <v>56</v>
      </c>
      <c r="C36" s="2" t="s">
        <v>56</v>
      </c>
      <c r="D36" s="1" t="s">
        <v>411</v>
      </c>
      <c r="E36" s="3">
        <v>14960102</v>
      </c>
      <c r="F36" s="3">
        <v>1493</v>
      </c>
      <c r="G36" s="3">
        <v>48006</v>
      </c>
      <c r="H36" s="1">
        <v>0</v>
      </c>
      <c r="I36" s="3">
        <v>14958609</v>
      </c>
      <c r="J36" s="3">
        <v>14910603</v>
      </c>
      <c r="K36" s="3">
        <v>14910603</v>
      </c>
      <c r="L36" s="3">
        <v>323722</v>
      </c>
      <c r="M36" s="3">
        <v>1287736</v>
      </c>
      <c r="N36" s="3">
        <v>147767</v>
      </c>
      <c r="O36" s="3">
        <v>159896</v>
      </c>
      <c r="P36" s="3">
        <v>714096</v>
      </c>
      <c r="Q36" s="3">
        <v>12325392</v>
      </c>
      <c r="R36" s="3">
        <v>12277386</v>
      </c>
      <c r="S36" s="3">
        <v>12277386</v>
      </c>
      <c r="T36" s="3">
        <v>1495861</v>
      </c>
      <c r="U36" s="3">
        <v>1495861</v>
      </c>
      <c r="V36" s="3">
        <v>1495861</v>
      </c>
      <c r="W36" s="3">
        <v>1495861</v>
      </c>
      <c r="X36" s="3">
        <v>1487860</v>
      </c>
      <c r="Y36" s="3">
        <v>1487860</v>
      </c>
      <c r="Z36" s="4">
        <v>1487860</v>
      </c>
      <c r="AA36" s="4">
        <v>1487860</v>
      </c>
      <c r="AB36" s="4">
        <v>1487860</v>
      </c>
      <c r="AC36" s="4">
        <v>1487859</v>
      </c>
      <c r="AD36" s="4">
        <v>1495861</v>
      </c>
      <c r="AE36" s="4">
        <v>2991722</v>
      </c>
      <c r="AF36" s="4">
        <v>4487583</v>
      </c>
      <c r="AG36" s="4">
        <v>5983444</v>
      </c>
      <c r="AH36" s="4">
        <v>7471304</v>
      </c>
      <c r="AI36" s="4">
        <v>8959164</v>
      </c>
      <c r="AJ36" s="4">
        <v>10447024</v>
      </c>
      <c r="AK36" s="4">
        <v>11934884</v>
      </c>
      <c r="AL36" s="4">
        <v>13422744</v>
      </c>
      <c r="AM36" s="4">
        <v>14910603</v>
      </c>
      <c r="AN36" s="153">
        <v>966301</v>
      </c>
    </row>
    <row r="37" spans="1:40" x14ac:dyDescent="0.2">
      <c r="A37" s="1">
        <v>2022</v>
      </c>
      <c r="B37" s="2" t="s">
        <v>57</v>
      </c>
      <c r="C37" s="2" t="s">
        <v>57</v>
      </c>
      <c r="D37" s="1" t="s">
        <v>412</v>
      </c>
      <c r="E37" s="3">
        <v>3898913</v>
      </c>
      <c r="F37" s="3">
        <v>1045</v>
      </c>
      <c r="G37" s="3">
        <v>14117</v>
      </c>
      <c r="H37" s="1">
        <v>0</v>
      </c>
      <c r="I37" s="3">
        <v>3897868</v>
      </c>
      <c r="J37" s="3">
        <v>3883751</v>
      </c>
      <c r="K37" s="3">
        <v>3883751</v>
      </c>
      <c r="L37" s="3">
        <v>226606</v>
      </c>
      <c r="M37" s="3">
        <v>365120</v>
      </c>
      <c r="N37" s="3">
        <v>48560</v>
      </c>
      <c r="O37" s="3">
        <v>40127</v>
      </c>
      <c r="P37" s="3">
        <v>207452</v>
      </c>
      <c r="Q37" s="3">
        <v>3010003</v>
      </c>
      <c r="R37" s="3">
        <v>2995886</v>
      </c>
      <c r="S37" s="3">
        <v>2995886</v>
      </c>
      <c r="T37" s="3">
        <v>389787</v>
      </c>
      <c r="U37" s="3">
        <v>389787</v>
      </c>
      <c r="V37" s="3">
        <v>389787</v>
      </c>
      <c r="W37" s="3">
        <v>389787</v>
      </c>
      <c r="X37" s="3">
        <v>387434</v>
      </c>
      <c r="Y37" s="3">
        <v>387434</v>
      </c>
      <c r="Z37" s="4">
        <v>387434</v>
      </c>
      <c r="AA37" s="4">
        <v>387434</v>
      </c>
      <c r="AB37" s="4">
        <v>387434</v>
      </c>
      <c r="AC37" s="4">
        <v>387433</v>
      </c>
      <c r="AD37" s="4">
        <v>389787</v>
      </c>
      <c r="AE37" s="4">
        <v>779574</v>
      </c>
      <c r="AF37" s="4">
        <v>1169361</v>
      </c>
      <c r="AG37" s="4">
        <v>1559148</v>
      </c>
      <c r="AH37" s="4">
        <v>1946582</v>
      </c>
      <c r="AI37" s="4">
        <v>2334016</v>
      </c>
      <c r="AJ37" s="4">
        <v>2721450</v>
      </c>
      <c r="AK37" s="4">
        <v>3108884</v>
      </c>
      <c r="AL37" s="4">
        <v>3496318</v>
      </c>
      <c r="AM37" s="4">
        <v>3883751</v>
      </c>
      <c r="AN37" s="153">
        <v>330114</v>
      </c>
    </row>
    <row r="38" spans="1:40" x14ac:dyDescent="0.2">
      <c r="A38" s="1">
        <v>2022</v>
      </c>
      <c r="B38" s="2" t="s">
        <v>58</v>
      </c>
      <c r="C38" s="2" t="s">
        <v>58</v>
      </c>
      <c r="D38" s="1" t="s">
        <v>413</v>
      </c>
      <c r="E38" s="3">
        <v>3055691</v>
      </c>
      <c r="F38" s="3">
        <v>680</v>
      </c>
      <c r="G38" s="3">
        <v>13454</v>
      </c>
      <c r="H38" s="1">
        <v>0</v>
      </c>
      <c r="I38" s="3">
        <v>3055011</v>
      </c>
      <c r="J38" s="3">
        <v>3041557</v>
      </c>
      <c r="K38" s="3">
        <v>3041557</v>
      </c>
      <c r="L38" s="3">
        <v>147474</v>
      </c>
      <c r="M38" s="3">
        <v>354176</v>
      </c>
      <c r="N38" s="3">
        <v>40945</v>
      </c>
      <c r="O38" s="3">
        <v>36589</v>
      </c>
      <c r="P38" s="3">
        <v>197713</v>
      </c>
      <c r="Q38" s="3">
        <v>2278114</v>
      </c>
      <c r="R38" s="3">
        <v>2264660</v>
      </c>
      <c r="S38" s="3">
        <v>2264660</v>
      </c>
      <c r="T38" s="3">
        <v>305501</v>
      </c>
      <c r="U38" s="3">
        <v>305501</v>
      </c>
      <c r="V38" s="3">
        <v>305501</v>
      </c>
      <c r="W38" s="3">
        <v>305501</v>
      </c>
      <c r="X38" s="3">
        <v>303259</v>
      </c>
      <c r="Y38" s="3">
        <v>303259</v>
      </c>
      <c r="Z38" s="4">
        <v>303259</v>
      </c>
      <c r="AA38" s="4">
        <v>303259</v>
      </c>
      <c r="AB38" s="4">
        <v>303259</v>
      </c>
      <c r="AC38" s="4">
        <v>303258</v>
      </c>
      <c r="AD38" s="4">
        <v>305501</v>
      </c>
      <c r="AE38" s="4">
        <v>611002</v>
      </c>
      <c r="AF38" s="4">
        <v>916503</v>
      </c>
      <c r="AG38" s="4">
        <v>1222004</v>
      </c>
      <c r="AH38" s="4">
        <v>1525263</v>
      </c>
      <c r="AI38" s="4">
        <v>1828522</v>
      </c>
      <c r="AJ38" s="4">
        <v>2131781</v>
      </c>
      <c r="AK38" s="4">
        <v>2435040</v>
      </c>
      <c r="AL38" s="4">
        <v>2738299</v>
      </c>
      <c r="AM38" s="4">
        <v>3041557</v>
      </c>
      <c r="AN38" s="153">
        <v>260682</v>
      </c>
    </row>
    <row r="39" spans="1:40" x14ac:dyDescent="0.2">
      <c r="A39" s="1">
        <v>2022</v>
      </c>
      <c r="B39" s="2" t="s">
        <v>59</v>
      </c>
      <c r="C39" s="2" t="s">
        <v>59</v>
      </c>
      <c r="D39" s="1" t="s">
        <v>414</v>
      </c>
      <c r="E39" s="3">
        <v>3336269</v>
      </c>
      <c r="F39" s="1">
        <v>614</v>
      </c>
      <c r="G39" s="3">
        <v>12749</v>
      </c>
      <c r="H39" s="1">
        <v>0</v>
      </c>
      <c r="I39" s="3">
        <v>3335655</v>
      </c>
      <c r="J39" s="3">
        <v>3322906</v>
      </c>
      <c r="K39" s="3">
        <v>3322906</v>
      </c>
      <c r="L39" s="3">
        <v>133086</v>
      </c>
      <c r="M39" s="3">
        <v>348549</v>
      </c>
      <c r="N39" s="3">
        <v>37805</v>
      </c>
      <c r="O39" s="3">
        <v>35385</v>
      </c>
      <c r="P39" s="3">
        <v>187346</v>
      </c>
      <c r="Q39" s="3">
        <v>2593484</v>
      </c>
      <c r="R39" s="3">
        <v>2580735</v>
      </c>
      <c r="S39" s="3">
        <v>2580735</v>
      </c>
      <c r="T39" s="3">
        <v>333566</v>
      </c>
      <c r="U39" s="3">
        <v>333566</v>
      </c>
      <c r="V39" s="3">
        <v>333566</v>
      </c>
      <c r="W39" s="3">
        <v>333566</v>
      </c>
      <c r="X39" s="3">
        <v>331440</v>
      </c>
      <c r="Y39" s="3">
        <v>331440</v>
      </c>
      <c r="Z39" s="4">
        <v>331441</v>
      </c>
      <c r="AA39" s="4">
        <v>331441</v>
      </c>
      <c r="AB39" s="4">
        <v>331441</v>
      </c>
      <c r="AC39" s="4">
        <v>331439</v>
      </c>
      <c r="AD39" s="4">
        <v>333566</v>
      </c>
      <c r="AE39" s="4">
        <v>667132</v>
      </c>
      <c r="AF39" s="4">
        <v>1000698</v>
      </c>
      <c r="AG39" s="4">
        <v>1334264</v>
      </c>
      <c r="AH39" s="4">
        <v>1665704</v>
      </c>
      <c r="AI39" s="4">
        <v>1997144</v>
      </c>
      <c r="AJ39" s="4">
        <v>2328585</v>
      </c>
      <c r="AK39" s="4">
        <v>2660026</v>
      </c>
      <c r="AL39" s="4">
        <v>2991467</v>
      </c>
      <c r="AM39" s="4">
        <v>3322906</v>
      </c>
      <c r="AN39" s="153">
        <v>256826</v>
      </c>
    </row>
    <row r="40" spans="1:40" x14ac:dyDescent="0.2">
      <c r="A40" s="1">
        <v>2022</v>
      </c>
      <c r="B40" s="2" t="s">
        <v>60</v>
      </c>
      <c r="C40" s="2" t="s">
        <v>60</v>
      </c>
      <c r="D40" s="1" t="s">
        <v>415</v>
      </c>
      <c r="E40" s="3">
        <v>1766397</v>
      </c>
      <c r="F40" s="1">
        <v>498</v>
      </c>
      <c r="G40" s="3">
        <v>9848</v>
      </c>
      <c r="H40" s="1">
        <v>0</v>
      </c>
      <c r="I40" s="3">
        <v>1765899</v>
      </c>
      <c r="J40" s="3">
        <v>1756051</v>
      </c>
      <c r="K40" s="3">
        <v>1756051</v>
      </c>
      <c r="L40" s="3">
        <v>107907</v>
      </c>
      <c r="M40" s="3">
        <v>286268</v>
      </c>
      <c r="N40" s="3">
        <v>29775</v>
      </c>
      <c r="O40" s="3">
        <v>31240</v>
      </c>
      <c r="P40" s="3">
        <v>151764</v>
      </c>
      <c r="Q40" s="3">
        <v>1158945</v>
      </c>
      <c r="R40" s="3">
        <v>1149097</v>
      </c>
      <c r="S40" s="3">
        <v>1149097</v>
      </c>
      <c r="T40" s="3">
        <v>176590</v>
      </c>
      <c r="U40" s="3">
        <v>176590</v>
      </c>
      <c r="V40" s="3">
        <v>176590</v>
      </c>
      <c r="W40" s="3">
        <v>176590</v>
      </c>
      <c r="X40" s="3">
        <v>174949</v>
      </c>
      <c r="Y40" s="3">
        <v>174949</v>
      </c>
      <c r="Z40" s="4">
        <v>174948</v>
      </c>
      <c r="AA40" s="4">
        <v>174948</v>
      </c>
      <c r="AB40" s="4">
        <v>174948</v>
      </c>
      <c r="AC40" s="4">
        <v>174949</v>
      </c>
      <c r="AD40" s="4">
        <v>176590</v>
      </c>
      <c r="AE40" s="4">
        <v>353180</v>
      </c>
      <c r="AF40" s="4">
        <v>529770</v>
      </c>
      <c r="AG40" s="4">
        <v>706360</v>
      </c>
      <c r="AH40" s="4">
        <v>881309</v>
      </c>
      <c r="AI40" s="4">
        <v>1056258</v>
      </c>
      <c r="AJ40" s="4">
        <v>1231206</v>
      </c>
      <c r="AK40" s="4">
        <v>1406154</v>
      </c>
      <c r="AL40" s="4">
        <v>1581102</v>
      </c>
      <c r="AM40" s="4">
        <v>1756051</v>
      </c>
      <c r="AN40" s="153">
        <v>204617</v>
      </c>
    </row>
    <row r="41" spans="1:40" x14ac:dyDescent="0.2">
      <c r="A41" s="1">
        <v>2022</v>
      </c>
      <c r="B41" s="2" t="s">
        <v>61</v>
      </c>
      <c r="C41" s="2" t="s">
        <v>61</v>
      </c>
      <c r="D41" s="1" t="s">
        <v>416</v>
      </c>
      <c r="E41" s="3">
        <v>29760633</v>
      </c>
      <c r="F41" s="3">
        <v>1891</v>
      </c>
      <c r="G41" s="3">
        <v>92950</v>
      </c>
      <c r="H41" s="3">
        <v>0</v>
      </c>
      <c r="I41" s="3">
        <v>29758742</v>
      </c>
      <c r="J41" s="3">
        <v>29665792</v>
      </c>
      <c r="K41" s="3">
        <v>29665792</v>
      </c>
      <c r="L41" s="3">
        <v>410048</v>
      </c>
      <c r="M41" s="3">
        <v>2434037</v>
      </c>
      <c r="N41" s="3">
        <v>332118</v>
      </c>
      <c r="O41" s="3">
        <v>267893</v>
      </c>
      <c r="P41" s="3">
        <v>1392740</v>
      </c>
      <c r="Q41" s="3">
        <v>24921906</v>
      </c>
      <c r="R41" s="3">
        <v>24828956</v>
      </c>
      <c r="S41" s="3">
        <v>24828956</v>
      </c>
      <c r="T41" s="3">
        <v>2975874</v>
      </c>
      <c r="U41" s="3">
        <v>2975874</v>
      </c>
      <c r="V41" s="3">
        <v>2975874</v>
      </c>
      <c r="W41" s="3">
        <v>2975874</v>
      </c>
      <c r="X41" s="3">
        <v>2960383</v>
      </c>
      <c r="Y41" s="3">
        <v>2960383</v>
      </c>
      <c r="Z41" s="4">
        <v>2960383</v>
      </c>
      <c r="AA41" s="4">
        <v>2960383</v>
      </c>
      <c r="AB41" s="4">
        <v>2960383</v>
      </c>
      <c r="AC41" s="4">
        <v>2960381</v>
      </c>
      <c r="AD41" s="4">
        <v>2975874</v>
      </c>
      <c r="AE41" s="4">
        <v>5951748</v>
      </c>
      <c r="AF41" s="4">
        <v>8927622</v>
      </c>
      <c r="AG41" s="4">
        <v>11903496</v>
      </c>
      <c r="AH41" s="4">
        <v>14863879</v>
      </c>
      <c r="AI41" s="4">
        <v>17824262</v>
      </c>
      <c r="AJ41" s="4">
        <v>20784645</v>
      </c>
      <c r="AK41" s="4">
        <v>23745028</v>
      </c>
      <c r="AL41" s="4">
        <v>26705411</v>
      </c>
      <c r="AM41" s="4">
        <v>29665792</v>
      </c>
      <c r="AN41" s="153">
        <v>1984145</v>
      </c>
    </row>
    <row r="42" spans="1:40" x14ac:dyDescent="0.2">
      <c r="A42" s="1">
        <v>2022</v>
      </c>
      <c r="B42" s="2" t="s">
        <v>62</v>
      </c>
      <c r="C42" s="2" t="s">
        <v>62</v>
      </c>
      <c r="D42" s="1" t="s">
        <v>2</v>
      </c>
      <c r="E42" s="3">
        <v>1850338</v>
      </c>
      <c r="F42" s="3">
        <v>464</v>
      </c>
      <c r="G42" s="3">
        <v>11739</v>
      </c>
      <c r="H42" s="1">
        <v>0</v>
      </c>
      <c r="I42" s="3">
        <v>1849874</v>
      </c>
      <c r="J42" s="3">
        <v>1838135</v>
      </c>
      <c r="K42" s="3">
        <v>1838135</v>
      </c>
      <c r="L42" s="3">
        <v>100714</v>
      </c>
      <c r="M42" s="3">
        <v>331253</v>
      </c>
      <c r="N42" s="3">
        <v>34500</v>
      </c>
      <c r="O42" s="3">
        <v>33576</v>
      </c>
      <c r="P42" s="3">
        <v>172510</v>
      </c>
      <c r="Q42" s="3">
        <v>1177321</v>
      </c>
      <c r="R42" s="3">
        <v>1165582</v>
      </c>
      <c r="S42" s="3">
        <v>1165582</v>
      </c>
      <c r="T42" s="3">
        <v>184987</v>
      </c>
      <c r="U42" s="3">
        <v>184987</v>
      </c>
      <c r="V42" s="3">
        <v>184987</v>
      </c>
      <c r="W42" s="3">
        <v>184987</v>
      </c>
      <c r="X42" s="3">
        <v>183031</v>
      </c>
      <c r="Y42" s="3">
        <v>183031</v>
      </c>
      <c r="Z42" s="4">
        <v>183031</v>
      </c>
      <c r="AA42" s="4">
        <v>183031</v>
      </c>
      <c r="AB42" s="4">
        <v>183031</v>
      </c>
      <c r="AC42" s="4">
        <v>183032</v>
      </c>
      <c r="AD42" s="4">
        <v>184987</v>
      </c>
      <c r="AE42" s="4">
        <v>369974</v>
      </c>
      <c r="AF42" s="4">
        <v>554961</v>
      </c>
      <c r="AG42" s="4">
        <v>739948</v>
      </c>
      <c r="AH42" s="4">
        <v>922979</v>
      </c>
      <c r="AI42" s="4">
        <v>1106010</v>
      </c>
      <c r="AJ42" s="4">
        <v>1289041</v>
      </c>
      <c r="AK42" s="4">
        <v>1472072</v>
      </c>
      <c r="AL42" s="4">
        <v>1655103</v>
      </c>
      <c r="AM42" s="4">
        <v>1838135</v>
      </c>
      <c r="AN42" s="153">
        <v>226937</v>
      </c>
    </row>
    <row r="43" spans="1:40" x14ac:dyDescent="0.2">
      <c r="A43" s="1">
        <v>2022</v>
      </c>
      <c r="B43" s="2" t="s">
        <v>63</v>
      </c>
      <c r="C43" s="2" t="s">
        <v>63</v>
      </c>
      <c r="D43" s="1" t="s">
        <v>3</v>
      </c>
      <c r="E43" s="3">
        <v>1516285</v>
      </c>
      <c r="F43" s="3">
        <v>299</v>
      </c>
      <c r="G43" s="3">
        <v>5910</v>
      </c>
      <c r="H43" s="1">
        <v>0</v>
      </c>
      <c r="I43" s="3">
        <v>1515986</v>
      </c>
      <c r="J43" s="3">
        <v>1510076</v>
      </c>
      <c r="K43" s="3">
        <v>1510076</v>
      </c>
      <c r="L43" s="3">
        <v>64744</v>
      </c>
      <c r="M43" s="3">
        <v>173180</v>
      </c>
      <c r="N43" s="3">
        <v>19648</v>
      </c>
      <c r="O43" s="3">
        <v>19108</v>
      </c>
      <c r="P43" s="3">
        <v>86849</v>
      </c>
      <c r="Q43" s="3">
        <v>1152457</v>
      </c>
      <c r="R43" s="3">
        <v>1146547</v>
      </c>
      <c r="S43" s="3">
        <v>1146547</v>
      </c>
      <c r="T43" s="3">
        <v>151599</v>
      </c>
      <c r="U43" s="3">
        <v>151599</v>
      </c>
      <c r="V43" s="3">
        <v>151599</v>
      </c>
      <c r="W43" s="3">
        <v>151599</v>
      </c>
      <c r="X43" s="3">
        <v>150613</v>
      </c>
      <c r="Y43" s="3">
        <v>150613</v>
      </c>
      <c r="Z43" s="4">
        <v>150614</v>
      </c>
      <c r="AA43" s="4">
        <v>150614</v>
      </c>
      <c r="AB43" s="4">
        <v>150614</v>
      </c>
      <c r="AC43" s="4">
        <v>150612</v>
      </c>
      <c r="AD43" s="4">
        <v>151599</v>
      </c>
      <c r="AE43" s="4">
        <v>303198</v>
      </c>
      <c r="AF43" s="4">
        <v>454797</v>
      </c>
      <c r="AG43" s="4">
        <v>606396</v>
      </c>
      <c r="AH43" s="4">
        <v>757009</v>
      </c>
      <c r="AI43" s="4">
        <v>907622</v>
      </c>
      <c r="AJ43" s="4">
        <v>1058236</v>
      </c>
      <c r="AK43" s="4">
        <v>1208850</v>
      </c>
      <c r="AL43" s="4">
        <v>1359464</v>
      </c>
      <c r="AM43" s="4">
        <v>1510076</v>
      </c>
      <c r="AN43" s="153">
        <v>125189</v>
      </c>
    </row>
    <row r="44" spans="1:40" x14ac:dyDescent="0.2">
      <c r="A44" s="1">
        <v>2022</v>
      </c>
      <c r="B44" s="2" t="s">
        <v>64</v>
      </c>
      <c r="C44" s="2" t="s">
        <v>64</v>
      </c>
      <c r="D44" s="1" t="s">
        <v>417</v>
      </c>
      <c r="E44" s="3">
        <v>2403454</v>
      </c>
      <c r="F44" s="3">
        <v>464</v>
      </c>
      <c r="G44" s="3">
        <v>9316</v>
      </c>
      <c r="H44" s="1">
        <v>0</v>
      </c>
      <c r="I44" s="3">
        <v>2402990</v>
      </c>
      <c r="J44" s="3">
        <v>2393674</v>
      </c>
      <c r="K44" s="3">
        <v>2393674</v>
      </c>
      <c r="L44" s="3">
        <v>100714</v>
      </c>
      <c r="M44" s="3">
        <v>272668</v>
      </c>
      <c r="N44" s="3">
        <v>31419</v>
      </c>
      <c r="O44" s="3">
        <v>29853</v>
      </c>
      <c r="P44" s="3">
        <v>139424</v>
      </c>
      <c r="Q44" s="3">
        <v>1828912</v>
      </c>
      <c r="R44" s="3">
        <v>1819596</v>
      </c>
      <c r="S44" s="3">
        <v>1819596</v>
      </c>
      <c r="T44" s="3">
        <v>240299</v>
      </c>
      <c r="U44" s="3">
        <v>240299</v>
      </c>
      <c r="V44" s="3">
        <v>240299</v>
      </c>
      <c r="W44" s="3">
        <v>240299</v>
      </c>
      <c r="X44" s="3">
        <v>238746</v>
      </c>
      <c r="Y44" s="3">
        <v>238746</v>
      </c>
      <c r="Z44" s="4">
        <v>238747</v>
      </c>
      <c r="AA44" s="4">
        <v>238747</v>
      </c>
      <c r="AB44" s="4">
        <v>238747</v>
      </c>
      <c r="AC44" s="4">
        <v>238745</v>
      </c>
      <c r="AD44" s="4">
        <v>240299</v>
      </c>
      <c r="AE44" s="4">
        <v>480598</v>
      </c>
      <c r="AF44" s="4">
        <v>720897</v>
      </c>
      <c r="AG44" s="4">
        <v>961196</v>
      </c>
      <c r="AH44" s="4">
        <v>1199942</v>
      </c>
      <c r="AI44" s="4">
        <v>1438688</v>
      </c>
      <c r="AJ44" s="4">
        <v>1677435</v>
      </c>
      <c r="AK44" s="4">
        <v>1916182</v>
      </c>
      <c r="AL44" s="4">
        <v>2154929</v>
      </c>
      <c r="AM44" s="4">
        <v>2393674</v>
      </c>
      <c r="AN44" s="153">
        <v>194325</v>
      </c>
    </row>
    <row r="45" spans="1:40" x14ac:dyDescent="0.2">
      <c r="A45" s="1">
        <v>2022</v>
      </c>
      <c r="B45" s="2" t="s">
        <v>65</v>
      </c>
      <c r="C45" s="2" t="s">
        <v>65</v>
      </c>
      <c r="D45" s="1" t="s">
        <v>418</v>
      </c>
      <c r="E45" s="3">
        <v>4919657</v>
      </c>
      <c r="F45" s="3">
        <v>763</v>
      </c>
      <c r="G45" s="3">
        <v>19290</v>
      </c>
      <c r="H45" s="1">
        <v>0</v>
      </c>
      <c r="I45" s="3">
        <v>4918894</v>
      </c>
      <c r="J45" s="3">
        <v>4899604</v>
      </c>
      <c r="K45" s="3">
        <v>4899604</v>
      </c>
      <c r="L45" s="3">
        <v>165458</v>
      </c>
      <c r="M45" s="3">
        <v>514193</v>
      </c>
      <c r="N45" s="3">
        <v>64047</v>
      </c>
      <c r="O45" s="3">
        <v>54126</v>
      </c>
      <c r="P45" s="3">
        <v>283620</v>
      </c>
      <c r="Q45" s="3">
        <v>3837450</v>
      </c>
      <c r="R45" s="3">
        <v>3818160</v>
      </c>
      <c r="S45" s="3">
        <v>3818160</v>
      </c>
      <c r="T45" s="3">
        <v>491889</v>
      </c>
      <c r="U45" s="3">
        <v>491889</v>
      </c>
      <c r="V45" s="3">
        <v>491889</v>
      </c>
      <c r="W45" s="3">
        <v>491889</v>
      </c>
      <c r="X45" s="3">
        <v>488675</v>
      </c>
      <c r="Y45" s="3">
        <v>488675</v>
      </c>
      <c r="Z45" s="4">
        <v>488675</v>
      </c>
      <c r="AA45" s="4">
        <v>488675</v>
      </c>
      <c r="AB45" s="4">
        <v>488675</v>
      </c>
      <c r="AC45" s="4">
        <v>488673</v>
      </c>
      <c r="AD45" s="4">
        <v>491889</v>
      </c>
      <c r="AE45" s="4">
        <v>983778</v>
      </c>
      <c r="AF45" s="4">
        <v>1475667</v>
      </c>
      <c r="AG45" s="4">
        <v>1967556</v>
      </c>
      <c r="AH45" s="4">
        <v>2456231</v>
      </c>
      <c r="AI45" s="4">
        <v>2944906</v>
      </c>
      <c r="AJ45" s="4">
        <v>3433581</v>
      </c>
      <c r="AK45" s="4">
        <v>3922256</v>
      </c>
      <c r="AL45" s="4">
        <v>4410931</v>
      </c>
      <c r="AM45" s="4">
        <v>4899604</v>
      </c>
      <c r="AN45" s="153">
        <v>382376</v>
      </c>
    </row>
    <row r="46" spans="1:40" x14ac:dyDescent="0.2">
      <c r="A46" s="1">
        <v>2022</v>
      </c>
      <c r="B46" s="2" t="s">
        <v>66</v>
      </c>
      <c r="C46" s="2" t="s">
        <v>66</v>
      </c>
      <c r="D46" s="1" t="s">
        <v>419</v>
      </c>
      <c r="E46" s="3">
        <v>4546370</v>
      </c>
      <c r="F46" s="3">
        <v>1012</v>
      </c>
      <c r="G46" s="3">
        <v>14038</v>
      </c>
      <c r="H46" s="3">
        <v>5112</v>
      </c>
      <c r="I46" s="3">
        <v>4545358</v>
      </c>
      <c r="J46" s="3">
        <v>4531320</v>
      </c>
      <c r="K46" s="3">
        <v>4526208</v>
      </c>
      <c r="L46" s="3">
        <v>219412</v>
      </c>
      <c r="M46" s="3">
        <v>383665</v>
      </c>
      <c r="N46" s="3">
        <v>47670</v>
      </c>
      <c r="O46" s="3">
        <v>36228</v>
      </c>
      <c r="P46" s="3">
        <v>206300</v>
      </c>
      <c r="Q46" s="3">
        <v>3652083</v>
      </c>
      <c r="R46" s="3">
        <v>3638045</v>
      </c>
      <c r="S46" s="3">
        <v>3632933</v>
      </c>
      <c r="T46" s="3">
        <v>454536</v>
      </c>
      <c r="U46" s="3">
        <v>454536</v>
      </c>
      <c r="V46" s="3">
        <v>454536</v>
      </c>
      <c r="W46" s="3">
        <v>454536</v>
      </c>
      <c r="X46" s="3">
        <v>452196</v>
      </c>
      <c r="Y46" s="3">
        <v>452196</v>
      </c>
      <c r="Z46" s="4">
        <v>450918</v>
      </c>
      <c r="AA46" s="4">
        <v>450918</v>
      </c>
      <c r="AB46" s="4">
        <v>450918</v>
      </c>
      <c r="AC46" s="4">
        <v>450918</v>
      </c>
      <c r="AD46" s="4">
        <v>454536</v>
      </c>
      <c r="AE46" s="4">
        <v>909072</v>
      </c>
      <c r="AF46" s="4">
        <v>1363608</v>
      </c>
      <c r="AG46" s="4">
        <v>1818144</v>
      </c>
      <c r="AH46" s="4">
        <v>2270340</v>
      </c>
      <c r="AI46" s="4">
        <v>2722536</v>
      </c>
      <c r="AJ46" s="4">
        <v>3173454</v>
      </c>
      <c r="AK46" s="4">
        <v>3624372</v>
      </c>
      <c r="AL46" s="4">
        <v>4075290</v>
      </c>
      <c r="AM46" s="4">
        <v>4526208</v>
      </c>
      <c r="AN46" s="153">
        <v>282183</v>
      </c>
    </row>
    <row r="47" spans="1:40" x14ac:dyDescent="0.2">
      <c r="A47" s="1">
        <v>2022</v>
      </c>
      <c r="B47" s="2" t="s">
        <v>67</v>
      </c>
      <c r="C47" s="2" t="s">
        <v>67</v>
      </c>
      <c r="D47" s="1" t="s">
        <v>420</v>
      </c>
      <c r="E47" s="3">
        <v>14726915</v>
      </c>
      <c r="F47" s="3">
        <v>1725</v>
      </c>
      <c r="G47" s="3">
        <v>46376</v>
      </c>
      <c r="H47" s="1">
        <v>0</v>
      </c>
      <c r="I47" s="3">
        <v>14725190</v>
      </c>
      <c r="J47" s="3">
        <v>14678814</v>
      </c>
      <c r="K47" s="3">
        <v>14678814</v>
      </c>
      <c r="L47" s="3">
        <v>374079</v>
      </c>
      <c r="M47" s="3">
        <v>1176711</v>
      </c>
      <c r="N47" s="3">
        <v>143560</v>
      </c>
      <c r="O47" s="3">
        <v>121049</v>
      </c>
      <c r="P47" s="3">
        <v>681524</v>
      </c>
      <c r="Q47" s="3">
        <v>12228267</v>
      </c>
      <c r="R47" s="3">
        <v>12181891</v>
      </c>
      <c r="S47" s="3">
        <v>12181891</v>
      </c>
      <c r="T47" s="3">
        <v>1472519</v>
      </c>
      <c r="U47" s="3">
        <v>1472519</v>
      </c>
      <c r="V47" s="3">
        <v>1472519</v>
      </c>
      <c r="W47" s="3">
        <v>1472519</v>
      </c>
      <c r="X47" s="3">
        <v>1464790</v>
      </c>
      <c r="Y47" s="3">
        <v>1464790</v>
      </c>
      <c r="Z47" s="4">
        <v>1464790</v>
      </c>
      <c r="AA47" s="4">
        <v>1464790</v>
      </c>
      <c r="AB47" s="4">
        <v>1464790</v>
      </c>
      <c r="AC47" s="4">
        <v>1464788</v>
      </c>
      <c r="AD47" s="4">
        <v>1472519</v>
      </c>
      <c r="AE47" s="4">
        <v>2945038</v>
      </c>
      <c r="AF47" s="4">
        <v>4417557</v>
      </c>
      <c r="AG47" s="4">
        <v>5890076</v>
      </c>
      <c r="AH47" s="4">
        <v>7354866</v>
      </c>
      <c r="AI47" s="4">
        <v>8819656</v>
      </c>
      <c r="AJ47" s="4">
        <v>10284446</v>
      </c>
      <c r="AK47" s="4">
        <v>11749236</v>
      </c>
      <c r="AL47" s="4">
        <v>13214026</v>
      </c>
      <c r="AM47" s="4">
        <v>14678814</v>
      </c>
      <c r="AN47" s="153">
        <v>918187</v>
      </c>
    </row>
    <row r="48" spans="1:40" x14ac:dyDescent="0.2">
      <c r="A48" s="1">
        <v>2022</v>
      </c>
      <c r="B48" s="2" t="s">
        <v>68</v>
      </c>
      <c r="C48" s="2" t="s">
        <v>68</v>
      </c>
      <c r="D48" s="1" t="s">
        <v>421</v>
      </c>
      <c r="E48" s="3">
        <v>9225435</v>
      </c>
      <c r="F48" s="3">
        <v>2786</v>
      </c>
      <c r="G48" s="3">
        <v>40550</v>
      </c>
      <c r="H48" s="1">
        <v>0</v>
      </c>
      <c r="I48" s="3">
        <v>9222649</v>
      </c>
      <c r="J48" s="3">
        <v>9182099</v>
      </c>
      <c r="K48" s="3">
        <v>9182099</v>
      </c>
      <c r="L48" s="3">
        <v>604282</v>
      </c>
      <c r="M48" s="3">
        <v>1027999</v>
      </c>
      <c r="N48" s="3">
        <v>119634</v>
      </c>
      <c r="O48" s="3">
        <v>118148</v>
      </c>
      <c r="P48" s="3">
        <v>595897</v>
      </c>
      <c r="Q48" s="3">
        <v>6756689</v>
      </c>
      <c r="R48" s="3">
        <v>6716139</v>
      </c>
      <c r="S48" s="3">
        <v>6716139</v>
      </c>
      <c r="T48" s="3">
        <v>922265</v>
      </c>
      <c r="U48" s="3">
        <v>922265</v>
      </c>
      <c r="V48" s="3">
        <v>922265</v>
      </c>
      <c r="W48" s="3">
        <v>922265</v>
      </c>
      <c r="X48" s="3">
        <v>915507</v>
      </c>
      <c r="Y48" s="3">
        <v>915507</v>
      </c>
      <c r="Z48" s="4">
        <v>915506</v>
      </c>
      <c r="AA48" s="4">
        <v>915506</v>
      </c>
      <c r="AB48" s="4">
        <v>915506</v>
      </c>
      <c r="AC48" s="4">
        <v>915507</v>
      </c>
      <c r="AD48" s="4">
        <v>922265</v>
      </c>
      <c r="AE48" s="4">
        <v>1844530</v>
      </c>
      <c r="AF48" s="4">
        <v>2766795</v>
      </c>
      <c r="AG48" s="4">
        <v>3689060</v>
      </c>
      <c r="AH48" s="4">
        <v>4604567</v>
      </c>
      <c r="AI48" s="4">
        <v>5520074</v>
      </c>
      <c r="AJ48" s="4">
        <v>6435580</v>
      </c>
      <c r="AK48" s="4">
        <v>7351086</v>
      </c>
      <c r="AL48" s="4">
        <v>8266592</v>
      </c>
      <c r="AM48" s="4">
        <v>9182099</v>
      </c>
      <c r="AN48" s="153">
        <v>886913</v>
      </c>
    </row>
    <row r="49" spans="1:40" x14ac:dyDescent="0.2">
      <c r="A49" s="1">
        <v>2022</v>
      </c>
      <c r="B49" s="2" t="s">
        <v>69</v>
      </c>
      <c r="C49" s="2" t="s">
        <v>69</v>
      </c>
      <c r="D49" s="1" t="s">
        <v>422</v>
      </c>
      <c r="E49" s="3">
        <v>34764450</v>
      </c>
      <c r="F49" s="3">
        <v>2836</v>
      </c>
      <c r="G49" s="3">
        <v>129609</v>
      </c>
      <c r="H49" s="1">
        <v>0</v>
      </c>
      <c r="I49" s="3">
        <v>34761614</v>
      </c>
      <c r="J49" s="3">
        <v>34632005</v>
      </c>
      <c r="K49" s="3">
        <v>34632005</v>
      </c>
      <c r="L49" s="3">
        <v>615073</v>
      </c>
      <c r="M49" s="3">
        <v>3322129</v>
      </c>
      <c r="N49" s="3">
        <v>394716</v>
      </c>
      <c r="O49" s="3">
        <v>393243</v>
      </c>
      <c r="P49" s="3">
        <v>1904666</v>
      </c>
      <c r="Q49" s="3">
        <v>28131787</v>
      </c>
      <c r="R49" s="3">
        <v>28002178</v>
      </c>
      <c r="S49" s="3">
        <v>28002178</v>
      </c>
      <c r="T49" s="3">
        <v>3476161</v>
      </c>
      <c r="U49" s="3">
        <v>3476161</v>
      </c>
      <c r="V49" s="3">
        <v>3476161</v>
      </c>
      <c r="W49" s="3">
        <v>3476161</v>
      </c>
      <c r="X49" s="3">
        <v>3454560</v>
      </c>
      <c r="Y49" s="3">
        <v>3454560</v>
      </c>
      <c r="Z49" s="4">
        <v>3454560</v>
      </c>
      <c r="AA49" s="4">
        <v>3454560</v>
      </c>
      <c r="AB49" s="4">
        <v>3454560</v>
      </c>
      <c r="AC49" s="4">
        <v>3454561</v>
      </c>
      <c r="AD49" s="4">
        <v>3476161</v>
      </c>
      <c r="AE49" s="4">
        <v>6952322</v>
      </c>
      <c r="AF49" s="4">
        <v>10428483</v>
      </c>
      <c r="AG49" s="4">
        <v>13904644</v>
      </c>
      <c r="AH49" s="4">
        <v>17359204</v>
      </c>
      <c r="AI49" s="4">
        <v>20813764</v>
      </c>
      <c r="AJ49" s="4">
        <v>24268324</v>
      </c>
      <c r="AK49" s="4">
        <v>27722884</v>
      </c>
      <c r="AL49" s="4">
        <v>31177444</v>
      </c>
      <c r="AM49" s="4">
        <v>34632005</v>
      </c>
      <c r="AN49" s="153">
        <v>2786509</v>
      </c>
    </row>
    <row r="50" spans="1:40" x14ac:dyDescent="0.2">
      <c r="A50" s="1">
        <v>2022</v>
      </c>
      <c r="B50" s="2" t="s">
        <v>70</v>
      </c>
      <c r="C50" s="2" t="s">
        <v>70</v>
      </c>
      <c r="D50" s="1" t="s">
        <v>423</v>
      </c>
      <c r="E50" s="3">
        <v>108311622</v>
      </c>
      <c r="F50" s="3">
        <v>11211</v>
      </c>
      <c r="G50" s="3">
        <v>385681</v>
      </c>
      <c r="H50" s="1">
        <v>0</v>
      </c>
      <c r="I50" s="3">
        <v>108300411</v>
      </c>
      <c r="J50" s="3">
        <v>107914730</v>
      </c>
      <c r="K50" s="3">
        <v>107914730</v>
      </c>
      <c r="L50" s="3">
        <v>2427991</v>
      </c>
      <c r="M50" s="3">
        <v>10018722</v>
      </c>
      <c r="N50" s="3">
        <v>1287455</v>
      </c>
      <c r="O50" s="3">
        <v>1179774</v>
      </c>
      <c r="P50" s="3">
        <v>5744508</v>
      </c>
      <c r="Q50" s="3">
        <v>87641961</v>
      </c>
      <c r="R50" s="3">
        <v>87256280</v>
      </c>
      <c r="S50" s="3">
        <v>87256280</v>
      </c>
      <c r="T50" s="3">
        <v>10830041</v>
      </c>
      <c r="U50" s="3">
        <v>10830041</v>
      </c>
      <c r="V50" s="3">
        <v>10830041</v>
      </c>
      <c r="W50" s="3">
        <v>10830041</v>
      </c>
      <c r="X50" s="3">
        <v>10765761</v>
      </c>
      <c r="Y50" s="3">
        <v>10765761</v>
      </c>
      <c r="Z50" s="4">
        <v>10765761</v>
      </c>
      <c r="AA50" s="4">
        <v>10765761</v>
      </c>
      <c r="AB50" s="4">
        <v>10765761</v>
      </c>
      <c r="AC50" s="4">
        <v>10765761</v>
      </c>
      <c r="AD50" s="4">
        <v>10830041</v>
      </c>
      <c r="AE50" s="4">
        <v>21660082</v>
      </c>
      <c r="AF50" s="4">
        <v>32490123</v>
      </c>
      <c r="AG50" s="4">
        <v>43320164</v>
      </c>
      <c r="AH50" s="4">
        <v>54085925</v>
      </c>
      <c r="AI50" s="4">
        <v>64851686</v>
      </c>
      <c r="AJ50" s="4">
        <v>75617447</v>
      </c>
      <c r="AK50" s="4">
        <v>86383208</v>
      </c>
      <c r="AL50" s="4">
        <v>97148969</v>
      </c>
      <c r="AM50" s="4">
        <v>107914730</v>
      </c>
      <c r="AN50" s="153">
        <v>7979687</v>
      </c>
    </row>
    <row r="51" spans="1:40" x14ac:dyDescent="0.2">
      <c r="A51" s="1">
        <v>2022</v>
      </c>
      <c r="B51" s="2" t="s">
        <v>71</v>
      </c>
      <c r="C51" s="2" t="s">
        <v>71</v>
      </c>
      <c r="D51" s="1" t="s">
        <v>424</v>
      </c>
      <c r="E51" s="3">
        <v>9401787</v>
      </c>
      <c r="F51" s="3">
        <v>1426</v>
      </c>
      <c r="G51" s="3">
        <v>30426</v>
      </c>
      <c r="H51" s="1">
        <v>0</v>
      </c>
      <c r="I51" s="3">
        <v>9400361</v>
      </c>
      <c r="J51" s="3">
        <v>9369935</v>
      </c>
      <c r="K51" s="3">
        <v>9369935</v>
      </c>
      <c r="L51" s="3">
        <v>309335</v>
      </c>
      <c r="M51" s="3">
        <v>808202</v>
      </c>
      <c r="N51" s="3">
        <v>92767</v>
      </c>
      <c r="O51" s="3">
        <v>89737</v>
      </c>
      <c r="P51" s="3">
        <v>459042</v>
      </c>
      <c r="Q51" s="3">
        <v>7641278</v>
      </c>
      <c r="R51" s="3">
        <v>7610852</v>
      </c>
      <c r="S51" s="3">
        <v>7610852</v>
      </c>
      <c r="T51" s="3">
        <v>940036</v>
      </c>
      <c r="U51" s="3">
        <v>940036</v>
      </c>
      <c r="V51" s="3">
        <v>940036</v>
      </c>
      <c r="W51" s="3">
        <v>940036</v>
      </c>
      <c r="X51" s="3">
        <v>934965</v>
      </c>
      <c r="Y51" s="3">
        <v>934965</v>
      </c>
      <c r="Z51" s="4">
        <v>934965</v>
      </c>
      <c r="AA51" s="4">
        <v>934965</v>
      </c>
      <c r="AB51" s="4">
        <v>934965</v>
      </c>
      <c r="AC51" s="4">
        <v>934966</v>
      </c>
      <c r="AD51" s="4">
        <v>940036</v>
      </c>
      <c r="AE51" s="4">
        <v>1880072</v>
      </c>
      <c r="AF51" s="4">
        <v>2820108</v>
      </c>
      <c r="AG51" s="4">
        <v>3760144</v>
      </c>
      <c r="AH51" s="4">
        <v>4695109</v>
      </c>
      <c r="AI51" s="4">
        <v>5630074</v>
      </c>
      <c r="AJ51" s="4">
        <v>6565039</v>
      </c>
      <c r="AK51" s="4">
        <v>7500004</v>
      </c>
      <c r="AL51" s="4">
        <v>8434969</v>
      </c>
      <c r="AM51" s="4">
        <v>9369935</v>
      </c>
      <c r="AN51" s="153">
        <v>622714</v>
      </c>
    </row>
    <row r="52" spans="1:40" x14ac:dyDescent="0.2">
      <c r="A52" s="1">
        <v>2022</v>
      </c>
      <c r="B52" s="2" t="s">
        <v>72</v>
      </c>
      <c r="C52" s="2" t="s">
        <v>72</v>
      </c>
      <c r="D52" s="1" t="s">
        <v>425</v>
      </c>
      <c r="E52" s="3">
        <v>10331317</v>
      </c>
      <c r="F52" s="3">
        <v>1012</v>
      </c>
      <c r="G52" s="3">
        <v>32124</v>
      </c>
      <c r="H52" s="1">
        <v>0</v>
      </c>
      <c r="I52" s="3">
        <v>10330305</v>
      </c>
      <c r="J52" s="3">
        <v>10298181</v>
      </c>
      <c r="K52" s="3">
        <v>10298181</v>
      </c>
      <c r="L52" s="3">
        <v>219412</v>
      </c>
      <c r="M52" s="3">
        <v>839191</v>
      </c>
      <c r="N52" s="3">
        <v>101822</v>
      </c>
      <c r="O52" s="3">
        <v>96142</v>
      </c>
      <c r="P52" s="3">
        <v>472082</v>
      </c>
      <c r="Q52" s="3">
        <v>8601656</v>
      </c>
      <c r="R52" s="3">
        <v>8569532</v>
      </c>
      <c r="S52" s="3">
        <v>8569532</v>
      </c>
      <c r="T52" s="3">
        <v>1033031</v>
      </c>
      <c r="U52" s="3">
        <v>1033031</v>
      </c>
      <c r="V52" s="3">
        <v>1033031</v>
      </c>
      <c r="W52" s="3">
        <v>1033031</v>
      </c>
      <c r="X52" s="3">
        <v>1027676</v>
      </c>
      <c r="Y52" s="3">
        <v>1027676</v>
      </c>
      <c r="Z52" s="4">
        <v>1027676</v>
      </c>
      <c r="AA52" s="4">
        <v>1027676</v>
      </c>
      <c r="AB52" s="4">
        <v>1027676</v>
      </c>
      <c r="AC52" s="4">
        <v>1027677</v>
      </c>
      <c r="AD52" s="4">
        <v>1033031</v>
      </c>
      <c r="AE52" s="4">
        <v>2066062</v>
      </c>
      <c r="AF52" s="4">
        <v>3099093</v>
      </c>
      <c r="AG52" s="4">
        <v>4132124</v>
      </c>
      <c r="AH52" s="4">
        <v>5159800</v>
      </c>
      <c r="AI52" s="4">
        <v>6187476</v>
      </c>
      <c r="AJ52" s="4">
        <v>7215152</v>
      </c>
      <c r="AK52" s="4">
        <v>8242828</v>
      </c>
      <c r="AL52" s="4">
        <v>9270504</v>
      </c>
      <c r="AM52" s="4">
        <v>10298181</v>
      </c>
      <c r="AN52" s="153">
        <v>620417</v>
      </c>
    </row>
    <row r="53" spans="1:40" x14ac:dyDescent="0.2">
      <c r="A53" s="1">
        <v>2022</v>
      </c>
      <c r="B53" s="2" t="s">
        <v>73</v>
      </c>
      <c r="C53" s="2" t="s">
        <v>73</v>
      </c>
      <c r="D53" s="1" t="s">
        <v>426</v>
      </c>
      <c r="E53" s="3">
        <v>4575903</v>
      </c>
      <c r="F53" s="3">
        <v>1061</v>
      </c>
      <c r="G53" s="3">
        <v>18314</v>
      </c>
      <c r="H53" s="1">
        <v>0</v>
      </c>
      <c r="I53" s="3">
        <v>4574842</v>
      </c>
      <c r="J53" s="3">
        <v>4556528</v>
      </c>
      <c r="K53" s="3">
        <v>4556528</v>
      </c>
      <c r="L53" s="3">
        <v>230203</v>
      </c>
      <c r="M53" s="3">
        <v>499022</v>
      </c>
      <c r="N53" s="3">
        <v>54965</v>
      </c>
      <c r="O53" s="3">
        <v>63577</v>
      </c>
      <c r="P53" s="3">
        <v>269133</v>
      </c>
      <c r="Q53" s="3">
        <v>3457942</v>
      </c>
      <c r="R53" s="3">
        <v>3439628</v>
      </c>
      <c r="S53" s="3">
        <v>3439628</v>
      </c>
      <c r="T53" s="3">
        <v>457484</v>
      </c>
      <c r="U53" s="3">
        <v>457484</v>
      </c>
      <c r="V53" s="3">
        <v>457484</v>
      </c>
      <c r="W53" s="3">
        <v>457484</v>
      </c>
      <c r="X53" s="3">
        <v>454432</v>
      </c>
      <c r="Y53" s="3">
        <v>454432</v>
      </c>
      <c r="Z53" s="4">
        <v>454432</v>
      </c>
      <c r="AA53" s="4">
        <v>454432</v>
      </c>
      <c r="AB53" s="4">
        <v>454432</v>
      </c>
      <c r="AC53" s="4">
        <v>454432</v>
      </c>
      <c r="AD53" s="4">
        <v>457484</v>
      </c>
      <c r="AE53" s="4">
        <v>914968</v>
      </c>
      <c r="AF53" s="4">
        <v>1372452</v>
      </c>
      <c r="AG53" s="4">
        <v>1829936</v>
      </c>
      <c r="AH53" s="4">
        <v>2284368</v>
      </c>
      <c r="AI53" s="4">
        <v>2738800</v>
      </c>
      <c r="AJ53" s="4">
        <v>3193232</v>
      </c>
      <c r="AK53" s="4">
        <v>3647664</v>
      </c>
      <c r="AL53" s="4">
        <v>4102096</v>
      </c>
      <c r="AM53" s="4">
        <v>4556528</v>
      </c>
      <c r="AN53" s="153">
        <v>350533</v>
      </c>
    </row>
    <row r="54" spans="1:40" x14ac:dyDescent="0.2">
      <c r="A54" s="1">
        <v>2022</v>
      </c>
      <c r="B54" s="2" t="s">
        <v>74</v>
      </c>
      <c r="C54" s="2" t="s">
        <v>74</v>
      </c>
      <c r="D54" s="1" t="s">
        <v>427</v>
      </c>
      <c r="E54" s="3">
        <v>2639659</v>
      </c>
      <c r="F54" s="3">
        <v>448</v>
      </c>
      <c r="G54" s="3">
        <v>10095</v>
      </c>
      <c r="H54" s="1">
        <v>0</v>
      </c>
      <c r="I54" s="3">
        <v>2639211</v>
      </c>
      <c r="J54" s="3">
        <v>2629116</v>
      </c>
      <c r="K54" s="3">
        <v>2629116</v>
      </c>
      <c r="L54" s="3">
        <v>97117</v>
      </c>
      <c r="M54" s="3">
        <v>270219</v>
      </c>
      <c r="N54" s="3">
        <v>27974</v>
      </c>
      <c r="O54" s="3">
        <v>28139</v>
      </c>
      <c r="P54" s="3">
        <v>148355</v>
      </c>
      <c r="Q54" s="3">
        <v>2067407</v>
      </c>
      <c r="R54" s="3">
        <v>2057312</v>
      </c>
      <c r="S54" s="3">
        <v>2057312</v>
      </c>
      <c r="T54" s="3">
        <v>263921</v>
      </c>
      <c r="U54" s="3">
        <v>263921</v>
      </c>
      <c r="V54" s="3">
        <v>263921</v>
      </c>
      <c r="W54" s="3">
        <v>263921</v>
      </c>
      <c r="X54" s="3">
        <v>262239</v>
      </c>
      <c r="Y54" s="3">
        <v>262239</v>
      </c>
      <c r="Z54" s="4">
        <v>262239</v>
      </c>
      <c r="AA54" s="4">
        <v>262239</v>
      </c>
      <c r="AB54" s="4">
        <v>262239</v>
      </c>
      <c r="AC54" s="4">
        <v>262237</v>
      </c>
      <c r="AD54" s="4">
        <v>263921</v>
      </c>
      <c r="AE54" s="4">
        <v>527842</v>
      </c>
      <c r="AF54" s="4">
        <v>791763</v>
      </c>
      <c r="AG54" s="4">
        <v>1055684</v>
      </c>
      <c r="AH54" s="4">
        <v>1317923</v>
      </c>
      <c r="AI54" s="4">
        <v>1580162</v>
      </c>
      <c r="AJ54" s="4">
        <v>1842401</v>
      </c>
      <c r="AK54" s="4">
        <v>2104640</v>
      </c>
      <c r="AL54" s="4">
        <v>2366879</v>
      </c>
      <c r="AM54" s="4">
        <v>2629116</v>
      </c>
      <c r="AN54" s="153">
        <v>210171</v>
      </c>
    </row>
    <row r="55" spans="1:40" x14ac:dyDescent="0.2">
      <c r="A55" s="1">
        <v>2022</v>
      </c>
      <c r="B55" s="2" t="s">
        <v>75</v>
      </c>
      <c r="C55" s="2" t="s">
        <v>75</v>
      </c>
      <c r="D55" s="1" t="s">
        <v>428</v>
      </c>
      <c r="E55" s="3">
        <v>9316819</v>
      </c>
      <c r="F55" s="3">
        <v>1410</v>
      </c>
      <c r="G55" s="3">
        <v>34735</v>
      </c>
      <c r="H55" s="1">
        <v>0</v>
      </c>
      <c r="I55" s="3">
        <v>9315409</v>
      </c>
      <c r="J55" s="3">
        <v>9280674</v>
      </c>
      <c r="K55" s="3">
        <v>9280674</v>
      </c>
      <c r="L55" s="3">
        <v>305738</v>
      </c>
      <c r="M55" s="3">
        <v>928414</v>
      </c>
      <c r="N55" s="3">
        <v>96263</v>
      </c>
      <c r="O55" s="3">
        <v>100855</v>
      </c>
      <c r="P55" s="3">
        <v>510445</v>
      </c>
      <c r="Q55" s="3">
        <v>7373694</v>
      </c>
      <c r="R55" s="3">
        <v>7338959</v>
      </c>
      <c r="S55" s="3">
        <v>7338959</v>
      </c>
      <c r="T55" s="3">
        <v>931541</v>
      </c>
      <c r="U55" s="3">
        <v>931541</v>
      </c>
      <c r="V55" s="3">
        <v>931541</v>
      </c>
      <c r="W55" s="3">
        <v>931541</v>
      </c>
      <c r="X55" s="3">
        <v>925752</v>
      </c>
      <c r="Y55" s="3">
        <v>925752</v>
      </c>
      <c r="Z55" s="4">
        <v>925752</v>
      </c>
      <c r="AA55" s="4">
        <v>925752</v>
      </c>
      <c r="AB55" s="4">
        <v>925752</v>
      </c>
      <c r="AC55" s="4">
        <v>925750</v>
      </c>
      <c r="AD55" s="4">
        <v>931541</v>
      </c>
      <c r="AE55" s="4">
        <v>1863082</v>
      </c>
      <c r="AF55" s="4">
        <v>2794623</v>
      </c>
      <c r="AG55" s="4">
        <v>3726164</v>
      </c>
      <c r="AH55" s="4">
        <v>4651916</v>
      </c>
      <c r="AI55" s="4">
        <v>5577668</v>
      </c>
      <c r="AJ55" s="4">
        <v>6503420</v>
      </c>
      <c r="AK55" s="4">
        <v>7429172</v>
      </c>
      <c r="AL55" s="4">
        <v>8354924</v>
      </c>
      <c r="AM55" s="4">
        <v>9280674</v>
      </c>
      <c r="AN55" s="153">
        <v>693089</v>
      </c>
    </row>
    <row r="56" spans="1:40" x14ac:dyDescent="0.2">
      <c r="A56" s="1">
        <v>2022</v>
      </c>
      <c r="B56" s="2" t="s">
        <v>76</v>
      </c>
      <c r="C56" s="2" t="s">
        <v>76</v>
      </c>
      <c r="D56" s="1" t="s">
        <v>429</v>
      </c>
      <c r="E56" s="3">
        <v>3289576</v>
      </c>
      <c r="F56" s="1">
        <v>398</v>
      </c>
      <c r="G56" s="3">
        <v>11425</v>
      </c>
      <c r="H56" s="1">
        <v>0</v>
      </c>
      <c r="I56" s="3">
        <v>3289178</v>
      </c>
      <c r="J56" s="3">
        <v>3277753</v>
      </c>
      <c r="K56" s="3">
        <v>3277753</v>
      </c>
      <c r="L56" s="3">
        <v>86326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2647542</v>
      </c>
      <c r="R56" s="3">
        <v>2636117</v>
      </c>
      <c r="S56" s="3">
        <v>2636117</v>
      </c>
      <c r="T56" s="3">
        <v>328918</v>
      </c>
      <c r="U56" s="3">
        <v>328918</v>
      </c>
      <c r="V56" s="3">
        <v>328918</v>
      </c>
      <c r="W56" s="3">
        <v>328918</v>
      </c>
      <c r="X56" s="3">
        <v>327014</v>
      </c>
      <c r="Y56" s="3">
        <v>327014</v>
      </c>
      <c r="Z56" s="4">
        <v>327013</v>
      </c>
      <c r="AA56" s="4">
        <v>327013</v>
      </c>
      <c r="AB56" s="4">
        <v>327013</v>
      </c>
      <c r="AC56" s="4">
        <v>327014</v>
      </c>
      <c r="AD56" s="4">
        <v>328918</v>
      </c>
      <c r="AE56" s="4">
        <v>657836</v>
      </c>
      <c r="AF56" s="4">
        <v>986754</v>
      </c>
      <c r="AG56" s="4">
        <v>1315672</v>
      </c>
      <c r="AH56" s="4">
        <v>1642686</v>
      </c>
      <c r="AI56" s="4">
        <v>1969700</v>
      </c>
      <c r="AJ56" s="4">
        <v>2296713</v>
      </c>
      <c r="AK56" s="4">
        <v>2623726</v>
      </c>
      <c r="AL56" s="4">
        <v>2950739</v>
      </c>
      <c r="AM56" s="4">
        <v>3277753</v>
      </c>
      <c r="AN56" s="153">
        <v>218043</v>
      </c>
    </row>
    <row r="57" spans="1:40" x14ac:dyDescent="0.2">
      <c r="A57" s="1">
        <v>2022</v>
      </c>
      <c r="B57" s="2" t="s">
        <v>77</v>
      </c>
      <c r="C57" s="2" t="s">
        <v>77</v>
      </c>
      <c r="D57" s="1" t="s">
        <v>430</v>
      </c>
      <c r="E57" s="3">
        <v>5009590</v>
      </c>
      <c r="F57" s="3">
        <v>514</v>
      </c>
      <c r="G57" s="3">
        <v>15397</v>
      </c>
      <c r="H57" s="1">
        <v>0</v>
      </c>
      <c r="I57" s="3">
        <v>5009076</v>
      </c>
      <c r="J57" s="3">
        <v>4993679</v>
      </c>
      <c r="K57" s="3">
        <v>4993679</v>
      </c>
      <c r="L57" s="3">
        <v>111505</v>
      </c>
      <c r="M57" s="3">
        <v>417784</v>
      </c>
      <c r="N57" s="3">
        <v>55829</v>
      </c>
      <c r="O57" s="3">
        <v>43442</v>
      </c>
      <c r="P57" s="3">
        <v>226267</v>
      </c>
      <c r="Q57" s="3">
        <v>4154249</v>
      </c>
      <c r="R57" s="3">
        <v>4138852</v>
      </c>
      <c r="S57" s="3">
        <v>4138852</v>
      </c>
      <c r="T57" s="3">
        <v>500908</v>
      </c>
      <c r="U57" s="3">
        <v>500908</v>
      </c>
      <c r="V57" s="3">
        <v>500908</v>
      </c>
      <c r="W57" s="3">
        <v>500908</v>
      </c>
      <c r="X57" s="3">
        <v>498341</v>
      </c>
      <c r="Y57" s="3">
        <v>498341</v>
      </c>
      <c r="Z57" s="4">
        <v>498341</v>
      </c>
      <c r="AA57" s="4">
        <v>498341</v>
      </c>
      <c r="AB57" s="4">
        <v>498341</v>
      </c>
      <c r="AC57" s="4">
        <v>498342</v>
      </c>
      <c r="AD57" s="4">
        <v>500908</v>
      </c>
      <c r="AE57" s="4">
        <v>1001816</v>
      </c>
      <c r="AF57" s="4">
        <v>1502724</v>
      </c>
      <c r="AG57" s="4">
        <v>2003632</v>
      </c>
      <c r="AH57" s="4">
        <v>2501973</v>
      </c>
      <c r="AI57" s="4">
        <v>3000314</v>
      </c>
      <c r="AJ57" s="4">
        <v>3498655</v>
      </c>
      <c r="AK57" s="4">
        <v>3996996</v>
      </c>
      <c r="AL57" s="4">
        <v>4495337</v>
      </c>
      <c r="AM57" s="4">
        <v>4993679</v>
      </c>
      <c r="AN57" s="153">
        <v>305676</v>
      </c>
    </row>
    <row r="58" spans="1:40" x14ac:dyDescent="0.2">
      <c r="A58" s="1">
        <v>2022</v>
      </c>
      <c r="B58" s="2" t="s">
        <v>78</v>
      </c>
      <c r="C58" s="2" t="s">
        <v>78</v>
      </c>
      <c r="D58" s="1" t="s">
        <v>431</v>
      </c>
      <c r="E58" s="3">
        <v>4685762</v>
      </c>
      <c r="F58" s="1">
        <v>763</v>
      </c>
      <c r="G58" s="3">
        <v>17782</v>
      </c>
      <c r="H58" s="3">
        <v>0</v>
      </c>
      <c r="I58" s="3">
        <v>4684999</v>
      </c>
      <c r="J58" s="3">
        <v>4667217</v>
      </c>
      <c r="K58" s="3">
        <v>4667217</v>
      </c>
      <c r="L58" s="3">
        <v>161934</v>
      </c>
      <c r="M58" s="3">
        <v>452319</v>
      </c>
      <c r="N58" s="3">
        <v>48652</v>
      </c>
      <c r="O58" s="3">
        <v>52050</v>
      </c>
      <c r="P58" s="3">
        <v>261314</v>
      </c>
      <c r="Q58" s="3">
        <v>3708730</v>
      </c>
      <c r="R58" s="3">
        <v>3690948</v>
      </c>
      <c r="S58" s="3">
        <v>3690948</v>
      </c>
      <c r="T58" s="3">
        <v>468500</v>
      </c>
      <c r="U58" s="3">
        <v>468500</v>
      </c>
      <c r="V58" s="3">
        <v>468500</v>
      </c>
      <c r="W58" s="3">
        <v>468500</v>
      </c>
      <c r="X58" s="3">
        <v>465536</v>
      </c>
      <c r="Y58" s="3">
        <v>465536</v>
      </c>
      <c r="Z58" s="4">
        <v>465536</v>
      </c>
      <c r="AA58" s="4">
        <v>465536</v>
      </c>
      <c r="AB58" s="4">
        <v>465536</v>
      </c>
      <c r="AC58" s="4">
        <v>465537</v>
      </c>
      <c r="AD58" s="4">
        <v>468500</v>
      </c>
      <c r="AE58" s="4">
        <v>937000</v>
      </c>
      <c r="AF58" s="4">
        <v>1405500</v>
      </c>
      <c r="AG58" s="4">
        <v>1874000</v>
      </c>
      <c r="AH58" s="4">
        <v>2339536</v>
      </c>
      <c r="AI58" s="4">
        <v>2805072</v>
      </c>
      <c r="AJ58" s="4">
        <v>3270608</v>
      </c>
      <c r="AK58" s="4">
        <v>3736144</v>
      </c>
      <c r="AL58" s="4">
        <v>4201680</v>
      </c>
      <c r="AM58" s="4">
        <v>4667217</v>
      </c>
      <c r="AN58" s="153">
        <v>378152</v>
      </c>
    </row>
    <row r="59" spans="1:40" x14ac:dyDescent="0.2">
      <c r="A59" s="1">
        <v>2022</v>
      </c>
      <c r="B59" s="2" t="s">
        <v>79</v>
      </c>
      <c r="C59" s="2" t="s">
        <v>79</v>
      </c>
      <c r="D59" s="1" t="s">
        <v>432</v>
      </c>
      <c r="E59" s="3">
        <v>8811565</v>
      </c>
      <c r="F59" s="3">
        <v>879</v>
      </c>
      <c r="G59" s="3">
        <v>29811</v>
      </c>
      <c r="H59" s="1">
        <v>0</v>
      </c>
      <c r="I59" s="3">
        <v>8810686</v>
      </c>
      <c r="J59" s="3">
        <v>8780875</v>
      </c>
      <c r="K59" s="3">
        <v>8780875</v>
      </c>
      <c r="L59" s="3">
        <v>190637</v>
      </c>
      <c r="M59" s="3">
        <v>766253</v>
      </c>
      <c r="N59" s="3">
        <v>104981</v>
      </c>
      <c r="O59" s="3">
        <v>82240</v>
      </c>
      <c r="P59" s="3">
        <v>438083</v>
      </c>
      <c r="Q59" s="3">
        <v>7228492</v>
      </c>
      <c r="R59" s="3">
        <v>7198681</v>
      </c>
      <c r="S59" s="3">
        <v>7198681</v>
      </c>
      <c r="T59" s="3">
        <v>881069</v>
      </c>
      <c r="U59" s="3">
        <v>881069</v>
      </c>
      <c r="V59" s="3">
        <v>881069</v>
      </c>
      <c r="W59" s="3">
        <v>881069</v>
      </c>
      <c r="X59" s="3">
        <v>876100</v>
      </c>
      <c r="Y59" s="3">
        <v>876100</v>
      </c>
      <c r="Z59" s="4">
        <v>876100</v>
      </c>
      <c r="AA59" s="4">
        <v>876100</v>
      </c>
      <c r="AB59" s="4">
        <v>876100</v>
      </c>
      <c r="AC59" s="4">
        <v>876099</v>
      </c>
      <c r="AD59" s="4">
        <v>881069</v>
      </c>
      <c r="AE59" s="4">
        <v>1762138</v>
      </c>
      <c r="AF59" s="4">
        <v>2643207</v>
      </c>
      <c r="AG59" s="4">
        <v>3524276</v>
      </c>
      <c r="AH59" s="4">
        <v>4400376</v>
      </c>
      <c r="AI59" s="4">
        <v>5276476</v>
      </c>
      <c r="AJ59" s="4">
        <v>6152576</v>
      </c>
      <c r="AK59" s="4">
        <v>7028676</v>
      </c>
      <c r="AL59" s="4">
        <v>7904776</v>
      </c>
      <c r="AM59" s="4">
        <v>8780875</v>
      </c>
      <c r="AN59" s="153">
        <v>576215</v>
      </c>
    </row>
    <row r="60" spans="1:40" x14ac:dyDescent="0.2">
      <c r="A60" s="1">
        <v>2022</v>
      </c>
      <c r="B60" s="2" t="s">
        <v>80</v>
      </c>
      <c r="C60" s="2" t="s">
        <v>80</v>
      </c>
      <c r="D60" s="1" t="s">
        <v>433</v>
      </c>
      <c r="E60" s="3">
        <v>10521871</v>
      </c>
      <c r="F60" s="3">
        <v>1360</v>
      </c>
      <c r="G60" s="3">
        <v>37129</v>
      </c>
      <c r="H60" s="1">
        <v>0</v>
      </c>
      <c r="I60" s="3">
        <v>10520511</v>
      </c>
      <c r="J60" s="3">
        <v>10483382</v>
      </c>
      <c r="K60" s="3">
        <v>10483382</v>
      </c>
      <c r="L60" s="3">
        <v>294947</v>
      </c>
      <c r="M60" s="3">
        <v>966793</v>
      </c>
      <c r="N60" s="3">
        <v>113122</v>
      </c>
      <c r="O60" s="3">
        <v>113919</v>
      </c>
      <c r="P60" s="3">
        <v>545631</v>
      </c>
      <c r="Q60" s="3">
        <v>8486099</v>
      </c>
      <c r="R60" s="3">
        <v>8448970</v>
      </c>
      <c r="S60" s="3">
        <v>8448970</v>
      </c>
      <c r="T60" s="3">
        <v>1052051</v>
      </c>
      <c r="U60" s="3">
        <v>1052051</v>
      </c>
      <c r="V60" s="3">
        <v>1052051</v>
      </c>
      <c r="W60" s="3">
        <v>1052051</v>
      </c>
      <c r="X60" s="3">
        <v>1045863</v>
      </c>
      <c r="Y60" s="3">
        <v>1045863</v>
      </c>
      <c r="Z60" s="4">
        <v>1045863</v>
      </c>
      <c r="AA60" s="4">
        <v>1045863</v>
      </c>
      <c r="AB60" s="4">
        <v>1045863</v>
      </c>
      <c r="AC60" s="4">
        <v>1045863</v>
      </c>
      <c r="AD60" s="4">
        <v>1052051</v>
      </c>
      <c r="AE60" s="4">
        <v>2104102</v>
      </c>
      <c r="AF60" s="4">
        <v>3156153</v>
      </c>
      <c r="AG60" s="4">
        <v>4208204</v>
      </c>
      <c r="AH60" s="4">
        <v>5254067</v>
      </c>
      <c r="AI60" s="4">
        <v>6299930</v>
      </c>
      <c r="AJ60" s="4">
        <v>7345793</v>
      </c>
      <c r="AK60" s="4">
        <v>8391656</v>
      </c>
      <c r="AL60" s="4">
        <v>9437519</v>
      </c>
      <c r="AM60" s="4">
        <v>10483382</v>
      </c>
      <c r="AN60" s="153">
        <v>805852</v>
      </c>
    </row>
    <row r="61" spans="1:40" x14ac:dyDescent="0.2">
      <c r="A61" s="1">
        <v>2022</v>
      </c>
      <c r="B61" s="2" t="s">
        <v>81</v>
      </c>
      <c r="C61" s="2" t="s">
        <v>81</v>
      </c>
      <c r="D61" s="1" t="s">
        <v>434</v>
      </c>
      <c r="E61" s="3">
        <v>1474768</v>
      </c>
      <c r="F61" s="1">
        <v>249</v>
      </c>
      <c r="G61" s="3">
        <v>6295</v>
      </c>
      <c r="H61" s="1">
        <v>0</v>
      </c>
      <c r="I61" s="3">
        <v>1474519</v>
      </c>
      <c r="J61" s="3">
        <v>1468224</v>
      </c>
      <c r="K61" s="3">
        <v>1468224</v>
      </c>
      <c r="L61" s="3">
        <v>53954</v>
      </c>
      <c r="M61" s="3">
        <v>182124</v>
      </c>
      <c r="N61" s="3">
        <v>20993</v>
      </c>
      <c r="O61" s="3">
        <v>19165</v>
      </c>
      <c r="P61" s="3">
        <v>92504</v>
      </c>
      <c r="Q61" s="3">
        <v>1105779</v>
      </c>
      <c r="R61" s="3">
        <v>1099484</v>
      </c>
      <c r="S61" s="3">
        <v>1099484</v>
      </c>
      <c r="T61" s="3">
        <v>147452</v>
      </c>
      <c r="U61" s="3">
        <v>147452</v>
      </c>
      <c r="V61" s="3">
        <v>147452</v>
      </c>
      <c r="W61" s="3">
        <v>147452</v>
      </c>
      <c r="X61" s="3">
        <v>146403</v>
      </c>
      <c r="Y61" s="3">
        <v>146403</v>
      </c>
      <c r="Z61" s="4">
        <v>146403</v>
      </c>
      <c r="AA61" s="4">
        <v>146403</v>
      </c>
      <c r="AB61" s="4">
        <v>146403</v>
      </c>
      <c r="AC61" s="4">
        <v>146401</v>
      </c>
      <c r="AD61" s="4">
        <v>147452</v>
      </c>
      <c r="AE61" s="4">
        <v>294904</v>
      </c>
      <c r="AF61" s="4">
        <v>442356</v>
      </c>
      <c r="AG61" s="4">
        <v>589808</v>
      </c>
      <c r="AH61" s="4">
        <v>736211</v>
      </c>
      <c r="AI61" s="4">
        <v>882614</v>
      </c>
      <c r="AJ61" s="4">
        <v>1029017</v>
      </c>
      <c r="AK61" s="4">
        <v>1175420</v>
      </c>
      <c r="AL61" s="4">
        <v>1321823</v>
      </c>
      <c r="AM61" s="4">
        <v>1468224</v>
      </c>
      <c r="AN61" s="153">
        <v>127517</v>
      </c>
    </row>
    <row r="62" spans="1:40" x14ac:dyDescent="0.2">
      <c r="A62" s="1">
        <v>2022</v>
      </c>
      <c r="B62" s="2" t="s">
        <v>82</v>
      </c>
      <c r="C62" s="2" t="s">
        <v>82</v>
      </c>
      <c r="D62" s="1" t="s">
        <v>435</v>
      </c>
      <c r="E62" s="3">
        <v>6884503</v>
      </c>
      <c r="F62" s="3">
        <v>597</v>
      </c>
      <c r="G62" s="3">
        <v>24435</v>
      </c>
      <c r="H62" s="1">
        <v>0</v>
      </c>
      <c r="I62" s="3">
        <v>6883906</v>
      </c>
      <c r="J62" s="3">
        <v>6859471</v>
      </c>
      <c r="K62" s="3">
        <v>6859471</v>
      </c>
      <c r="L62" s="3">
        <v>129489</v>
      </c>
      <c r="M62" s="3">
        <v>651311</v>
      </c>
      <c r="N62" s="3">
        <v>78438</v>
      </c>
      <c r="O62" s="3">
        <v>73285</v>
      </c>
      <c r="P62" s="3">
        <v>359088</v>
      </c>
      <c r="Q62" s="3">
        <v>5592295</v>
      </c>
      <c r="R62" s="3">
        <v>5567860</v>
      </c>
      <c r="S62" s="3">
        <v>5567860</v>
      </c>
      <c r="T62" s="3">
        <v>688391</v>
      </c>
      <c r="U62" s="3">
        <v>688391</v>
      </c>
      <c r="V62" s="3">
        <v>688391</v>
      </c>
      <c r="W62" s="3">
        <v>688391</v>
      </c>
      <c r="X62" s="3">
        <v>684318</v>
      </c>
      <c r="Y62" s="3">
        <v>684318</v>
      </c>
      <c r="Z62" s="4">
        <v>684318</v>
      </c>
      <c r="AA62" s="4">
        <v>684318</v>
      </c>
      <c r="AB62" s="4">
        <v>684318</v>
      </c>
      <c r="AC62" s="4">
        <v>684317</v>
      </c>
      <c r="AD62" s="4">
        <v>688391</v>
      </c>
      <c r="AE62" s="4">
        <v>1376782</v>
      </c>
      <c r="AF62" s="4">
        <v>2065173</v>
      </c>
      <c r="AG62" s="4">
        <v>2753564</v>
      </c>
      <c r="AH62" s="4">
        <v>3437882</v>
      </c>
      <c r="AI62" s="4">
        <v>4122200</v>
      </c>
      <c r="AJ62" s="4">
        <v>4806518</v>
      </c>
      <c r="AK62" s="4">
        <v>5490836</v>
      </c>
      <c r="AL62" s="4">
        <v>6175154</v>
      </c>
      <c r="AM62" s="4">
        <v>6859471</v>
      </c>
      <c r="AN62" s="153">
        <v>494552</v>
      </c>
    </row>
    <row r="63" spans="1:40" x14ac:dyDescent="0.2">
      <c r="A63" s="1">
        <v>2022</v>
      </c>
      <c r="B63" s="2" t="s">
        <v>83</v>
      </c>
      <c r="C63" s="2" t="s">
        <v>83</v>
      </c>
      <c r="D63" s="1" t="s">
        <v>436</v>
      </c>
      <c r="E63" s="3">
        <v>6167660</v>
      </c>
      <c r="F63" s="1">
        <v>580</v>
      </c>
      <c r="G63" s="3">
        <v>22430</v>
      </c>
      <c r="H63" s="1">
        <v>0</v>
      </c>
      <c r="I63" s="3">
        <v>6167080</v>
      </c>
      <c r="J63" s="3">
        <v>6144650</v>
      </c>
      <c r="K63" s="3">
        <v>6144650</v>
      </c>
      <c r="L63" s="3">
        <v>125893</v>
      </c>
      <c r="M63" s="3">
        <v>580969</v>
      </c>
      <c r="N63" s="3">
        <v>64395</v>
      </c>
      <c r="O63" s="3">
        <v>55282</v>
      </c>
      <c r="P63" s="3">
        <v>338027</v>
      </c>
      <c r="Q63" s="3">
        <v>5002514</v>
      </c>
      <c r="R63" s="3">
        <v>4980084</v>
      </c>
      <c r="S63" s="3">
        <v>4980084</v>
      </c>
      <c r="T63" s="3">
        <v>616708</v>
      </c>
      <c r="U63" s="3">
        <v>616708</v>
      </c>
      <c r="V63" s="3">
        <v>616708</v>
      </c>
      <c r="W63" s="3">
        <v>616708</v>
      </c>
      <c r="X63" s="3">
        <v>612970</v>
      </c>
      <c r="Y63" s="3">
        <v>612970</v>
      </c>
      <c r="Z63" s="4">
        <v>612970</v>
      </c>
      <c r="AA63" s="4">
        <v>612970</v>
      </c>
      <c r="AB63" s="4">
        <v>612970</v>
      </c>
      <c r="AC63" s="4">
        <v>612968</v>
      </c>
      <c r="AD63" s="4">
        <v>616708</v>
      </c>
      <c r="AE63" s="4">
        <v>1233416</v>
      </c>
      <c r="AF63" s="4">
        <v>1850124</v>
      </c>
      <c r="AG63" s="4">
        <v>2466832</v>
      </c>
      <c r="AH63" s="4">
        <v>3079802</v>
      </c>
      <c r="AI63" s="4">
        <v>3692772</v>
      </c>
      <c r="AJ63" s="4">
        <v>4305742</v>
      </c>
      <c r="AK63" s="4">
        <v>4918712</v>
      </c>
      <c r="AL63" s="4">
        <v>5531682</v>
      </c>
      <c r="AM63" s="4">
        <v>6144650</v>
      </c>
      <c r="AN63" s="153">
        <v>453785</v>
      </c>
    </row>
    <row r="64" spans="1:40" x14ac:dyDescent="0.2">
      <c r="A64" s="1">
        <v>2022</v>
      </c>
      <c r="B64" s="2" t="s">
        <v>84</v>
      </c>
      <c r="C64" s="2" t="s">
        <v>84</v>
      </c>
      <c r="D64" s="1" t="s">
        <v>437</v>
      </c>
      <c r="E64" s="3">
        <v>5547460</v>
      </c>
      <c r="F64" s="3">
        <v>945</v>
      </c>
      <c r="G64" s="3">
        <v>22476</v>
      </c>
      <c r="H64" s="1">
        <v>0</v>
      </c>
      <c r="I64" s="3">
        <v>5546515</v>
      </c>
      <c r="J64" s="3">
        <v>5524039</v>
      </c>
      <c r="K64" s="3">
        <v>5524039</v>
      </c>
      <c r="L64" s="3">
        <v>205025</v>
      </c>
      <c r="M64" s="3">
        <v>599400</v>
      </c>
      <c r="N64" s="3">
        <v>73667</v>
      </c>
      <c r="O64" s="3">
        <v>67544</v>
      </c>
      <c r="P64" s="3">
        <v>331822</v>
      </c>
      <c r="Q64" s="3">
        <v>4269057</v>
      </c>
      <c r="R64" s="3">
        <v>4246581</v>
      </c>
      <c r="S64" s="3">
        <v>4246581</v>
      </c>
      <c r="T64" s="3">
        <v>554652</v>
      </c>
      <c r="U64" s="3">
        <v>554652</v>
      </c>
      <c r="V64" s="3">
        <v>554652</v>
      </c>
      <c r="W64" s="3">
        <v>554652</v>
      </c>
      <c r="X64" s="3">
        <v>550905</v>
      </c>
      <c r="Y64" s="3">
        <v>550905</v>
      </c>
      <c r="Z64" s="4">
        <v>550905</v>
      </c>
      <c r="AA64" s="4">
        <v>550905</v>
      </c>
      <c r="AB64" s="4">
        <v>550905</v>
      </c>
      <c r="AC64" s="4">
        <v>550906</v>
      </c>
      <c r="AD64" s="4">
        <v>554652</v>
      </c>
      <c r="AE64" s="4">
        <v>1109304</v>
      </c>
      <c r="AF64" s="4">
        <v>1663956</v>
      </c>
      <c r="AG64" s="4">
        <v>2218608</v>
      </c>
      <c r="AH64" s="4">
        <v>2769513</v>
      </c>
      <c r="AI64" s="4">
        <v>3320418</v>
      </c>
      <c r="AJ64" s="4">
        <v>3871323</v>
      </c>
      <c r="AK64" s="4">
        <v>4422228</v>
      </c>
      <c r="AL64" s="4">
        <v>4973133</v>
      </c>
      <c r="AM64" s="4">
        <v>5524039</v>
      </c>
      <c r="AN64" s="153">
        <v>457290</v>
      </c>
    </row>
    <row r="65" spans="1:40" x14ac:dyDescent="0.2">
      <c r="A65" s="1">
        <v>2022</v>
      </c>
      <c r="B65" s="2" t="s">
        <v>85</v>
      </c>
      <c r="C65" s="2" t="s">
        <v>85</v>
      </c>
      <c r="D65" s="1" t="s">
        <v>438</v>
      </c>
      <c r="E65" s="3">
        <v>10265281</v>
      </c>
      <c r="F65" s="1">
        <v>647</v>
      </c>
      <c r="G65" s="3">
        <v>33578</v>
      </c>
      <c r="H65" s="1">
        <v>0</v>
      </c>
      <c r="I65" s="3">
        <v>10264634</v>
      </c>
      <c r="J65" s="3">
        <v>10231056</v>
      </c>
      <c r="K65" s="3">
        <v>10231056</v>
      </c>
      <c r="L65" s="3">
        <v>140280</v>
      </c>
      <c r="M65" s="3">
        <v>876178</v>
      </c>
      <c r="N65" s="3">
        <v>114530</v>
      </c>
      <c r="O65" s="3">
        <v>91078</v>
      </c>
      <c r="P65" s="3">
        <v>493445</v>
      </c>
      <c r="Q65" s="3">
        <v>8549123</v>
      </c>
      <c r="R65" s="3">
        <v>8515545</v>
      </c>
      <c r="S65" s="3">
        <v>8515545</v>
      </c>
      <c r="T65" s="3">
        <v>1026463</v>
      </c>
      <c r="U65" s="3">
        <v>1026463</v>
      </c>
      <c r="V65" s="3">
        <v>1026463</v>
      </c>
      <c r="W65" s="3">
        <v>1026463</v>
      </c>
      <c r="X65" s="3">
        <v>1020867</v>
      </c>
      <c r="Y65" s="3">
        <v>1020867</v>
      </c>
      <c r="Z65" s="4">
        <v>1020868</v>
      </c>
      <c r="AA65" s="4">
        <v>1020868</v>
      </c>
      <c r="AB65" s="4">
        <v>1020868</v>
      </c>
      <c r="AC65" s="4">
        <v>1020866</v>
      </c>
      <c r="AD65" s="4">
        <v>1026463</v>
      </c>
      <c r="AE65" s="4">
        <v>2052926</v>
      </c>
      <c r="AF65" s="4">
        <v>3079389</v>
      </c>
      <c r="AG65" s="4">
        <v>4105852</v>
      </c>
      <c r="AH65" s="4">
        <v>5126719</v>
      </c>
      <c r="AI65" s="4">
        <v>6147586</v>
      </c>
      <c r="AJ65" s="4">
        <v>7168454</v>
      </c>
      <c r="AK65" s="4">
        <v>8189322</v>
      </c>
      <c r="AL65" s="4">
        <v>9210190</v>
      </c>
      <c r="AM65" s="4">
        <v>10231056</v>
      </c>
      <c r="AN65" s="153">
        <v>675063</v>
      </c>
    </row>
    <row r="66" spans="1:40" x14ac:dyDescent="0.2">
      <c r="A66" s="1">
        <v>2022</v>
      </c>
      <c r="B66" s="2" t="s">
        <v>86</v>
      </c>
      <c r="C66" s="2" t="s">
        <v>86</v>
      </c>
      <c r="D66" s="1" t="s">
        <v>439</v>
      </c>
      <c r="E66" s="3">
        <v>2037250</v>
      </c>
      <c r="F66" s="3">
        <v>182</v>
      </c>
      <c r="G66" s="3">
        <v>7117</v>
      </c>
      <c r="H66" s="1">
        <v>0</v>
      </c>
      <c r="I66" s="3">
        <v>2037068</v>
      </c>
      <c r="J66" s="3">
        <v>2029951</v>
      </c>
      <c r="K66" s="3">
        <v>2029951</v>
      </c>
      <c r="L66" s="3">
        <v>39567</v>
      </c>
      <c r="M66" s="3">
        <v>212434</v>
      </c>
      <c r="N66" s="3">
        <v>23507</v>
      </c>
      <c r="O66" s="3">
        <v>22800</v>
      </c>
      <c r="P66" s="3">
        <v>104581</v>
      </c>
      <c r="Q66" s="3">
        <v>1634179</v>
      </c>
      <c r="R66" s="3">
        <v>1627062</v>
      </c>
      <c r="S66" s="3">
        <v>1627062</v>
      </c>
      <c r="T66" s="3">
        <v>203707</v>
      </c>
      <c r="U66" s="3">
        <v>203707</v>
      </c>
      <c r="V66" s="3">
        <v>203707</v>
      </c>
      <c r="W66" s="3">
        <v>203707</v>
      </c>
      <c r="X66" s="3">
        <v>202521</v>
      </c>
      <c r="Y66" s="3">
        <v>202521</v>
      </c>
      <c r="Z66" s="4">
        <v>202520</v>
      </c>
      <c r="AA66" s="4">
        <v>202520</v>
      </c>
      <c r="AB66" s="4">
        <v>202520</v>
      </c>
      <c r="AC66" s="4">
        <v>202521</v>
      </c>
      <c r="AD66" s="4">
        <v>203707</v>
      </c>
      <c r="AE66" s="4">
        <v>407414</v>
      </c>
      <c r="AF66" s="4">
        <v>611121</v>
      </c>
      <c r="AG66" s="4">
        <v>814828</v>
      </c>
      <c r="AH66" s="4">
        <v>1017349</v>
      </c>
      <c r="AI66" s="4">
        <v>1219870</v>
      </c>
      <c r="AJ66" s="4">
        <v>1422390</v>
      </c>
      <c r="AK66" s="4">
        <v>1624910</v>
      </c>
      <c r="AL66" s="4">
        <v>1827430</v>
      </c>
      <c r="AM66" s="4">
        <v>2029951</v>
      </c>
      <c r="AN66" s="153">
        <v>152003</v>
      </c>
    </row>
    <row r="67" spans="1:40" x14ac:dyDescent="0.2">
      <c r="A67" s="1">
        <v>2022</v>
      </c>
      <c r="B67" s="2" t="s">
        <v>87</v>
      </c>
      <c r="C67" s="2" t="s">
        <v>87</v>
      </c>
      <c r="D67" s="1" t="s">
        <v>440</v>
      </c>
      <c r="E67" s="3">
        <v>1277317</v>
      </c>
      <c r="F67" s="3">
        <v>83</v>
      </c>
      <c r="G67" s="3">
        <v>7459</v>
      </c>
      <c r="H67" s="1">
        <v>0</v>
      </c>
      <c r="I67" s="3">
        <v>1277234</v>
      </c>
      <c r="J67" s="3">
        <v>1269775</v>
      </c>
      <c r="K67" s="3">
        <v>1269775</v>
      </c>
      <c r="L67" s="3">
        <v>17985</v>
      </c>
      <c r="M67" s="3">
        <v>212606</v>
      </c>
      <c r="N67" s="3">
        <v>21625</v>
      </c>
      <c r="O67" s="3">
        <v>23418</v>
      </c>
      <c r="P67" s="3">
        <v>109608</v>
      </c>
      <c r="Q67" s="3">
        <v>891992</v>
      </c>
      <c r="R67" s="3">
        <v>884533</v>
      </c>
      <c r="S67" s="3">
        <v>884533</v>
      </c>
      <c r="T67" s="3">
        <v>127723</v>
      </c>
      <c r="U67" s="3">
        <v>127723</v>
      </c>
      <c r="V67" s="3">
        <v>127723</v>
      </c>
      <c r="W67" s="3">
        <v>127723</v>
      </c>
      <c r="X67" s="3">
        <v>126481</v>
      </c>
      <c r="Y67" s="3">
        <v>126481</v>
      </c>
      <c r="Z67" s="4">
        <v>126480</v>
      </c>
      <c r="AA67" s="4">
        <v>126480</v>
      </c>
      <c r="AB67" s="4">
        <v>126480</v>
      </c>
      <c r="AC67" s="4">
        <v>126481</v>
      </c>
      <c r="AD67" s="4">
        <v>127723</v>
      </c>
      <c r="AE67" s="4">
        <v>255446</v>
      </c>
      <c r="AF67" s="4">
        <v>383169</v>
      </c>
      <c r="AG67" s="4">
        <v>510892</v>
      </c>
      <c r="AH67" s="4">
        <v>637373</v>
      </c>
      <c r="AI67" s="4">
        <v>763854</v>
      </c>
      <c r="AJ67" s="4">
        <v>890334</v>
      </c>
      <c r="AK67" s="4">
        <v>1016814</v>
      </c>
      <c r="AL67" s="4">
        <v>1143294</v>
      </c>
      <c r="AM67" s="4">
        <v>1269775</v>
      </c>
      <c r="AN67" s="153">
        <v>157868</v>
      </c>
    </row>
    <row r="68" spans="1:40" x14ac:dyDescent="0.2">
      <c r="A68" s="1">
        <v>2022</v>
      </c>
      <c r="B68" s="2" t="s">
        <v>88</v>
      </c>
      <c r="C68" s="2" t="s">
        <v>88</v>
      </c>
      <c r="D68" s="1" t="s">
        <v>441</v>
      </c>
      <c r="E68" s="3">
        <v>15593988</v>
      </c>
      <c r="F68" s="3">
        <v>2654</v>
      </c>
      <c r="G68" s="3">
        <v>62339</v>
      </c>
      <c r="H68" s="1">
        <v>0</v>
      </c>
      <c r="I68" s="3">
        <v>15591334</v>
      </c>
      <c r="J68" s="3">
        <v>15528995</v>
      </c>
      <c r="K68" s="3">
        <v>15528995</v>
      </c>
      <c r="L68" s="3">
        <v>575506</v>
      </c>
      <c r="M68" s="3">
        <v>1633951</v>
      </c>
      <c r="N68" s="3">
        <v>163421</v>
      </c>
      <c r="O68" s="3">
        <v>178118</v>
      </c>
      <c r="P68" s="3">
        <v>916099</v>
      </c>
      <c r="Q68" s="3">
        <v>12124239</v>
      </c>
      <c r="R68" s="3">
        <v>12061900</v>
      </c>
      <c r="S68" s="3">
        <v>12061900</v>
      </c>
      <c r="T68" s="3">
        <v>1559133</v>
      </c>
      <c r="U68" s="3">
        <v>1559133</v>
      </c>
      <c r="V68" s="3">
        <v>1559133</v>
      </c>
      <c r="W68" s="3">
        <v>1559133</v>
      </c>
      <c r="X68" s="3">
        <v>1548744</v>
      </c>
      <c r="Y68" s="3">
        <v>1548744</v>
      </c>
      <c r="Z68" s="4">
        <v>1548744</v>
      </c>
      <c r="AA68" s="4">
        <v>1548744</v>
      </c>
      <c r="AB68" s="4">
        <v>1548744</v>
      </c>
      <c r="AC68" s="4">
        <v>1548743</v>
      </c>
      <c r="AD68" s="4">
        <v>1559133</v>
      </c>
      <c r="AE68" s="4">
        <v>3118266</v>
      </c>
      <c r="AF68" s="4">
        <v>4677399</v>
      </c>
      <c r="AG68" s="4">
        <v>6236532</v>
      </c>
      <c r="AH68" s="4">
        <v>7785276</v>
      </c>
      <c r="AI68" s="4">
        <v>9334020</v>
      </c>
      <c r="AJ68" s="4">
        <v>10882764</v>
      </c>
      <c r="AK68" s="4">
        <v>12431508</v>
      </c>
      <c r="AL68" s="4">
        <v>13980252</v>
      </c>
      <c r="AM68" s="4">
        <v>15528995</v>
      </c>
      <c r="AN68" s="153">
        <v>1292635</v>
      </c>
    </row>
    <row r="69" spans="1:40" x14ac:dyDescent="0.2">
      <c r="A69" s="1">
        <v>2022</v>
      </c>
      <c r="B69" s="2" t="s">
        <v>89</v>
      </c>
      <c r="C69" s="2" t="s">
        <v>89</v>
      </c>
      <c r="D69" s="1" t="s">
        <v>442</v>
      </c>
      <c r="E69" s="3">
        <v>5613866</v>
      </c>
      <c r="F69" s="3">
        <v>1061</v>
      </c>
      <c r="G69" s="3">
        <v>28896</v>
      </c>
      <c r="H69" s="1">
        <v>0</v>
      </c>
      <c r="I69" s="3">
        <v>5612805</v>
      </c>
      <c r="J69" s="3">
        <v>5583909</v>
      </c>
      <c r="K69" s="3">
        <v>5583909</v>
      </c>
      <c r="L69" s="3">
        <v>230203</v>
      </c>
      <c r="M69" s="3">
        <v>728379</v>
      </c>
      <c r="N69" s="3">
        <v>83902</v>
      </c>
      <c r="O69" s="3">
        <v>80167</v>
      </c>
      <c r="P69" s="3">
        <v>424644</v>
      </c>
      <c r="Q69" s="3">
        <v>4065510</v>
      </c>
      <c r="R69" s="3">
        <v>4036614</v>
      </c>
      <c r="S69" s="3">
        <v>4036614</v>
      </c>
      <c r="T69" s="3">
        <v>561281</v>
      </c>
      <c r="U69" s="3">
        <v>561281</v>
      </c>
      <c r="V69" s="3">
        <v>561281</v>
      </c>
      <c r="W69" s="3">
        <v>561281</v>
      </c>
      <c r="X69" s="3">
        <v>556464</v>
      </c>
      <c r="Y69" s="3">
        <v>556464</v>
      </c>
      <c r="Z69" s="4">
        <v>556464</v>
      </c>
      <c r="AA69" s="4">
        <v>556464</v>
      </c>
      <c r="AB69" s="4">
        <v>556464</v>
      </c>
      <c r="AC69" s="4">
        <v>556465</v>
      </c>
      <c r="AD69" s="4">
        <v>561281</v>
      </c>
      <c r="AE69" s="4">
        <v>1122562</v>
      </c>
      <c r="AF69" s="4">
        <v>1683843</v>
      </c>
      <c r="AG69" s="4">
        <v>2245124</v>
      </c>
      <c r="AH69" s="4">
        <v>2801588</v>
      </c>
      <c r="AI69" s="4">
        <v>3358052</v>
      </c>
      <c r="AJ69" s="4">
        <v>3914516</v>
      </c>
      <c r="AK69" s="4">
        <v>4470980</v>
      </c>
      <c r="AL69" s="4">
        <v>5027444</v>
      </c>
      <c r="AM69" s="4">
        <v>5583909</v>
      </c>
      <c r="AN69" s="153">
        <v>609726</v>
      </c>
    </row>
    <row r="70" spans="1:40" x14ac:dyDescent="0.2">
      <c r="A70" s="1">
        <v>2022</v>
      </c>
      <c r="B70" s="2" t="s">
        <v>90</v>
      </c>
      <c r="C70" s="2" t="s">
        <v>90</v>
      </c>
      <c r="D70" s="1" t="s">
        <v>443</v>
      </c>
      <c r="E70" s="3">
        <v>29042881</v>
      </c>
      <c r="F70" s="3">
        <v>2819</v>
      </c>
      <c r="G70" s="3">
        <v>86764</v>
      </c>
      <c r="H70" s="1">
        <v>0</v>
      </c>
      <c r="I70" s="3">
        <v>29040062</v>
      </c>
      <c r="J70" s="3">
        <v>28953298</v>
      </c>
      <c r="K70" s="3">
        <v>28953298</v>
      </c>
      <c r="L70" s="3">
        <v>611476</v>
      </c>
      <c r="M70" s="3">
        <v>2270117</v>
      </c>
      <c r="N70" s="3">
        <v>303247</v>
      </c>
      <c r="O70" s="3">
        <v>261314</v>
      </c>
      <c r="P70" s="3">
        <v>1275048</v>
      </c>
      <c r="Q70" s="3">
        <v>24318860</v>
      </c>
      <c r="R70" s="3">
        <v>24232096</v>
      </c>
      <c r="S70" s="3">
        <v>24232096</v>
      </c>
      <c r="T70" s="3">
        <v>2904006</v>
      </c>
      <c r="U70" s="3">
        <v>2904006</v>
      </c>
      <c r="V70" s="3">
        <v>2904006</v>
      </c>
      <c r="W70" s="3">
        <v>2904006</v>
      </c>
      <c r="X70" s="3">
        <v>2889546</v>
      </c>
      <c r="Y70" s="3">
        <v>2889546</v>
      </c>
      <c r="Z70" s="4">
        <v>2889546</v>
      </c>
      <c r="AA70" s="4">
        <v>2889546</v>
      </c>
      <c r="AB70" s="4">
        <v>2889546</v>
      </c>
      <c r="AC70" s="4">
        <v>2889544</v>
      </c>
      <c r="AD70" s="4">
        <v>2904006</v>
      </c>
      <c r="AE70" s="4">
        <v>5808012</v>
      </c>
      <c r="AF70" s="4">
        <v>8712018</v>
      </c>
      <c r="AG70" s="4">
        <v>11616024</v>
      </c>
      <c r="AH70" s="4">
        <v>14505570</v>
      </c>
      <c r="AI70" s="4">
        <v>17395116</v>
      </c>
      <c r="AJ70" s="4">
        <v>20284662</v>
      </c>
      <c r="AK70" s="4">
        <v>23174208</v>
      </c>
      <c r="AL70" s="4">
        <v>26063754</v>
      </c>
      <c r="AM70" s="4">
        <v>28953298</v>
      </c>
      <c r="AN70" s="153">
        <v>1806604</v>
      </c>
    </row>
    <row r="71" spans="1:40" x14ac:dyDescent="0.2">
      <c r="A71" s="1">
        <v>2022</v>
      </c>
      <c r="B71" s="2" t="s">
        <v>91</v>
      </c>
      <c r="C71" s="2" t="s">
        <v>91</v>
      </c>
      <c r="D71" s="1" t="s">
        <v>444</v>
      </c>
      <c r="E71" s="3">
        <v>4910973</v>
      </c>
      <c r="F71" s="3">
        <v>663</v>
      </c>
      <c r="G71" s="3">
        <v>17335</v>
      </c>
      <c r="H71" s="1">
        <v>0</v>
      </c>
      <c r="I71" s="3">
        <v>4910310</v>
      </c>
      <c r="J71" s="3">
        <v>4892975</v>
      </c>
      <c r="K71" s="3">
        <v>4892975</v>
      </c>
      <c r="L71" s="3">
        <v>147401</v>
      </c>
      <c r="M71" s="3">
        <v>462236</v>
      </c>
      <c r="N71" s="3">
        <v>53275</v>
      </c>
      <c r="O71" s="3">
        <v>45553</v>
      </c>
      <c r="P71" s="3">
        <v>260372</v>
      </c>
      <c r="Q71" s="3">
        <v>3941473</v>
      </c>
      <c r="R71" s="3">
        <v>3924138</v>
      </c>
      <c r="S71" s="3">
        <v>3924138</v>
      </c>
      <c r="T71" s="3">
        <v>491031</v>
      </c>
      <c r="U71" s="3">
        <v>491031</v>
      </c>
      <c r="V71" s="3">
        <v>491031</v>
      </c>
      <c r="W71" s="3">
        <v>491031</v>
      </c>
      <c r="X71" s="3">
        <v>488142</v>
      </c>
      <c r="Y71" s="3">
        <v>488142</v>
      </c>
      <c r="Z71" s="4">
        <v>488142</v>
      </c>
      <c r="AA71" s="4">
        <v>488142</v>
      </c>
      <c r="AB71" s="4">
        <v>488142</v>
      </c>
      <c r="AC71" s="4">
        <v>488141</v>
      </c>
      <c r="AD71" s="4">
        <v>491031</v>
      </c>
      <c r="AE71" s="4">
        <v>982062</v>
      </c>
      <c r="AF71" s="4">
        <v>1473093</v>
      </c>
      <c r="AG71" s="4">
        <v>1964124</v>
      </c>
      <c r="AH71" s="4">
        <v>2452266</v>
      </c>
      <c r="AI71" s="4">
        <v>2940408</v>
      </c>
      <c r="AJ71" s="4">
        <v>3428550</v>
      </c>
      <c r="AK71" s="4">
        <v>3916692</v>
      </c>
      <c r="AL71" s="4">
        <v>4404834</v>
      </c>
      <c r="AM71" s="4">
        <v>4892975</v>
      </c>
      <c r="AN71" s="153">
        <v>336433</v>
      </c>
    </row>
    <row r="72" spans="1:40" x14ac:dyDescent="0.2">
      <c r="A72" s="1">
        <v>2022</v>
      </c>
      <c r="B72" s="2" t="s">
        <v>92</v>
      </c>
      <c r="C72" s="2" t="s">
        <v>92</v>
      </c>
      <c r="D72" s="1" t="s">
        <v>445</v>
      </c>
      <c r="E72" s="3">
        <v>29786610</v>
      </c>
      <c r="F72" s="3">
        <v>3964</v>
      </c>
      <c r="G72" s="3">
        <v>120889</v>
      </c>
      <c r="H72" s="1">
        <v>0</v>
      </c>
      <c r="I72" s="3">
        <v>29782646</v>
      </c>
      <c r="J72" s="3">
        <v>29661757</v>
      </c>
      <c r="K72" s="3">
        <v>29661757</v>
      </c>
      <c r="L72" s="3">
        <v>859663</v>
      </c>
      <c r="M72" s="3">
        <v>3008794</v>
      </c>
      <c r="N72" s="3">
        <v>387805</v>
      </c>
      <c r="O72" s="3">
        <v>369687</v>
      </c>
      <c r="P72" s="3">
        <v>1776522</v>
      </c>
      <c r="Q72" s="3">
        <v>23380175</v>
      </c>
      <c r="R72" s="3">
        <v>23259286</v>
      </c>
      <c r="S72" s="3">
        <v>23259286</v>
      </c>
      <c r="T72" s="3">
        <v>2978265</v>
      </c>
      <c r="U72" s="3">
        <v>2978265</v>
      </c>
      <c r="V72" s="3">
        <v>2978265</v>
      </c>
      <c r="W72" s="3">
        <v>2978265</v>
      </c>
      <c r="X72" s="3">
        <v>2958116</v>
      </c>
      <c r="Y72" s="3">
        <v>2958116</v>
      </c>
      <c r="Z72" s="4">
        <v>2958116</v>
      </c>
      <c r="AA72" s="4">
        <v>2958116</v>
      </c>
      <c r="AB72" s="4">
        <v>2958116</v>
      </c>
      <c r="AC72" s="4">
        <v>2958117</v>
      </c>
      <c r="AD72" s="4">
        <v>2978265</v>
      </c>
      <c r="AE72" s="4">
        <v>5956530</v>
      </c>
      <c r="AF72" s="4">
        <v>8934795</v>
      </c>
      <c r="AG72" s="4">
        <v>11913060</v>
      </c>
      <c r="AH72" s="4">
        <v>14871176</v>
      </c>
      <c r="AI72" s="4">
        <v>17829292</v>
      </c>
      <c r="AJ72" s="4">
        <v>20787408</v>
      </c>
      <c r="AK72" s="4">
        <v>23745524</v>
      </c>
      <c r="AL72" s="4">
        <v>26703640</v>
      </c>
      <c r="AM72" s="4">
        <v>29661757</v>
      </c>
      <c r="AN72" s="153">
        <v>2481035</v>
      </c>
    </row>
    <row r="73" spans="1:40" x14ac:dyDescent="0.2">
      <c r="A73" s="1">
        <v>2022</v>
      </c>
      <c r="B73" s="2" t="s">
        <v>93</v>
      </c>
      <c r="C73" s="2" t="s">
        <v>93</v>
      </c>
      <c r="D73" s="1" t="s">
        <v>446</v>
      </c>
      <c r="E73" s="3">
        <v>2815540</v>
      </c>
      <c r="F73" s="1">
        <v>265</v>
      </c>
      <c r="G73" s="3">
        <v>10433</v>
      </c>
      <c r="H73" s="1">
        <v>0</v>
      </c>
      <c r="I73" s="3">
        <v>2815275</v>
      </c>
      <c r="J73" s="3">
        <v>2804842</v>
      </c>
      <c r="K73" s="3">
        <v>2804842</v>
      </c>
      <c r="L73" s="3">
        <v>57551</v>
      </c>
      <c r="M73" s="3">
        <v>280565</v>
      </c>
      <c r="N73" s="3">
        <v>31513</v>
      </c>
      <c r="O73" s="3">
        <v>28851</v>
      </c>
      <c r="P73" s="3">
        <v>153312</v>
      </c>
      <c r="Q73" s="3">
        <v>2263483</v>
      </c>
      <c r="R73" s="3">
        <v>2253050</v>
      </c>
      <c r="S73" s="3">
        <v>2253050</v>
      </c>
      <c r="T73" s="3">
        <v>281528</v>
      </c>
      <c r="U73" s="3">
        <v>281528</v>
      </c>
      <c r="V73" s="3">
        <v>281528</v>
      </c>
      <c r="W73" s="3">
        <v>281528</v>
      </c>
      <c r="X73" s="3">
        <v>279788</v>
      </c>
      <c r="Y73" s="3">
        <v>279788</v>
      </c>
      <c r="Z73" s="4">
        <v>279789</v>
      </c>
      <c r="AA73" s="4">
        <v>279789</v>
      </c>
      <c r="AB73" s="4">
        <v>279789</v>
      </c>
      <c r="AC73" s="4">
        <v>279787</v>
      </c>
      <c r="AD73" s="4">
        <v>281528</v>
      </c>
      <c r="AE73" s="4">
        <v>563056</v>
      </c>
      <c r="AF73" s="4">
        <v>844584</v>
      </c>
      <c r="AG73" s="4">
        <v>1126112</v>
      </c>
      <c r="AH73" s="4">
        <v>1405900</v>
      </c>
      <c r="AI73" s="4">
        <v>1685688</v>
      </c>
      <c r="AJ73" s="4">
        <v>1965477</v>
      </c>
      <c r="AK73" s="4">
        <v>2245266</v>
      </c>
      <c r="AL73" s="4">
        <v>2525055</v>
      </c>
      <c r="AM73" s="4">
        <v>2804842</v>
      </c>
      <c r="AN73" s="153">
        <v>201291</v>
      </c>
    </row>
    <row r="74" spans="1:40" x14ac:dyDescent="0.2">
      <c r="A74" s="1">
        <v>2022</v>
      </c>
      <c r="B74" s="2" t="s">
        <v>94</v>
      </c>
      <c r="C74" s="2" t="s">
        <v>94</v>
      </c>
      <c r="D74" s="1" t="s">
        <v>447</v>
      </c>
      <c r="E74" s="3">
        <v>2434921</v>
      </c>
      <c r="F74" s="3">
        <v>464</v>
      </c>
      <c r="G74" s="3">
        <v>11573</v>
      </c>
      <c r="H74" s="1">
        <v>0</v>
      </c>
      <c r="I74" s="3">
        <v>2434457</v>
      </c>
      <c r="J74" s="3">
        <v>2422884</v>
      </c>
      <c r="K74" s="3">
        <v>2422884</v>
      </c>
      <c r="L74" s="3">
        <v>100714</v>
      </c>
      <c r="M74" s="3">
        <v>335191</v>
      </c>
      <c r="N74" s="3">
        <v>35799</v>
      </c>
      <c r="O74" s="3">
        <v>33690</v>
      </c>
      <c r="P74" s="3">
        <v>174536</v>
      </c>
      <c r="Q74" s="3">
        <v>1754527</v>
      </c>
      <c r="R74" s="3">
        <v>1742954</v>
      </c>
      <c r="S74" s="3">
        <v>1742954</v>
      </c>
      <c r="T74" s="3">
        <v>243446</v>
      </c>
      <c r="U74" s="3">
        <v>243446</v>
      </c>
      <c r="V74" s="3">
        <v>243446</v>
      </c>
      <c r="W74" s="3">
        <v>243446</v>
      </c>
      <c r="X74" s="3">
        <v>241517</v>
      </c>
      <c r="Y74" s="3">
        <v>241517</v>
      </c>
      <c r="Z74" s="4">
        <v>241517</v>
      </c>
      <c r="AA74" s="4">
        <v>241517</v>
      </c>
      <c r="AB74" s="4">
        <v>241517</v>
      </c>
      <c r="AC74" s="4">
        <v>241515</v>
      </c>
      <c r="AD74" s="4">
        <v>243446</v>
      </c>
      <c r="AE74" s="4">
        <v>486892</v>
      </c>
      <c r="AF74" s="4">
        <v>730338</v>
      </c>
      <c r="AG74" s="4">
        <v>973784</v>
      </c>
      <c r="AH74" s="4">
        <v>1215301</v>
      </c>
      <c r="AI74" s="4">
        <v>1456818</v>
      </c>
      <c r="AJ74" s="4">
        <v>1698335</v>
      </c>
      <c r="AK74" s="4">
        <v>1939852</v>
      </c>
      <c r="AL74" s="4">
        <v>2181369</v>
      </c>
      <c r="AM74" s="4">
        <v>2422884</v>
      </c>
      <c r="AN74" s="153">
        <v>215823</v>
      </c>
    </row>
    <row r="75" spans="1:40" x14ac:dyDescent="0.2">
      <c r="A75" s="1">
        <v>2022</v>
      </c>
      <c r="B75" s="2" t="s">
        <v>95</v>
      </c>
      <c r="C75" s="2" t="s">
        <v>95</v>
      </c>
      <c r="D75" s="1" t="s">
        <v>448</v>
      </c>
      <c r="E75" s="3">
        <v>5131635</v>
      </c>
      <c r="F75" s="1">
        <v>547</v>
      </c>
      <c r="G75" s="3">
        <v>17696</v>
      </c>
      <c r="H75" s="1">
        <v>0</v>
      </c>
      <c r="I75" s="3">
        <v>5131088</v>
      </c>
      <c r="J75" s="3">
        <v>5113392</v>
      </c>
      <c r="K75" s="3">
        <v>5113392</v>
      </c>
      <c r="L75" s="3">
        <v>118699</v>
      </c>
      <c r="M75" s="3">
        <v>488692</v>
      </c>
      <c r="N75" s="3">
        <v>60337</v>
      </c>
      <c r="O75" s="3">
        <v>58072</v>
      </c>
      <c r="P75" s="3">
        <v>260057</v>
      </c>
      <c r="Q75" s="3">
        <v>4145231</v>
      </c>
      <c r="R75" s="3">
        <v>4127535</v>
      </c>
      <c r="S75" s="3">
        <v>4127535</v>
      </c>
      <c r="T75" s="3">
        <v>513109</v>
      </c>
      <c r="U75" s="3">
        <v>513109</v>
      </c>
      <c r="V75" s="3">
        <v>513109</v>
      </c>
      <c r="W75" s="3">
        <v>513109</v>
      </c>
      <c r="X75" s="3">
        <v>510159</v>
      </c>
      <c r="Y75" s="3">
        <v>510159</v>
      </c>
      <c r="Z75" s="4">
        <v>510160</v>
      </c>
      <c r="AA75" s="4">
        <v>510160</v>
      </c>
      <c r="AB75" s="4">
        <v>510160</v>
      </c>
      <c r="AC75" s="4">
        <v>510158</v>
      </c>
      <c r="AD75" s="4">
        <v>513109</v>
      </c>
      <c r="AE75" s="4">
        <v>1026218</v>
      </c>
      <c r="AF75" s="4">
        <v>1539327</v>
      </c>
      <c r="AG75" s="4">
        <v>2052436</v>
      </c>
      <c r="AH75" s="4">
        <v>2562595</v>
      </c>
      <c r="AI75" s="4">
        <v>3072754</v>
      </c>
      <c r="AJ75" s="4">
        <v>3582914</v>
      </c>
      <c r="AK75" s="4">
        <v>4093074</v>
      </c>
      <c r="AL75" s="4">
        <v>4603234</v>
      </c>
      <c r="AM75" s="4">
        <v>5113392</v>
      </c>
      <c r="AN75" s="153">
        <v>370165</v>
      </c>
    </row>
    <row r="76" spans="1:40" x14ac:dyDescent="0.2">
      <c r="A76" s="1">
        <v>2022</v>
      </c>
      <c r="B76" s="2" t="s">
        <v>96</v>
      </c>
      <c r="C76" s="2" t="s">
        <v>96</v>
      </c>
      <c r="D76" s="1" t="s">
        <v>449</v>
      </c>
      <c r="E76" s="3">
        <v>2632404</v>
      </c>
      <c r="F76" s="3">
        <v>348</v>
      </c>
      <c r="G76" s="3">
        <v>10093</v>
      </c>
      <c r="H76" s="3">
        <v>0</v>
      </c>
      <c r="I76" s="3">
        <v>2632056</v>
      </c>
      <c r="J76" s="3">
        <v>2621963</v>
      </c>
      <c r="K76" s="3">
        <v>2621963</v>
      </c>
      <c r="L76" s="3">
        <v>75536</v>
      </c>
      <c r="M76" s="3">
        <v>296041</v>
      </c>
      <c r="N76" s="3">
        <v>34132</v>
      </c>
      <c r="O76" s="3">
        <v>31761</v>
      </c>
      <c r="P76" s="3">
        <v>148320</v>
      </c>
      <c r="Q76" s="3">
        <v>2046266</v>
      </c>
      <c r="R76" s="3">
        <v>2036173</v>
      </c>
      <c r="S76" s="3">
        <v>2036173</v>
      </c>
      <c r="T76" s="3">
        <v>263206</v>
      </c>
      <c r="U76" s="3">
        <v>263206</v>
      </c>
      <c r="V76" s="3">
        <v>263206</v>
      </c>
      <c r="W76" s="3">
        <v>263206</v>
      </c>
      <c r="X76" s="3">
        <v>261523</v>
      </c>
      <c r="Y76" s="3">
        <v>261523</v>
      </c>
      <c r="Z76" s="4">
        <v>261523</v>
      </c>
      <c r="AA76" s="4">
        <v>261523</v>
      </c>
      <c r="AB76" s="4">
        <v>261523</v>
      </c>
      <c r="AC76" s="4">
        <v>261524</v>
      </c>
      <c r="AD76" s="4">
        <v>263206</v>
      </c>
      <c r="AE76" s="4">
        <v>526412</v>
      </c>
      <c r="AF76" s="4">
        <v>789618</v>
      </c>
      <c r="AG76" s="4">
        <v>1052824</v>
      </c>
      <c r="AH76" s="4">
        <v>1314347</v>
      </c>
      <c r="AI76" s="4">
        <v>1575870</v>
      </c>
      <c r="AJ76" s="4">
        <v>1837393</v>
      </c>
      <c r="AK76" s="4">
        <v>2098916</v>
      </c>
      <c r="AL76" s="4">
        <v>2360439</v>
      </c>
      <c r="AM76" s="4">
        <v>2621963</v>
      </c>
      <c r="AN76" s="153">
        <v>192688</v>
      </c>
    </row>
    <row r="77" spans="1:40" x14ac:dyDescent="0.2">
      <c r="A77" s="1">
        <v>2022</v>
      </c>
      <c r="B77" s="2" t="s">
        <v>97</v>
      </c>
      <c r="C77" s="2" t="s">
        <v>97</v>
      </c>
      <c r="D77" s="1" t="s">
        <v>450</v>
      </c>
      <c r="E77" s="3">
        <v>2267788</v>
      </c>
      <c r="F77" s="3">
        <v>431</v>
      </c>
      <c r="G77" s="3">
        <v>9701</v>
      </c>
      <c r="H77" s="1">
        <v>0</v>
      </c>
      <c r="I77" s="3">
        <v>2267357</v>
      </c>
      <c r="J77" s="3">
        <v>2257656</v>
      </c>
      <c r="K77" s="3">
        <v>2257656</v>
      </c>
      <c r="L77" s="3">
        <v>93520</v>
      </c>
      <c r="M77" s="3">
        <v>287154</v>
      </c>
      <c r="N77" s="3">
        <v>34355</v>
      </c>
      <c r="O77" s="3">
        <v>29180</v>
      </c>
      <c r="P77" s="3">
        <v>142560</v>
      </c>
      <c r="Q77" s="3">
        <v>1680588</v>
      </c>
      <c r="R77" s="3">
        <v>1670887</v>
      </c>
      <c r="S77" s="3">
        <v>1670887</v>
      </c>
      <c r="T77" s="3">
        <v>226736</v>
      </c>
      <c r="U77" s="3">
        <v>226736</v>
      </c>
      <c r="V77" s="3">
        <v>226736</v>
      </c>
      <c r="W77" s="3">
        <v>226736</v>
      </c>
      <c r="X77" s="3">
        <v>225119</v>
      </c>
      <c r="Y77" s="3">
        <v>225119</v>
      </c>
      <c r="Z77" s="4">
        <v>225119</v>
      </c>
      <c r="AA77" s="4">
        <v>225119</v>
      </c>
      <c r="AB77" s="4">
        <v>225119</v>
      </c>
      <c r="AC77" s="4">
        <v>225117</v>
      </c>
      <c r="AD77" s="4">
        <v>226736</v>
      </c>
      <c r="AE77" s="4">
        <v>453472</v>
      </c>
      <c r="AF77" s="4">
        <v>680208</v>
      </c>
      <c r="AG77" s="4">
        <v>906944</v>
      </c>
      <c r="AH77" s="4">
        <v>1132063</v>
      </c>
      <c r="AI77" s="4">
        <v>1357182</v>
      </c>
      <c r="AJ77" s="4">
        <v>1582301</v>
      </c>
      <c r="AK77" s="4">
        <v>1807420</v>
      </c>
      <c r="AL77" s="4">
        <v>2032539</v>
      </c>
      <c r="AM77" s="4">
        <v>2257656</v>
      </c>
      <c r="AN77" s="153">
        <v>190263</v>
      </c>
    </row>
    <row r="78" spans="1:40" x14ac:dyDescent="0.2">
      <c r="A78" s="1">
        <v>2022</v>
      </c>
      <c r="B78" s="2" t="s">
        <v>98</v>
      </c>
      <c r="C78" s="2" t="s">
        <v>98</v>
      </c>
      <c r="D78" s="1" t="s">
        <v>451</v>
      </c>
      <c r="E78" s="3">
        <v>70516880</v>
      </c>
      <c r="F78" s="3">
        <v>5423</v>
      </c>
      <c r="G78" s="3">
        <v>211045</v>
      </c>
      <c r="H78" s="1">
        <v>0</v>
      </c>
      <c r="I78" s="3">
        <v>70511457</v>
      </c>
      <c r="J78" s="3">
        <v>70300412</v>
      </c>
      <c r="K78" s="3">
        <v>70300412</v>
      </c>
      <c r="L78" s="3">
        <v>1176192</v>
      </c>
      <c r="M78" s="3">
        <v>5315995</v>
      </c>
      <c r="N78" s="3">
        <v>783862</v>
      </c>
      <c r="O78" s="3">
        <v>616380</v>
      </c>
      <c r="P78" s="3">
        <v>3109633</v>
      </c>
      <c r="Q78" s="3">
        <v>59509395</v>
      </c>
      <c r="R78" s="3">
        <v>59298350</v>
      </c>
      <c r="S78" s="3">
        <v>59298350</v>
      </c>
      <c r="T78" s="3">
        <v>7051146</v>
      </c>
      <c r="U78" s="3">
        <v>7051146</v>
      </c>
      <c r="V78" s="3">
        <v>7051146</v>
      </c>
      <c r="W78" s="3">
        <v>7051146</v>
      </c>
      <c r="X78" s="3">
        <v>7015971</v>
      </c>
      <c r="Y78" s="3">
        <v>7015971</v>
      </c>
      <c r="Z78" s="4">
        <v>7015972</v>
      </c>
      <c r="AA78" s="4">
        <v>7015972</v>
      </c>
      <c r="AB78" s="4">
        <v>7015972</v>
      </c>
      <c r="AC78" s="4">
        <v>7015970</v>
      </c>
      <c r="AD78" s="4">
        <v>7051146</v>
      </c>
      <c r="AE78" s="4">
        <v>14102292</v>
      </c>
      <c r="AF78" s="4">
        <v>21153438</v>
      </c>
      <c r="AG78" s="4">
        <v>28204584</v>
      </c>
      <c r="AH78" s="4">
        <v>35220555</v>
      </c>
      <c r="AI78" s="4">
        <v>42236526</v>
      </c>
      <c r="AJ78" s="4">
        <v>49252498</v>
      </c>
      <c r="AK78" s="4">
        <v>56268470</v>
      </c>
      <c r="AL78" s="4">
        <v>63284442</v>
      </c>
      <c r="AM78" s="4">
        <v>70300412</v>
      </c>
      <c r="AN78" s="153">
        <v>4587437</v>
      </c>
    </row>
    <row r="79" spans="1:40" x14ac:dyDescent="0.2">
      <c r="A79" s="1">
        <v>2022</v>
      </c>
      <c r="B79" s="2" t="s">
        <v>99</v>
      </c>
      <c r="C79" s="2" t="s">
        <v>99</v>
      </c>
      <c r="D79" s="1" t="s">
        <v>452</v>
      </c>
      <c r="E79" s="3">
        <v>10097254</v>
      </c>
      <c r="F79" s="3">
        <v>1393</v>
      </c>
      <c r="G79" s="3">
        <v>34728</v>
      </c>
      <c r="H79" s="1">
        <v>0</v>
      </c>
      <c r="I79" s="3">
        <v>10095861</v>
      </c>
      <c r="J79" s="3">
        <v>10061133</v>
      </c>
      <c r="K79" s="3">
        <v>10061133</v>
      </c>
      <c r="L79" s="3">
        <v>302141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8139891</v>
      </c>
      <c r="R79" s="3">
        <v>8105163</v>
      </c>
      <c r="S79" s="3">
        <v>8105163</v>
      </c>
      <c r="T79" s="3">
        <v>1009586</v>
      </c>
      <c r="U79" s="3">
        <v>1009586</v>
      </c>
      <c r="V79" s="3">
        <v>1009586</v>
      </c>
      <c r="W79" s="3">
        <v>1009586</v>
      </c>
      <c r="X79" s="3">
        <v>1003798</v>
      </c>
      <c r="Y79" s="3">
        <v>1003798</v>
      </c>
      <c r="Z79" s="4">
        <v>1003798</v>
      </c>
      <c r="AA79" s="4">
        <v>1003798</v>
      </c>
      <c r="AB79" s="4">
        <v>1003798</v>
      </c>
      <c r="AC79" s="4">
        <v>1003799</v>
      </c>
      <c r="AD79" s="4">
        <v>1009586</v>
      </c>
      <c r="AE79" s="4">
        <v>2019172</v>
      </c>
      <c r="AF79" s="4">
        <v>3028758</v>
      </c>
      <c r="AG79" s="4">
        <v>4038344</v>
      </c>
      <c r="AH79" s="4">
        <v>5042142</v>
      </c>
      <c r="AI79" s="4">
        <v>6045940</v>
      </c>
      <c r="AJ79" s="4">
        <v>7049738</v>
      </c>
      <c r="AK79" s="4">
        <v>8053536</v>
      </c>
      <c r="AL79" s="4">
        <v>9057334</v>
      </c>
      <c r="AM79" s="4">
        <v>10061133</v>
      </c>
      <c r="AN79" s="153">
        <v>707365</v>
      </c>
    </row>
    <row r="80" spans="1:40" x14ac:dyDescent="0.2">
      <c r="A80" s="1">
        <v>2022</v>
      </c>
      <c r="B80" s="2" t="s">
        <v>100</v>
      </c>
      <c r="C80" s="2" t="s">
        <v>100</v>
      </c>
      <c r="D80" s="1" t="s">
        <v>453</v>
      </c>
      <c r="E80" s="3">
        <v>20434499</v>
      </c>
      <c r="F80" s="3">
        <v>2637</v>
      </c>
      <c r="G80" s="3">
        <v>76572</v>
      </c>
      <c r="H80" s="1">
        <v>0</v>
      </c>
      <c r="I80" s="3">
        <v>20431862</v>
      </c>
      <c r="J80" s="3">
        <v>20355290</v>
      </c>
      <c r="K80" s="3">
        <v>20355290</v>
      </c>
      <c r="L80" s="3">
        <v>571910</v>
      </c>
      <c r="M80" s="3">
        <v>1914303</v>
      </c>
      <c r="N80" s="3">
        <v>227780</v>
      </c>
      <c r="O80" s="3">
        <v>202829</v>
      </c>
      <c r="P80" s="3">
        <v>1125262</v>
      </c>
      <c r="Q80" s="3">
        <v>16389778</v>
      </c>
      <c r="R80" s="3">
        <v>16313206</v>
      </c>
      <c r="S80" s="3">
        <v>16313206</v>
      </c>
      <c r="T80" s="3">
        <v>2043186</v>
      </c>
      <c r="U80" s="3">
        <v>2043186</v>
      </c>
      <c r="V80" s="3">
        <v>2043186</v>
      </c>
      <c r="W80" s="3">
        <v>2043186</v>
      </c>
      <c r="X80" s="3">
        <v>2030424</v>
      </c>
      <c r="Y80" s="3">
        <v>2030424</v>
      </c>
      <c r="Z80" s="4">
        <v>2030425</v>
      </c>
      <c r="AA80" s="4">
        <v>2030425</v>
      </c>
      <c r="AB80" s="4">
        <v>2030425</v>
      </c>
      <c r="AC80" s="4">
        <v>2030423</v>
      </c>
      <c r="AD80" s="4">
        <v>2043186</v>
      </c>
      <c r="AE80" s="4">
        <v>4086372</v>
      </c>
      <c r="AF80" s="4">
        <v>6129558</v>
      </c>
      <c r="AG80" s="4">
        <v>8172744</v>
      </c>
      <c r="AH80" s="4">
        <v>10203168</v>
      </c>
      <c r="AI80" s="4">
        <v>12233592</v>
      </c>
      <c r="AJ80" s="4">
        <v>14264017</v>
      </c>
      <c r="AK80" s="4">
        <v>16294442</v>
      </c>
      <c r="AL80" s="4">
        <v>18324867</v>
      </c>
      <c r="AM80" s="4">
        <v>20355290</v>
      </c>
      <c r="AN80" s="153">
        <v>1540413</v>
      </c>
    </row>
    <row r="81" spans="1:40" x14ac:dyDescent="0.2">
      <c r="A81" s="1">
        <v>2022</v>
      </c>
      <c r="B81" s="2" t="s">
        <v>101</v>
      </c>
      <c r="C81" s="2" t="s">
        <v>101</v>
      </c>
      <c r="D81" s="1" t="s">
        <v>454</v>
      </c>
      <c r="E81" s="3">
        <v>3241612</v>
      </c>
      <c r="F81" s="3">
        <v>564</v>
      </c>
      <c r="G81" s="3">
        <v>11494</v>
      </c>
      <c r="H81" s="1">
        <v>0</v>
      </c>
      <c r="I81" s="3">
        <v>3241048</v>
      </c>
      <c r="J81" s="3">
        <v>3229554</v>
      </c>
      <c r="K81" s="3">
        <v>3229554</v>
      </c>
      <c r="L81" s="3">
        <v>122295</v>
      </c>
      <c r="M81" s="3">
        <v>314981</v>
      </c>
      <c r="N81" s="3">
        <v>38146</v>
      </c>
      <c r="O81" s="3">
        <v>34248</v>
      </c>
      <c r="P81" s="3">
        <v>173036</v>
      </c>
      <c r="Q81" s="3">
        <v>2558342</v>
      </c>
      <c r="R81" s="3">
        <v>2546848</v>
      </c>
      <c r="S81" s="3">
        <v>2546848</v>
      </c>
      <c r="T81" s="3">
        <v>324105</v>
      </c>
      <c r="U81" s="3">
        <v>324105</v>
      </c>
      <c r="V81" s="3">
        <v>324105</v>
      </c>
      <c r="W81" s="3">
        <v>324105</v>
      </c>
      <c r="X81" s="3">
        <v>322189</v>
      </c>
      <c r="Y81" s="3">
        <v>322189</v>
      </c>
      <c r="Z81" s="4">
        <v>322189</v>
      </c>
      <c r="AA81" s="4">
        <v>322189</v>
      </c>
      <c r="AB81" s="4">
        <v>322189</v>
      </c>
      <c r="AC81" s="4">
        <v>322189</v>
      </c>
      <c r="AD81" s="4">
        <v>324105</v>
      </c>
      <c r="AE81" s="4">
        <v>648210</v>
      </c>
      <c r="AF81" s="4">
        <v>972315</v>
      </c>
      <c r="AG81" s="4">
        <v>1296420</v>
      </c>
      <c r="AH81" s="4">
        <v>1618609</v>
      </c>
      <c r="AI81" s="4">
        <v>1940798</v>
      </c>
      <c r="AJ81" s="4">
        <v>2262987</v>
      </c>
      <c r="AK81" s="4">
        <v>2585176</v>
      </c>
      <c r="AL81" s="4">
        <v>2907365</v>
      </c>
      <c r="AM81" s="4">
        <v>3229554</v>
      </c>
      <c r="AN81" s="153">
        <v>232277</v>
      </c>
    </row>
    <row r="82" spans="1:40" x14ac:dyDescent="0.2">
      <c r="A82" s="1">
        <v>2022</v>
      </c>
      <c r="B82" s="2" t="s">
        <v>102</v>
      </c>
      <c r="C82" s="2" t="s">
        <v>102</v>
      </c>
      <c r="D82" s="1" t="s">
        <v>455</v>
      </c>
      <c r="E82" s="3">
        <v>102117836</v>
      </c>
      <c r="F82" s="3">
        <v>10714</v>
      </c>
      <c r="G82" s="3">
        <v>343728</v>
      </c>
      <c r="H82" s="1">
        <v>0</v>
      </c>
      <c r="I82" s="3">
        <v>102107122</v>
      </c>
      <c r="J82" s="3">
        <v>101763394</v>
      </c>
      <c r="K82" s="3">
        <v>101763394</v>
      </c>
      <c r="L82" s="3">
        <v>2316559</v>
      </c>
      <c r="M82" s="3">
        <v>8856026</v>
      </c>
      <c r="N82" s="3">
        <v>1277155</v>
      </c>
      <c r="O82" s="3">
        <v>1087538</v>
      </c>
      <c r="P82" s="3">
        <v>5089658</v>
      </c>
      <c r="Q82" s="3">
        <v>83480186</v>
      </c>
      <c r="R82" s="3">
        <v>83136458</v>
      </c>
      <c r="S82" s="3">
        <v>83136458</v>
      </c>
      <c r="T82" s="3">
        <v>10210712</v>
      </c>
      <c r="U82" s="3">
        <v>10210712</v>
      </c>
      <c r="V82" s="3">
        <v>10210712</v>
      </c>
      <c r="W82" s="3">
        <v>10210712</v>
      </c>
      <c r="X82" s="3">
        <v>10153424</v>
      </c>
      <c r="Y82" s="3">
        <v>10153424</v>
      </c>
      <c r="Z82" s="4">
        <v>10153425</v>
      </c>
      <c r="AA82" s="4">
        <v>10153425</v>
      </c>
      <c r="AB82" s="4">
        <v>10153425</v>
      </c>
      <c r="AC82" s="4">
        <v>10153423</v>
      </c>
      <c r="AD82" s="4">
        <v>10210712</v>
      </c>
      <c r="AE82" s="4">
        <v>20421424</v>
      </c>
      <c r="AF82" s="4">
        <v>30632136</v>
      </c>
      <c r="AG82" s="4">
        <v>40842848</v>
      </c>
      <c r="AH82" s="4">
        <v>50996272</v>
      </c>
      <c r="AI82" s="4">
        <v>61149696</v>
      </c>
      <c r="AJ82" s="4">
        <v>71303121</v>
      </c>
      <c r="AK82" s="4">
        <v>81456546</v>
      </c>
      <c r="AL82" s="4">
        <v>91609971</v>
      </c>
      <c r="AM82" s="4">
        <v>101763394</v>
      </c>
      <c r="AN82" s="153">
        <v>7364149</v>
      </c>
    </row>
    <row r="83" spans="1:40" x14ac:dyDescent="0.2">
      <c r="A83" s="1">
        <v>2022</v>
      </c>
      <c r="B83" s="2" t="s">
        <v>103</v>
      </c>
      <c r="C83" s="2" t="s">
        <v>103</v>
      </c>
      <c r="D83" s="1" t="s">
        <v>456</v>
      </c>
      <c r="E83" s="3">
        <v>7468219</v>
      </c>
      <c r="F83" s="3">
        <v>730</v>
      </c>
      <c r="G83" s="3">
        <v>27758</v>
      </c>
      <c r="H83" s="1">
        <v>0</v>
      </c>
      <c r="I83" s="3">
        <v>7467489</v>
      </c>
      <c r="J83" s="3">
        <v>7439731</v>
      </c>
      <c r="K83" s="3">
        <v>7439731</v>
      </c>
      <c r="L83" s="3">
        <v>158264</v>
      </c>
      <c r="M83" s="3">
        <v>729569</v>
      </c>
      <c r="N83" s="3">
        <v>81673</v>
      </c>
      <c r="O83" s="3">
        <v>80505</v>
      </c>
      <c r="P83" s="3">
        <v>407923</v>
      </c>
      <c r="Q83" s="3">
        <v>6009555</v>
      </c>
      <c r="R83" s="3">
        <v>5981797</v>
      </c>
      <c r="S83" s="3">
        <v>5981797</v>
      </c>
      <c r="T83" s="3">
        <v>746749</v>
      </c>
      <c r="U83" s="3">
        <v>746749</v>
      </c>
      <c r="V83" s="3">
        <v>746749</v>
      </c>
      <c r="W83" s="3">
        <v>746749</v>
      </c>
      <c r="X83" s="3">
        <v>742123</v>
      </c>
      <c r="Y83" s="3">
        <v>742123</v>
      </c>
      <c r="Z83" s="4">
        <v>742122</v>
      </c>
      <c r="AA83" s="4">
        <v>742122</v>
      </c>
      <c r="AB83" s="4">
        <v>742122</v>
      </c>
      <c r="AC83" s="4">
        <v>742123</v>
      </c>
      <c r="AD83" s="4">
        <v>746749</v>
      </c>
      <c r="AE83" s="4">
        <v>1493498</v>
      </c>
      <c r="AF83" s="4">
        <v>2240247</v>
      </c>
      <c r="AG83" s="4">
        <v>2986996</v>
      </c>
      <c r="AH83" s="4">
        <v>3729119</v>
      </c>
      <c r="AI83" s="4">
        <v>4471242</v>
      </c>
      <c r="AJ83" s="4">
        <v>5213364</v>
      </c>
      <c r="AK83" s="4">
        <v>5955486</v>
      </c>
      <c r="AL83" s="4">
        <v>6697608</v>
      </c>
      <c r="AM83" s="4">
        <v>7439731</v>
      </c>
      <c r="AN83" s="153">
        <v>538543</v>
      </c>
    </row>
    <row r="84" spans="1:40" x14ac:dyDescent="0.2">
      <c r="A84" s="1">
        <v>2022</v>
      </c>
      <c r="B84" s="2" t="s">
        <v>104</v>
      </c>
      <c r="C84" s="2" t="s">
        <v>104</v>
      </c>
      <c r="D84" s="1" t="s">
        <v>457</v>
      </c>
      <c r="E84" s="3">
        <v>8808344</v>
      </c>
      <c r="F84" s="3">
        <v>1260</v>
      </c>
      <c r="G84" s="3">
        <v>36759</v>
      </c>
      <c r="H84" s="1">
        <v>0</v>
      </c>
      <c r="I84" s="3">
        <v>8807084</v>
      </c>
      <c r="J84" s="3">
        <v>8770325</v>
      </c>
      <c r="K84" s="3">
        <v>8770325</v>
      </c>
      <c r="L84" s="3">
        <v>283938</v>
      </c>
      <c r="M84" s="3">
        <v>974060</v>
      </c>
      <c r="N84" s="3">
        <v>110415</v>
      </c>
      <c r="O84" s="3">
        <v>113629</v>
      </c>
      <c r="P84" s="3">
        <v>547878</v>
      </c>
      <c r="Q84" s="3">
        <v>6777164</v>
      </c>
      <c r="R84" s="3">
        <v>6740405</v>
      </c>
      <c r="S84" s="3">
        <v>6740405</v>
      </c>
      <c r="T84" s="3">
        <v>880708</v>
      </c>
      <c r="U84" s="3">
        <v>880708</v>
      </c>
      <c r="V84" s="3">
        <v>880708</v>
      </c>
      <c r="W84" s="3">
        <v>880708</v>
      </c>
      <c r="X84" s="3">
        <v>874582</v>
      </c>
      <c r="Y84" s="3">
        <v>874582</v>
      </c>
      <c r="Z84" s="4">
        <v>874582</v>
      </c>
      <c r="AA84" s="4">
        <v>874582</v>
      </c>
      <c r="AB84" s="4">
        <v>874582</v>
      </c>
      <c r="AC84" s="4">
        <v>874583</v>
      </c>
      <c r="AD84" s="4">
        <v>880708</v>
      </c>
      <c r="AE84" s="4">
        <v>1761416</v>
      </c>
      <c r="AF84" s="4">
        <v>2642124</v>
      </c>
      <c r="AG84" s="4">
        <v>3522832</v>
      </c>
      <c r="AH84" s="4">
        <v>4397414</v>
      </c>
      <c r="AI84" s="4">
        <v>5271996</v>
      </c>
      <c r="AJ84" s="4">
        <v>6146578</v>
      </c>
      <c r="AK84" s="4">
        <v>7021160</v>
      </c>
      <c r="AL84" s="4">
        <v>7895742</v>
      </c>
      <c r="AM84" s="4">
        <v>8770325</v>
      </c>
      <c r="AN84" s="153">
        <v>761221</v>
      </c>
    </row>
    <row r="85" spans="1:40" x14ac:dyDescent="0.2">
      <c r="A85" s="1">
        <v>2022</v>
      </c>
      <c r="B85" s="2" t="s">
        <v>105</v>
      </c>
      <c r="C85" s="2" t="s">
        <v>105</v>
      </c>
      <c r="D85" s="1" t="s">
        <v>458</v>
      </c>
      <c r="E85" s="3">
        <v>1352123</v>
      </c>
      <c r="F85" s="3">
        <v>166</v>
      </c>
      <c r="G85" s="3">
        <v>5029</v>
      </c>
      <c r="H85" s="3">
        <v>0</v>
      </c>
      <c r="I85" s="3">
        <v>1351957</v>
      </c>
      <c r="J85" s="3">
        <v>1346928</v>
      </c>
      <c r="K85" s="3">
        <v>1346928</v>
      </c>
      <c r="L85" s="3">
        <v>35969</v>
      </c>
      <c r="M85" s="3">
        <v>117428</v>
      </c>
      <c r="N85" s="3">
        <v>15446</v>
      </c>
      <c r="O85" s="3">
        <v>9884</v>
      </c>
      <c r="P85" s="3">
        <v>73898</v>
      </c>
      <c r="Q85" s="3">
        <v>1099332</v>
      </c>
      <c r="R85" s="3">
        <v>1094303</v>
      </c>
      <c r="S85" s="3">
        <v>1094303</v>
      </c>
      <c r="T85" s="3">
        <v>135196</v>
      </c>
      <c r="U85" s="3">
        <v>135196</v>
      </c>
      <c r="V85" s="3">
        <v>135196</v>
      </c>
      <c r="W85" s="3">
        <v>135196</v>
      </c>
      <c r="X85" s="3">
        <v>134357</v>
      </c>
      <c r="Y85" s="3">
        <v>134357</v>
      </c>
      <c r="Z85" s="4">
        <v>134358</v>
      </c>
      <c r="AA85" s="4">
        <v>134358</v>
      </c>
      <c r="AB85" s="4">
        <v>134358</v>
      </c>
      <c r="AC85" s="4">
        <v>134356</v>
      </c>
      <c r="AD85" s="4">
        <v>135196</v>
      </c>
      <c r="AE85" s="4">
        <v>270392</v>
      </c>
      <c r="AF85" s="4">
        <v>405588</v>
      </c>
      <c r="AG85" s="4">
        <v>540784</v>
      </c>
      <c r="AH85" s="4">
        <v>675141</v>
      </c>
      <c r="AI85" s="4">
        <v>809498</v>
      </c>
      <c r="AJ85" s="4">
        <v>943856</v>
      </c>
      <c r="AK85" s="4">
        <v>1078214</v>
      </c>
      <c r="AL85" s="4">
        <v>1212572</v>
      </c>
      <c r="AM85" s="4">
        <v>1346928</v>
      </c>
      <c r="AN85" s="153">
        <v>96661</v>
      </c>
    </row>
    <row r="86" spans="1:40" x14ac:dyDescent="0.2">
      <c r="A86" s="1">
        <v>2022</v>
      </c>
      <c r="B86" s="2" t="s">
        <v>106</v>
      </c>
      <c r="C86" s="2" t="s">
        <v>106</v>
      </c>
      <c r="D86" s="1" t="s">
        <v>459</v>
      </c>
      <c r="E86" s="3">
        <v>16656900</v>
      </c>
      <c r="F86" s="3">
        <v>1741</v>
      </c>
      <c r="G86" s="3">
        <v>49137</v>
      </c>
      <c r="H86" s="3">
        <v>138240</v>
      </c>
      <c r="I86" s="3">
        <v>16655159</v>
      </c>
      <c r="J86" s="3">
        <v>16606022</v>
      </c>
      <c r="K86" s="3">
        <v>16467782</v>
      </c>
      <c r="L86" s="3">
        <v>377677</v>
      </c>
      <c r="M86" s="3">
        <v>1236373</v>
      </c>
      <c r="N86" s="3">
        <v>183215</v>
      </c>
      <c r="O86" s="3">
        <v>150615</v>
      </c>
      <c r="P86" s="3">
        <v>739390</v>
      </c>
      <c r="Q86" s="3">
        <v>13967889</v>
      </c>
      <c r="R86" s="3">
        <v>13918752</v>
      </c>
      <c r="S86" s="3">
        <v>13780512</v>
      </c>
      <c r="T86" s="3">
        <v>1665516</v>
      </c>
      <c r="U86" s="3">
        <v>1665516</v>
      </c>
      <c r="V86" s="3">
        <v>1665516</v>
      </c>
      <c r="W86" s="3">
        <v>1665516</v>
      </c>
      <c r="X86" s="3">
        <v>1657326</v>
      </c>
      <c r="Y86" s="3">
        <v>1657326</v>
      </c>
      <c r="Z86" s="4">
        <v>1622767</v>
      </c>
      <c r="AA86" s="4">
        <v>1622767</v>
      </c>
      <c r="AB86" s="4">
        <v>1622767</v>
      </c>
      <c r="AC86" s="4">
        <v>1622765</v>
      </c>
      <c r="AD86" s="4">
        <v>1665516</v>
      </c>
      <c r="AE86" s="4">
        <v>3331032</v>
      </c>
      <c r="AF86" s="4">
        <v>4996548</v>
      </c>
      <c r="AG86" s="4">
        <v>6662064</v>
      </c>
      <c r="AH86" s="4">
        <v>8319390</v>
      </c>
      <c r="AI86" s="4">
        <v>9976716</v>
      </c>
      <c r="AJ86" s="4">
        <v>11599483</v>
      </c>
      <c r="AK86" s="4">
        <v>13222250</v>
      </c>
      <c r="AL86" s="4">
        <v>14845017</v>
      </c>
      <c r="AM86" s="4">
        <v>16467782</v>
      </c>
      <c r="AN86" s="153">
        <v>1059312</v>
      </c>
    </row>
    <row r="87" spans="1:40" x14ac:dyDescent="0.2">
      <c r="A87" s="1">
        <v>2022</v>
      </c>
      <c r="B87" s="2" t="s">
        <v>107</v>
      </c>
      <c r="C87" s="2" t="s">
        <v>107</v>
      </c>
      <c r="D87" s="1" t="s">
        <v>460</v>
      </c>
      <c r="E87" s="3">
        <v>5805689</v>
      </c>
      <c r="F87" s="1">
        <v>879</v>
      </c>
      <c r="G87" s="3">
        <v>20098</v>
      </c>
      <c r="H87" s="3">
        <v>0</v>
      </c>
      <c r="I87" s="3">
        <v>5804810</v>
      </c>
      <c r="J87" s="3">
        <v>5784712</v>
      </c>
      <c r="K87" s="3">
        <v>5784712</v>
      </c>
      <c r="L87" s="3">
        <v>194161</v>
      </c>
      <c r="M87" s="3">
        <v>528017</v>
      </c>
      <c r="N87" s="3">
        <v>50495</v>
      </c>
      <c r="O87" s="3">
        <v>50783</v>
      </c>
      <c r="P87" s="3">
        <v>295348</v>
      </c>
      <c r="Q87" s="3">
        <v>4686006</v>
      </c>
      <c r="R87" s="3">
        <v>4665908</v>
      </c>
      <c r="S87" s="3">
        <v>4665908</v>
      </c>
      <c r="T87" s="3">
        <v>580481</v>
      </c>
      <c r="U87" s="3">
        <v>580481</v>
      </c>
      <c r="V87" s="3">
        <v>580481</v>
      </c>
      <c r="W87" s="3">
        <v>580481</v>
      </c>
      <c r="X87" s="3">
        <v>577131</v>
      </c>
      <c r="Y87" s="3">
        <v>577131</v>
      </c>
      <c r="Z87" s="4">
        <v>577132</v>
      </c>
      <c r="AA87" s="4">
        <v>577132</v>
      </c>
      <c r="AB87" s="4">
        <v>577132</v>
      </c>
      <c r="AC87" s="4">
        <v>577130</v>
      </c>
      <c r="AD87" s="4">
        <v>580481</v>
      </c>
      <c r="AE87" s="4">
        <v>1160962</v>
      </c>
      <c r="AF87" s="4">
        <v>1741443</v>
      </c>
      <c r="AG87" s="4">
        <v>2321924</v>
      </c>
      <c r="AH87" s="4">
        <v>2899055</v>
      </c>
      <c r="AI87" s="4">
        <v>3476186</v>
      </c>
      <c r="AJ87" s="4">
        <v>4053318</v>
      </c>
      <c r="AK87" s="4">
        <v>4630450</v>
      </c>
      <c r="AL87" s="4">
        <v>5207582</v>
      </c>
      <c r="AM87" s="4">
        <v>5784712</v>
      </c>
      <c r="AN87" s="153">
        <v>409510</v>
      </c>
    </row>
    <row r="88" spans="1:40" x14ac:dyDescent="0.2">
      <c r="A88" s="1">
        <v>2022</v>
      </c>
      <c r="B88" s="2" t="s">
        <v>108</v>
      </c>
      <c r="C88" s="2" t="s">
        <v>108</v>
      </c>
      <c r="D88" s="1" t="s">
        <v>461</v>
      </c>
      <c r="E88" s="3">
        <v>248342081</v>
      </c>
      <c r="F88" s="3">
        <v>20234</v>
      </c>
      <c r="G88" s="3">
        <v>751122</v>
      </c>
      <c r="H88" s="3">
        <v>0</v>
      </c>
      <c r="I88" s="3">
        <v>248321847</v>
      </c>
      <c r="J88" s="3">
        <v>247570725</v>
      </c>
      <c r="K88" s="3">
        <v>247570725</v>
      </c>
      <c r="L88" s="3">
        <v>4388236</v>
      </c>
      <c r="M88" s="3">
        <v>20663518</v>
      </c>
      <c r="N88" s="3">
        <v>3079377</v>
      </c>
      <c r="O88" s="3">
        <v>2563865</v>
      </c>
      <c r="P88" s="3">
        <v>11115298</v>
      </c>
      <c r="Q88" s="3">
        <v>206511553</v>
      </c>
      <c r="R88" s="3">
        <v>205760431</v>
      </c>
      <c r="S88" s="3">
        <v>205760431</v>
      </c>
      <c r="T88" s="3">
        <v>24832185</v>
      </c>
      <c r="U88" s="3">
        <v>24832185</v>
      </c>
      <c r="V88" s="3">
        <v>24832185</v>
      </c>
      <c r="W88" s="3">
        <v>24832185</v>
      </c>
      <c r="X88" s="3">
        <v>24706998</v>
      </c>
      <c r="Y88" s="3">
        <v>24706998</v>
      </c>
      <c r="Z88" s="4">
        <v>24706997</v>
      </c>
      <c r="AA88" s="4">
        <v>24706997</v>
      </c>
      <c r="AB88" s="4">
        <v>24706997</v>
      </c>
      <c r="AC88" s="4">
        <v>24706998</v>
      </c>
      <c r="AD88" s="4">
        <v>24832185</v>
      </c>
      <c r="AE88" s="4">
        <v>49664370</v>
      </c>
      <c r="AF88" s="4">
        <v>74496555</v>
      </c>
      <c r="AG88" s="4">
        <v>99328740</v>
      </c>
      <c r="AH88" s="4">
        <v>124035738</v>
      </c>
      <c r="AI88" s="4">
        <v>148742736</v>
      </c>
      <c r="AJ88" s="4">
        <v>173449733</v>
      </c>
      <c r="AK88" s="4">
        <v>198156730</v>
      </c>
      <c r="AL88" s="4">
        <v>222863727</v>
      </c>
      <c r="AM88" s="4">
        <v>247570725</v>
      </c>
      <c r="AN88" s="153">
        <v>15405608</v>
      </c>
    </row>
    <row r="89" spans="1:40" x14ac:dyDescent="0.2">
      <c r="A89" s="1">
        <v>2022</v>
      </c>
      <c r="B89" s="2" t="s">
        <v>109</v>
      </c>
      <c r="C89" s="2" t="s">
        <v>109</v>
      </c>
      <c r="D89" s="1" t="s">
        <v>462</v>
      </c>
      <c r="E89" s="3">
        <v>768120</v>
      </c>
      <c r="F89" s="3">
        <v>182</v>
      </c>
      <c r="G89" s="3">
        <v>2423</v>
      </c>
      <c r="H89" s="1">
        <v>0</v>
      </c>
      <c r="I89" s="3">
        <v>767938</v>
      </c>
      <c r="J89" s="3">
        <v>765515</v>
      </c>
      <c r="K89" s="3">
        <v>765515</v>
      </c>
      <c r="L89" s="3">
        <v>39567</v>
      </c>
      <c r="M89" s="3">
        <v>90090</v>
      </c>
      <c r="N89" s="3">
        <v>11112</v>
      </c>
      <c r="O89" s="3">
        <v>10091</v>
      </c>
      <c r="P89" s="3">
        <v>35605</v>
      </c>
      <c r="Q89" s="3">
        <v>581473</v>
      </c>
      <c r="R89" s="3">
        <v>579050</v>
      </c>
      <c r="S89" s="3">
        <v>579050</v>
      </c>
      <c r="T89" s="3">
        <v>76794</v>
      </c>
      <c r="U89" s="3">
        <v>76794</v>
      </c>
      <c r="V89" s="3">
        <v>76794</v>
      </c>
      <c r="W89" s="3">
        <v>76794</v>
      </c>
      <c r="X89" s="3">
        <v>76390</v>
      </c>
      <c r="Y89" s="3">
        <v>76390</v>
      </c>
      <c r="Z89" s="4">
        <v>76390</v>
      </c>
      <c r="AA89" s="4">
        <v>76390</v>
      </c>
      <c r="AB89" s="4">
        <v>76390</v>
      </c>
      <c r="AC89" s="4">
        <v>76389</v>
      </c>
      <c r="AD89" s="4">
        <v>76794</v>
      </c>
      <c r="AE89" s="4">
        <v>153588</v>
      </c>
      <c r="AF89" s="4">
        <v>230382</v>
      </c>
      <c r="AG89" s="4">
        <v>307176</v>
      </c>
      <c r="AH89" s="4">
        <v>383566</v>
      </c>
      <c r="AI89" s="4">
        <v>459956</v>
      </c>
      <c r="AJ89" s="4">
        <v>536346</v>
      </c>
      <c r="AK89" s="4">
        <v>612736</v>
      </c>
      <c r="AL89" s="4">
        <v>689126</v>
      </c>
      <c r="AM89" s="4">
        <v>765515</v>
      </c>
      <c r="AN89" s="153">
        <v>46436</v>
      </c>
    </row>
    <row r="90" spans="1:40" x14ac:dyDescent="0.2">
      <c r="A90" s="1">
        <v>2022</v>
      </c>
      <c r="B90" s="2" t="s">
        <v>110</v>
      </c>
      <c r="C90" s="2" t="s">
        <v>110</v>
      </c>
      <c r="D90" s="1" t="s">
        <v>463</v>
      </c>
      <c r="E90" s="3">
        <v>5813557</v>
      </c>
      <c r="F90" s="3">
        <v>813</v>
      </c>
      <c r="G90" s="3">
        <v>20635</v>
      </c>
      <c r="H90" s="3">
        <v>0</v>
      </c>
      <c r="I90" s="3">
        <v>5812744</v>
      </c>
      <c r="J90" s="3">
        <v>5792109</v>
      </c>
      <c r="K90" s="3">
        <v>5792109</v>
      </c>
      <c r="L90" s="3">
        <v>176249</v>
      </c>
      <c r="M90" s="3">
        <v>558201</v>
      </c>
      <c r="N90" s="3">
        <v>56648</v>
      </c>
      <c r="O90" s="3">
        <v>59167</v>
      </c>
      <c r="P90" s="3">
        <v>303237</v>
      </c>
      <c r="Q90" s="3">
        <v>4659242</v>
      </c>
      <c r="R90" s="3">
        <v>4638607</v>
      </c>
      <c r="S90" s="3">
        <v>4638607</v>
      </c>
      <c r="T90" s="3">
        <v>581274</v>
      </c>
      <c r="U90" s="3">
        <v>581274</v>
      </c>
      <c r="V90" s="3">
        <v>581274</v>
      </c>
      <c r="W90" s="3">
        <v>581274</v>
      </c>
      <c r="X90" s="3">
        <v>577836</v>
      </c>
      <c r="Y90" s="3">
        <v>577836</v>
      </c>
      <c r="Z90" s="4">
        <v>577835</v>
      </c>
      <c r="AA90" s="4">
        <v>577835</v>
      </c>
      <c r="AB90" s="4">
        <v>577835</v>
      </c>
      <c r="AC90" s="4">
        <v>577836</v>
      </c>
      <c r="AD90" s="4">
        <v>581274</v>
      </c>
      <c r="AE90" s="4">
        <v>1162548</v>
      </c>
      <c r="AF90" s="4">
        <v>1743822</v>
      </c>
      <c r="AG90" s="4">
        <v>2325096</v>
      </c>
      <c r="AH90" s="4">
        <v>2902932</v>
      </c>
      <c r="AI90" s="4">
        <v>3480768</v>
      </c>
      <c r="AJ90" s="4">
        <v>4058603</v>
      </c>
      <c r="AK90" s="4">
        <v>4636438</v>
      </c>
      <c r="AL90" s="4">
        <v>5214273</v>
      </c>
      <c r="AM90" s="4">
        <v>5792109</v>
      </c>
      <c r="AN90" s="153">
        <v>431492</v>
      </c>
    </row>
    <row r="91" spans="1:40" x14ac:dyDescent="0.2">
      <c r="A91" s="1">
        <v>2022</v>
      </c>
      <c r="B91" s="2" t="s">
        <v>111</v>
      </c>
      <c r="C91" s="2" t="s">
        <v>111</v>
      </c>
      <c r="D91" s="1" t="s">
        <v>464</v>
      </c>
      <c r="E91" s="3">
        <v>70161676</v>
      </c>
      <c r="F91" s="3">
        <v>10432</v>
      </c>
      <c r="G91" s="3">
        <v>244894</v>
      </c>
      <c r="H91" s="1">
        <v>0</v>
      </c>
      <c r="I91" s="3">
        <v>70151244</v>
      </c>
      <c r="J91" s="3">
        <v>69906350</v>
      </c>
      <c r="K91" s="3">
        <v>69906350</v>
      </c>
      <c r="L91" s="3">
        <v>2255412</v>
      </c>
      <c r="M91" s="3">
        <v>6598581</v>
      </c>
      <c r="N91" s="3">
        <v>791586</v>
      </c>
      <c r="O91" s="3">
        <v>780555</v>
      </c>
      <c r="P91" s="3">
        <v>3598842</v>
      </c>
      <c r="Q91" s="3">
        <v>56126268</v>
      </c>
      <c r="R91" s="3">
        <v>55881374</v>
      </c>
      <c r="S91" s="3">
        <v>55881374</v>
      </c>
      <c r="T91" s="3">
        <v>7015124</v>
      </c>
      <c r="U91" s="3">
        <v>7015124</v>
      </c>
      <c r="V91" s="3">
        <v>7015124</v>
      </c>
      <c r="W91" s="3">
        <v>7015124</v>
      </c>
      <c r="X91" s="3">
        <v>6974309</v>
      </c>
      <c r="Y91" s="3">
        <v>6974309</v>
      </c>
      <c r="Z91" s="4">
        <v>6974309</v>
      </c>
      <c r="AA91" s="4">
        <v>6974309</v>
      </c>
      <c r="AB91" s="4">
        <v>6974309</v>
      </c>
      <c r="AC91" s="4">
        <v>6974309</v>
      </c>
      <c r="AD91" s="4">
        <v>7015124</v>
      </c>
      <c r="AE91" s="4">
        <v>14030248</v>
      </c>
      <c r="AF91" s="4">
        <v>21045372</v>
      </c>
      <c r="AG91" s="4">
        <v>28060496</v>
      </c>
      <c r="AH91" s="4">
        <v>35034805</v>
      </c>
      <c r="AI91" s="4">
        <v>42009114</v>
      </c>
      <c r="AJ91" s="4">
        <v>48983423</v>
      </c>
      <c r="AK91" s="4">
        <v>55957732</v>
      </c>
      <c r="AL91" s="4">
        <v>62932041</v>
      </c>
      <c r="AM91" s="4">
        <v>69906350</v>
      </c>
      <c r="AN91" s="153">
        <v>5483327</v>
      </c>
    </row>
    <row r="92" spans="1:40" x14ac:dyDescent="0.2">
      <c r="A92" s="1">
        <v>2022</v>
      </c>
      <c r="B92" s="2" t="s">
        <v>112</v>
      </c>
      <c r="C92" s="2" t="s">
        <v>112</v>
      </c>
      <c r="D92" s="1" t="s">
        <v>465</v>
      </c>
      <c r="E92" s="3">
        <v>2400205</v>
      </c>
      <c r="F92" s="1">
        <v>464</v>
      </c>
      <c r="G92" s="3">
        <v>8991</v>
      </c>
      <c r="H92" s="1">
        <v>0</v>
      </c>
      <c r="I92" s="3">
        <v>2399741</v>
      </c>
      <c r="J92" s="3">
        <v>2390750</v>
      </c>
      <c r="K92" s="3">
        <v>2390750</v>
      </c>
      <c r="L92" s="3">
        <v>100714</v>
      </c>
      <c r="M92" s="3">
        <v>245866</v>
      </c>
      <c r="N92" s="3">
        <v>27740</v>
      </c>
      <c r="O92" s="3">
        <v>25776</v>
      </c>
      <c r="P92" s="3">
        <v>132123</v>
      </c>
      <c r="Q92" s="3">
        <v>1867522</v>
      </c>
      <c r="R92" s="3">
        <v>1858531</v>
      </c>
      <c r="S92" s="3">
        <v>1858531</v>
      </c>
      <c r="T92" s="3">
        <v>239974</v>
      </c>
      <c r="U92" s="3">
        <v>239974</v>
      </c>
      <c r="V92" s="3">
        <v>239974</v>
      </c>
      <c r="W92" s="3">
        <v>239974</v>
      </c>
      <c r="X92" s="3">
        <v>238476</v>
      </c>
      <c r="Y92" s="3">
        <v>238476</v>
      </c>
      <c r="Z92" s="4">
        <v>238476</v>
      </c>
      <c r="AA92" s="4">
        <v>238476</v>
      </c>
      <c r="AB92" s="4">
        <v>238476</v>
      </c>
      <c r="AC92" s="4">
        <v>238474</v>
      </c>
      <c r="AD92" s="4">
        <v>239974</v>
      </c>
      <c r="AE92" s="4">
        <v>479948</v>
      </c>
      <c r="AF92" s="4">
        <v>719922</v>
      </c>
      <c r="AG92" s="4">
        <v>959896</v>
      </c>
      <c r="AH92" s="4">
        <v>1198372</v>
      </c>
      <c r="AI92" s="4">
        <v>1436848</v>
      </c>
      <c r="AJ92" s="4">
        <v>1675324</v>
      </c>
      <c r="AK92" s="4">
        <v>1913800</v>
      </c>
      <c r="AL92" s="4">
        <v>2152276</v>
      </c>
      <c r="AM92" s="4">
        <v>2390750</v>
      </c>
      <c r="AN92" s="153">
        <v>198802</v>
      </c>
    </row>
    <row r="93" spans="1:40" x14ac:dyDescent="0.2">
      <c r="A93" s="1">
        <v>2022</v>
      </c>
      <c r="B93" s="2" t="s">
        <v>113</v>
      </c>
      <c r="C93" s="2" t="s">
        <v>113</v>
      </c>
      <c r="D93" s="1" t="s">
        <v>466</v>
      </c>
      <c r="E93" s="3">
        <v>2212045</v>
      </c>
      <c r="F93" s="3">
        <v>332</v>
      </c>
      <c r="G93" s="3">
        <v>9183</v>
      </c>
      <c r="H93" s="3">
        <v>7116</v>
      </c>
      <c r="I93" s="3">
        <v>2211713</v>
      </c>
      <c r="J93" s="3">
        <v>2202530</v>
      </c>
      <c r="K93" s="3">
        <v>2195414</v>
      </c>
      <c r="L93" s="3">
        <v>71938</v>
      </c>
      <c r="M93" s="3">
        <v>272186</v>
      </c>
      <c r="N93" s="3">
        <v>31012</v>
      </c>
      <c r="O93" s="3">
        <v>32521</v>
      </c>
      <c r="P93" s="3">
        <v>136799</v>
      </c>
      <c r="Q93" s="3">
        <v>1667257</v>
      </c>
      <c r="R93" s="3">
        <v>1658074</v>
      </c>
      <c r="S93" s="3">
        <v>1650958</v>
      </c>
      <c r="T93" s="3">
        <v>221171</v>
      </c>
      <c r="U93" s="3">
        <v>221171</v>
      </c>
      <c r="V93" s="3">
        <v>221171</v>
      </c>
      <c r="W93" s="3">
        <v>221171</v>
      </c>
      <c r="X93" s="3">
        <v>219641</v>
      </c>
      <c r="Y93" s="3">
        <v>219641</v>
      </c>
      <c r="Z93" s="4">
        <v>217862</v>
      </c>
      <c r="AA93" s="4">
        <v>217862</v>
      </c>
      <c r="AB93" s="4">
        <v>217862</v>
      </c>
      <c r="AC93" s="4">
        <v>217862</v>
      </c>
      <c r="AD93" s="4">
        <v>221171</v>
      </c>
      <c r="AE93" s="4">
        <v>442342</v>
      </c>
      <c r="AF93" s="4">
        <v>663513</v>
      </c>
      <c r="AG93" s="4">
        <v>884684</v>
      </c>
      <c r="AH93" s="4">
        <v>1104325</v>
      </c>
      <c r="AI93" s="4">
        <v>1323966</v>
      </c>
      <c r="AJ93" s="4">
        <v>1541828</v>
      </c>
      <c r="AK93" s="4">
        <v>1759690</v>
      </c>
      <c r="AL93" s="4">
        <v>1977552</v>
      </c>
      <c r="AM93" s="4">
        <v>2195414</v>
      </c>
      <c r="AN93" s="153">
        <v>182432</v>
      </c>
    </row>
    <row r="94" spans="1:40" x14ac:dyDescent="0.2">
      <c r="A94" s="1">
        <v>2022</v>
      </c>
      <c r="B94" s="2" t="s">
        <v>114</v>
      </c>
      <c r="C94" s="2" t="s">
        <v>114</v>
      </c>
      <c r="D94" s="1" t="s">
        <v>467</v>
      </c>
      <c r="E94" s="3">
        <v>3197972</v>
      </c>
      <c r="F94" s="1">
        <v>630</v>
      </c>
      <c r="G94" s="3">
        <v>12608</v>
      </c>
      <c r="H94" s="1">
        <v>0</v>
      </c>
      <c r="I94" s="3">
        <v>3197342</v>
      </c>
      <c r="J94" s="3">
        <v>3184734</v>
      </c>
      <c r="K94" s="3">
        <v>3184734</v>
      </c>
      <c r="L94" s="3">
        <v>136683</v>
      </c>
      <c r="M94" s="3">
        <v>394886</v>
      </c>
      <c r="N94" s="3">
        <v>36459</v>
      </c>
      <c r="O94" s="3">
        <v>44679</v>
      </c>
      <c r="P94" s="3">
        <v>189978</v>
      </c>
      <c r="Q94" s="3">
        <v>2394657</v>
      </c>
      <c r="R94" s="3">
        <v>2382049</v>
      </c>
      <c r="S94" s="3">
        <v>2382049</v>
      </c>
      <c r="T94" s="3">
        <v>319734</v>
      </c>
      <c r="U94" s="3">
        <v>319734</v>
      </c>
      <c r="V94" s="3">
        <v>319734</v>
      </c>
      <c r="W94" s="3">
        <v>319734</v>
      </c>
      <c r="X94" s="3">
        <v>317633</v>
      </c>
      <c r="Y94" s="3">
        <v>317633</v>
      </c>
      <c r="Z94" s="4">
        <v>317633</v>
      </c>
      <c r="AA94" s="4">
        <v>317633</v>
      </c>
      <c r="AB94" s="4">
        <v>317633</v>
      </c>
      <c r="AC94" s="4">
        <v>317633</v>
      </c>
      <c r="AD94" s="4">
        <v>319734</v>
      </c>
      <c r="AE94" s="4">
        <v>639468</v>
      </c>
      <c r="AF94" s="4">
        <v>959202</v>
      </c>
      <c r="AG94" s="4">
        <v>1278936</v>
      </c>
      <c r="AH94" s="4">
        <v>1596569</v>
      </c>
      <c r="AI94" s="4">
        <v>1914202</v>
      </c>
      <c r="AJ94" s="4">
        <v>2231835</v>
      </c>
      <c r="AK94" s="4">
        <v>2549468</v>
      </c>
      <c r="AL94" s="4">
        <v>2867101</v>
      </c>
      <c r="AM94" s="4">
        <v>3184734</v>
      </c>
      <c r="AN94" s="153">
        <v>251816</v>
      </c>
    </row>
    <row r="95" spans="1:40" x14ac:dyDescent="0.2">
      <c r="A95" s="1">
        <v>2022</v>
      </c>
      <c r="B95" s="2" t="s">
        <v>115</v>
      </c>
      <c r="C95" s="2" t="s">
        <v>696</v>
      </c>
      <c r="D95" s="1" t="s">
        <v>468</v>
      </c>
      <c r="E95" s="3">
        <v>6240215</v>
      </c>
      <c r="F95" s="3">
        <v>912</v>
      </c>
      <c r="G95" s="3">
        <v>23582</v>
      </c>
      <c r="H95" s="1">
        <v>0</v>
      </c>
      <c r="I95" s="3">
        <v>6239303</v>
      </c>
      <c r="J95" s="3">
        <v>6215721</v>
      </c>
      <c r="K95" s="3">
        <v>6215721</v>
      </c>
      <c r="L95" s="3">
        <v>197831</v>
      </c>
      <c r="M95" s="3">
        <v>646390</v>
      </c>
      <c r="N95" s="3">
        <v>68826</v>
      </c>
      <c r="O95" s="3">
        <v>57165</v>
      </c>
      <c r="P95" s="3">
        <v>353026</v>
      </c>
      <c r="Q95" s="3">
        <v>4916065</v>
      </c>
      <c r="R95" s="3">
        <v>4892483</v>
      </c>
      <c r="S95" s="3">
        <v>4892483</v>
      </c>
      <c r="T95" s="3">
        <v>623930</v>
      </c>
      <c r="U95" s="3">
        <v>623930</v>
      </c>
      <c r="V95" s="3">
        <v>623930</v>
      </c>
      <c r="W95" s="3">
        <v>623930</v>
      </c>
      <c r="X95" s="3">
        <v>620000</v>
      </c>
      <c r="Y95" s="3">
        <v>620000</v>
      </c>
      <c r="Z95" s="4">
        <v>620000</v>
      </c>
      <c r="AA95" s="4">
        <v>620000</v>
      </c>
      <c r="AB95" s="4">
        <v>620000</v>
      </c>
      <c r="AC95" s="4">
        <v>620001</v>
      </c>
      <c r="AD95" s="4">
        <v>623930</v>
      </c>
      <c r="AE95" s="4">
        <v>1247860</v>
      </c>
      <c r="AF95" s="4">
        <v>1871790</v>
      </c>
      <c r="AG95" s="4">
        <v>2495720</v>
      </c>
      <c r="AH95" s="4">
        <v>3115720</v>
      </c>
      <c r="AI95" s="4">
        <v>3735720</v>
      </c>
      <c r="AJ95" s="4">
        <v>4355720</v>
      </c>
      <c r="AK95" s="4">
        <v>4975720</v>
      </c>
      <c r="AL95" s="4">
        <v>5595720</v>
      </c>
      <c r="AM95" s="4">
        <v>6215721</v>
      </c>
      <c r="AN95" s="153">
        <v>515016</v>
      </c>
    </row>
    <row r="96" spans="1:40" x14ac:dyDescent="0.2">
      <c r="A96" s="1">
        <v>2022</v>
      </c>
      <c r="B96" s="2" t="s">
        <v>116</v>
      </c>
      <c r="C96" s="2" t="s">
        <v>116</v>
      </c>
      <c r="D96" s="1" t="s">
        <v>469</v>
      </c>
      <c r="E96" s="3">
        <v>6929520</v>
      </c>
      <c r="F96" s="3">
        <v>1061</v>
      </c>
      <c r="G96" s="3">
        <v>22485</v>
      </c>
      <c r="H96" s="1">
        <v>0</v>
      </c>
      <c r="I96" s="3">
        <v>6928459</v>
      </c>
      <c r="J96" s="3">
        <v>6905974</v>
      </c>
      <c r="K96" s="3">
        <v>6905974</v>
      </c>
      <c r="L96" s="3">
        <v>230203</v>
      </c>
      <c r="M96" s="3">
        <v>601063</v>
      </c>
      <c r="N96" s="3">
        <v>74128</v>
      </c>
      <c r="O96" s="3">
        <v>65940</v>
      </c>
      <c r="P96" s="3">
        <v>330430</v>
      </c>
      <c r="Q96" s="3">
        <v>5626695</v>
      </c>
      <c r="R96" s="3">
        <v>5604210</v>
      </c>
      <c r="S96" s="3">
        <v>5604210</v>
      </c>
      <c r="T96" s="3">
        <v>692846</v>
      </c>
      <c r="U96" s="3">
        <v>692846</v>
      </c>
      <c r="V96" s="3">
        <v>692846</v>
      </c>
      <c r="W96" s="3">
        <v>692846</v>
      </c>
      <c r="X96" s="3">
        <v>689098</v>
      </c>
      <c r="Y96" s="3">
        <v>689098</v>
      </c>
      <c r="Z96" s="4">
        <v>689099</v>
      </c>
      <c r="AA96" s="4">
        <v>689099</v>
      </c>
      <c r="AB96" s="4">
        <v>689099</v>
      </c>
      <c r="AC96" s="4">
        <v>689097</v>
      </c>
      <c r="AD96" s="4">
        <v>692846</v>
      </c>
      <c r="AE96" s="4">
        <v>1385692</v>
      </c>
      <c r="AF96" s="4">
        <v>2078538</v>
      </c>
      <c r="AG96" s="4">
        <v>2771384</v>
      </c>
      <c r="AH96" s="4">
        <v>3460482</v>
      </c>
      <c r="AI96" s="4">
        <v>4149580</v>
      </c>
      <c r="AJ96" s="4">
        <v>4838679</v>
      </c>
      <c r="AK96" s="4">
        <v>5527778</v>
      </c>
      <c r="AL96" s="4">
        <v>6216877</v>
      </c>
      <c r="AM96" s="4">
        <v>6905974</v>
      </c>
      <c r="AN96" s="153">
        <v>467497</v>
      </c>
    </row>
    <row r="97" spans="1:40" x14ac:dyDescent="0.2">
      <c r="A97" s="1">
        <v>2022</v>
      </c>
      <c r="B97" s="2" t="s">
        <v>117</v>
      </c>
      <c r="C97" s="2" t="s">
        <v>117</v>
      </c>
      <c r="D97" s="1" t="s">
        <v>470</v>
      </c>
      <c r="E97" s="3">
        <v>3775904</v>
      </c>
      <c r="F97" s="1">
        <v>697</v>
      </c>
      <c r="G97" s="3">
        <v>13708</v>
      </c>
      <c r="H97" s="1">
        <v>0</v>
      </c>
      <c r="I97" s="3">
        <v>3775207</v>
      </c>
      <c r="J97" s="3">
        <v>3761499</v>
      </c>
      <c r="K97" s="3">
        <v>3761499</v>
      </c>
      <c r="L97" s="3">
        <v>151070</v>
      </c>
      <c r="M97" s="3">
        <v>377735</v>
      </c>
      <c r="N97" s="3">
        <v>43606</v>
      </c>
      <c r="O97" s="3">
        <v>38493</v>
      </c>
      <c r="P97" s="3">
        <v>201448</v>
      </c>
      <c r="Q97" s="3">
        <v>2962855</v>
      </c>
      <c r="R97" s="3">
        <v>2949147</v>
      </c>
      <c r="S97" s="3">
        <v>2949147</v>
      </c>
      <c r="T97" s="3">
        <v>377521</v>
      </c>
      <c r="U97" s="3">
        <v>377521</v>
      </c>
      <c r="V97" s="3">
        <v>377521</v>
      </c>
      <c r="W97" s="3">
        <v>377521</v>
      </c>
      <c r="X97" s="3">
        <v>375236</v>
      </c>
      <c r="Y97" s="3">
        <v>375236</v>
      </c>
      <c r="Z97" s="4">
        <v>375236</v>
      </c>
      <c r="AA97" s="4">
        <v>375236</v>
      </c>
      <c r="AB97" s="4">
        <v>375236</v>
      </c>
      <c r="AC97" s="4">
        <v>375235</v>
      </c>
      <c r="AD97" s="4">
        <v>377521</v>
      </c>
      <c r="AE97" s="4">
        <v>755042</v>
      </c>
      <c r="AF97" s="4">
        <v>1132563</v>
      </c>
      <c r="AG97" s="4">
        <v>1510084</v>
      </c>
      <c r="AH97" s="4">
        <v>1885320</v>
      </c>
      <c r="AI97" s="4">
        <v>2260556</v>
      </c>
      <c r="AJ97" s="4">
        <v>2635792</v>
      </c>
      <c r="AK97" s="4">
        <v>3011028</v>
      </c>
      <c r="AL97" s="4">
        <v>3386264</v>
      </c>
      <c r="AM97" s="4">
        <v>3761499</v>
      </c>
      <c r="AN97" s="153">
        <v>261401</v>
      </c>
    </row>
    <row r="98" spans="1:40" x14ac:dyDescent="0.2">
      <c r="A98" s="1">
        <v>2022</v>
      </c>
      <c r="B98" s="2" t="s">
        <v>118</v>
      </c>
      <c r="C98" s="2" t="s">
        <v>118</v>
      </c>
      <c r="D98" s="1" t="s">
        <v>471</v>
      </c>
      <c r="E98" s="3">
        <v>3764501</v>
      </c>
      <c r="F98" s="1">
        <v>415</v>
      </c>
      <c r="G98" s="3">
        <v>13145</v>
      </c>
      <c r="H98" s="1">
        <v>0</v>
      </c>
      <c r="I98" s="3">
        <v>3764086</v>
      </c>
      <c r="J98" s="3">
        <v>3750941</v>
      </c>
      <c r="K98" s="3">
        <v>3750941</v>
      </c>
      <c r="L98" s="3">
        <v>89923</v>
      </c>
      <c r="M98" s="3">
        <v>375748</v>
      </c>
      <c r="N98" s="3">
        <v>39978</v>
      </c>
      <c r="O98" s="3">
        <v>37947</v>
      </c>
      <c r="P98" s="3">
        <v>193175</v>
      </c>
      <c r="Q98" s="3">
        <v>3027315</v>
      </c>
      <c r="R98" s="3">
        <v>3014170</v>
      </c>
      <c r="S98" s="3">
        <v>3014170</v>
      </c>
      <c r="T98" s="3">
        <v>376409</v>
      </c>
      <c r="U98" s="3">
        <v>376409</v>
      </c>
      <c r="V98" s="3">
        <v>376409</v>
      </c>
      <c r="W98" s="3">
        <v>376409</v>
      </c>
      <c r="X98" s="3">
        <v>374218</v>
      </c>
      <c r="Y98" s="3">
        <v>374218</v>
      </c>
      <c r="Z98" s="4">
        <v>374217</v>
      </c>
      <c r="AA98" s="4">
        <v>374217</v>
      </c>
      <c r="AB98" s="4">
        <v>374217</v>
      </c>
      <c r="AC98" s="4">
        <v>374218</v>
      </c>
      <c r="AD98" s="4">
        <v>376409</v>
      </c>
      <c r="AE98" s="4">
        <v>752818</v>
      </c>
      <c r="AF98" s="4">
        <v>1129227</v>
      </c>
      <c r="AG98" s="4">
        <v>1505636</v>
      </c>
      <c r="AH98" s="4">
        <v>1879854</v>
      </c>
      <c r="AI98" s="4">
        <v>2254072</v>
      </c>
      <c r="AJ98" s="4">
        <v>2628289</v>
      </c>
      <c r="AK98" s="4">
        <v>3002506</v>
      </c>
      <c r="AL98" s="4">
        <v>3376723</v>
      </c>
      <c r="AM98" s="4">
        <v>3750941</v>
      </c>
      <c r="AN98" s="153">
        <v>276324</v>
      </c>
    </row>
    <row r="99" spans="1:40" x14ac:dyDescent="0.2">
      <c r="A99" s="1">
        <v>2022</v>
      </c>
      <c r="B99" s="2" t="s">
        <v>119</v>
      </c>
      <c r="C99" s="2" t="s">
        <v>119</v>
      </c>
      <c r="D99" s="1" t="s">
        <v>472</v>
      </c>
      <c r="E99" s="3">
        <v>3709698</v>
      </c>
      <c r="F99" s="1">
        <v>597</v>
      </c>
      <c r="G99" s="3">
        <v>13373</v>
      </c>
      <c r="H99" s="1">
        <v>0</v>
      </c>
      <c r="I99" s="3">
        <v>3709101</v>
      </c>
      <c r="J99" s="3">
        <v>3695728</v>
      </c>
      <c r="K99" s="3">
        <v>3695728</v>
      </c>
      <c r="L99" s="3">
        <v>129489</v>
      </c>
      <c r="M99" s="3">
        <v>356526</v>
      </c>
      <c r="N99" s="3">
        <v>36668</v>
      </c>
      <c r="O99" s="3">
        <v>39169</v>
      </c>
      <c r="P99" s="3">
        <v>196966</v>
      </c>
      <c r="Q99" s="3">
        <v>2950283</v>
      </c>
      <c r="R99" s="3">
        <v>2936910</v>
      </c>
      <c r="S99" s="3">
        <v>2936910</v>
      </c>
      <c r="T99" s="3">
        <v>370910</v>
      </c>
      <c r="U99" s="3">
        <v>370910</v>
      </c>
      <c r="V99" s="3">
        <v>370910</v>
      </c>
      <c r="W99" s="3">
        <v>370910</v>
      </c>
      <c r="X99" s="3">
        <v>368681</v>
      </c>
      <c r="Y99" s="3">
        <v>368681</v>
      </c>
      <c r="Z99" s="4">
        <v>368682</v>
      </c>
      <c r="AA99" s="4">
        <v>368682</v>
      </c>
      <c r="AB99" s="4">
        <v>368682</v>
      </c>
      <c r="AC99" s="4">
        <v>368680</v>
      </c>
      <c r="AD99" s="4">
        <v>370910</v>
      </c>
      <c r="AE99" s="4">
        <v>741820</v>
      </c>
      <c r="AF99" s="4">
        <v>1112730</v>
      </c>
      <c r="AG99" s="4">
        <v>1483640</v>
      </c>
      <c r="AH99" s="4">
        <v>1852321</v>
      </c>
      <c r="AI99" s="4">
        <v>2221002</v>
      </c>
      <c r="AJ99" s="4">
        <v>2589684</v>
      </c>
      <c r="AK99" s="4">
        <v>2958366</v>
      </c>
      <c r="AL99" s="4">
        <v>3327048</v>
      </c>
      <c r="AM99" s="4">
        <v>3695728</v>
      </c>
      <c r="AN99" s="153">
        <v>274966</v>
      </c>
    </row>
    <row r="100" spans="1:40" x14ac:dyDescent="0.2">
      <c r="A100" s="1">
        <v>2022</v>
      </c>
      <c r="B100" s="2" t="s">
        <v>120</v>
      </c>
      <c r="C100" s="2" t="s">
        <v>120</v>
      </c>
      <c r="D100" s="1" t="s">
        <v>473</v>
      </c>
      <c r="E100" s="3">
        <v>3535815</v>
      </c>
      <c r="F100" s="1">
        <v>448</v>
      </c>
      <c r="G100" s="3">
        <v>11996</v>
      </c>
      <c r="H100" s="1">
        <v>0</v>
      </c>
      <c r="I100" s="3">
        <v>3535367</v>
      </c>
      <c r="J100" s="3">
        <v>3523371</v>
      </c>
      <c r="K100" s="3">
        <v>3523371</v>
      </c>
      <c r="L100" s="3">
        <v>97117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2867111</v>
      </c>
      <c r="R100" s="3">
        <v>2855115</v>
      </c>
      <c r="S100" s="3">
        <v>2855115</v>
      </c>
      <c r="T100" s="3">
        <v>353537</v>
      </c>
      <c r="U100" s="3">
        <v>353537</v>
      </c>
      <c r="V100" s="3">
        <v>353537</v>
      </c>
      <c r="W100" s="3">
        <v>353537</v>
      </c>
      <c r="X100" s="3">
        <v>351537</v>
      </c>
      <c r="Y100" s="3">
        <v>351537</v>
      </c>
      <c r="Z100" s="4">
        <v>351537</v>
      </c>
      <c r="AA100" s="4">
        <v>351537</v>
      </c>
      <c r="AB100" s="4">
        <v>351537</v>
      </c>
      <c r="AC100" s="4">
        <v>351538</v>
      </c>
      <c r="AD100" s="4">
        <v>353537</v>
      </c>
      <c r="AE100" s="4">
        <v>707074</v>
      </c>
      <c r="AF100" s="4">
        <v>1060611</v>
      </c>
      <c r="AG100" s="4">
        <v>1414148</v>
      </c>
      <c r="AH100" s="4">
        <v>1765685</v>
      </c>
      <c r="AI100" s="4">
        <v>2117222</v>
      </c>
      <c r="AJ100" s="4">
        <v>2468759</v>
      </c>
      <c r="AK100" s="4">
        <v>2820296</v>
      </c>
      <c r="AL100" s="4">
        <v>3171833</v>
      </c>
      <c r="AM100" s="4">
        <v>3523371</v>
      </c>
      <c r="AN100" s="153">
        <v>235540</v>
      </c>
    </row>
    <row r="101" spans="1:40" x14ac:dyDescent="0.2">
      <c r="A101" s="1">
        <v>2022</v>
      </c>
      <c r="B101" s="2" t="s">
        <v>121</v>
      </c>
      <c r="C101" s="2" t="s">
        <v>121</v>
      </c>
      <c r="D101" s="1" t="s">
        <v>474</v>
      </c>
      <c r="E101" s="3">
        <v>1612381</v>
      </c>
      <c r="F101" s="3">
        <v>381</v>
      </c>
      <c r="G101" s="3">
        <v>7649</v>
      </c>
      <c r="H101" s="1">
        <v>0</v>
      </c>
      <c r="I101" s="3">
        <v>1612000</v>
      </c>
      <c r="J101" s="3">
        <v>1604351</v>
      </c>
      <c r="K101" s="3">
        <v>1604351</v>
      </c>
      <c r="L101" s="3">
        <v>82730</v>
      </c>
      <c r="M101" s="3">
        <v>223497</v>
      </c>
      <c r="N101" s="3">
        <v>25927</v>
      </c>
      <c r="O101" s="3">
        <v>21481</v>
      </c>
      <c r="P101" s="3">
        <v>112401</v>
      </c>
      <c r="Q101" s="3">
        <v>1145964</v>
      </c>
      <c r="R101" s="3">
        <v>1138315</v>
      </c>
      <c r="S101" s="3">
        <v>1138315</v>
      </c>
      <c r="T101" s="3">
        <v>161200</v>
      </c>
      <c r="U101" s="3">
        <v>161200</v>
      </c>
      <c r="V101" s="3">
        <v>161200</v>
      </c>
      <c r="W101" s="3">
        <v>161200</v>
      </c>
      <c r="X101" s="3">
        <v>159925</v>
      </c>
      <c r="Y101" s="3">
        <v>159925</v>
      </c>
      <c r="Z101" s="4">
        <v>159925</v>
      </c>
      <c r="AA101" s="4">
        <v>159925</v>
      </c>
      <c r="AB101" s="4">
        <v>159925</v>
      </c>
      <c r="AC101" s="4">
        <v>159926</v>
      </c>
      <c r="AD101" s="4">
        <v>161200</v>
      </c>
      <c r="AE101" s="4">
        <v>322400</v>
      </c>
      <c r="AF101" s="4">
        <v>483600</v>
      </c>
      <c r="AG101" s="4">
        <v>644800</v>
      </c>
      <c r="AH101" s="4">
        <v>804725</v>
      </c>
      <c r="AI101" s="4">
        <v>964650</v>
      </c>
      <c r="AJ101" s="4">
        <v>1124575</v>
      </c>
      <c r="AK101" s="4">
        <v>1284500</v>
      </c>
      <c r="AL101" s="4">
        <v>1444425</v>
      </c>
      <c r="AM101" s="4">
        <v>1604351</v>
      </c>
      <c r="AN101" s="153">
        <v>158560</v>
      </c>
    </row>
    <row r="102" spans="1:40" x14ac:dyDescent="0.2">
      <c r="A102" s="1">
        <v>2022</v>
      </c>
      <c r="B102" s="2" t="s">
        <v>122</v>
      </c>
      <c r="C102" s="2" t="s">
        <v>122</v>
      </c>
      <c r="D102" s="1" t="s">
        <v>475</v>
      </c>
      <c r="E102" s="3">
        <v>2284397</v>
      </c>
      <c r="F102" s="1">
        <v>431</v>
      </c>
      <c r="G102" s="3">
        <v>9670</v>
      </c>
      <c r="H102" s="3">
        <v>5344</v>
      </c>
      <c r="I102" s="3">
        <v>2283966</v>
      </c>
      <c r="J102" s="3">
        <v>2274296</v>
      </c>
      <c r="K102" s="3">
        <v>2268952</v>
      </c>
      <c r="L102" s="3">
        <v>93520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1711628</v>
      </c>
      <c r="R102" s="3">
        <v>1701958</v>
      </c>
      <c r="S102" s="3">
        <v>1696614</v>
      </c>
      <c r="T102" s="3">
        <v>228397</v>
      </c>
      <c r="U102" s="3">
        <v>228397</v>
      </c>
      <c r="V102" s="3">
        <v>228397</v>
      </c>
      <c r="W102" s="3">
        <v>228397</v>
      </c>
      <c r="X102" s="3">
        <v>226785</v>
      </c>
      <c r="Y102" s="3">
        <v>226785</v>
      </c>
      <c r="Z102" s="4">
        <v>225449</v>
      </c>
      <c r="AA102" s="4">
        <v>225449</v>
      </c>
      <c r="AB102" s="4">
        <v>225449</v>
      </c>
      <c r="AC102" s="4">
        <v>225447</v>
      </c>
      <c r="AD102" s="4">
        <v>228397</v>
      </c>
      <c r="AE102" s="4">
        <v>456794</v>
      </c>
      <c r="AF102" s="4">
        <v>685191</v>
      </c>
      <c r="AG102" s="4">
        <v>913588</v>
      </c>
      <c r="AH102" s="4">
        <v>1140373</v>
      </c>
      <c r="AI102" s="4">
        <v>1367158</v>
      </c>
      <c r="AJ102" s="4">
        <v>1592607</v>
      </c>
      <c r="AK102" s="4">
        <v>1818056</v>
      </c>
      <c r="AL102" s="4">
        <v>2043505</v>
      </c>
      <c r="AM102" s="4">
        <v>2268952</v>
      </c>
      <c r="AN102" s="153">
        <v>192604</v>
      </c>
    </row>
    <row r="103" spans="1:40" x14ac:dyDescent="0.2">
      <c r="A103" s="1">
        <v>2022</v>
      </c>
      <c r="B103" s="2" t="s">
        <v>123</v>
      </c>
      <c r="C103" s="2" t="s">
        <v>123</v>
      </c>
      <c r="D103" s="1" t="s">
        <v>476</v>
      </c>
      <c r="E103" s="3">
        <v>2513992</v>
      </c>
      <c r="F103" s="1">
        <v>531</v>
      </c>
      <c r="G103" s="3">
        <v>9525</v>
      </c>
      <c r="H103" s="1">
        <v>0</v>
      </c>
      <c r="I103" s="3">
        <v>2513461</v>
      </c>
      <c r="J103" s="3">
        <v>2503936</v>
      </c>
      <c r="K103" s="3">
        <v>2503936</v>
      </c>
      <c r="L103" s="3">
        <v>115101</v>
      </c>
      <c r="M103" s="3">
        <v>274684</v>
      </c>
      <c r="N103" s="3">
        <v>32943</v>
      </c>
      <c r="O103" s="3">
        <v>30669</v>
      </c>
      <c r="P103" s="3">
        <v>141469</v>
      </c>
      <c r="Q103" s="3">
        <v>1918595</v>
      </c>
      <c r="R103" s="3">
        <v>1909070</v>
      </c>
      <c r="S103" s="3">
        <v>1909070</v>
      </c>
      <c r="T103" s="3">
        <v>251346</v>
      </c>
      <c r="U103" s="3">
        <v>251346</v>
      </c>
      <c r="V103" s="3">
        <v>251346</v>
      </c>
      <c r="W103" s="3">
        <v>251346</v>
      </c>
      <c r="X103" s="3">
        <v>249759</v>
      </c>
      <c r="Y103" s="3">
        <v>249759</v>
      </c>
      <c r="Z103" s="4">
        <v>249759</v>
      </c>
      <c r="AA103" s="4">
        <v>249759</v>
      </c>
      <c r="AB103" s="4">
        <v>249759</v>
      </c>
      <c r="AC103" s="4">
        <v>249757</v>
      </c>
      <c r="AD103" s="4">
        <v>251346</v>
      </c>
      <c r="AE103" s="4">
        <v>502692</v>
      </c>
      <c r="AF103" s="4">
        <v>754038</v>
      </c>
      <c r="AG103" s="4">
        <v>1005384</v>
      </c>
      <c r="AH103" s="4">
        <v>1255143</v>
      </c>
      <c r="AI103" s="4">
        <v>1504902</v>
      </c>
      <c r="AJ103" s="4">
        <v>1754661</v>
      </c>
      <c r="AK103" s="4">
        <v>2004420</v>
      </c>
      <c r="AL103" s="4">
        <v>2254179</v>
      </c>
      <c r="AM103" s="4">
        <v>2503936</v>
      </c>
      <c r="AN103" s="153">
        <v>189692</v>
      </c>
    </row>
    <row r="104" spans="1:40" x14ac:dyDescent="0.2">
      <c r="A104" s="1">
        <v>2022</v>
      </c>
      <c r="B104" s="2" t="s">
        <v>124</v>
      </c>
      <c r="C104" s="2" t="s">
        <v>124</v>
      </c>
      <c r="D104" s="1" t="s">
        <v>477</v>
      </c>
      <c r="E104" s="3">
        <v>4016349</v>
      </c>
      <c r="F104" s="1">
        <v>564</v>
      </c>
      <c r="G104" s="3">
        <v>13604</v>
      </c>
      <c r="H104" s="1">
        <v>0</v>
      </c>
      <c r="I104" s="3">
        <v>4015785</v>
      </c>
      <c r="J104" s="3">
        <v>4002181</v>
      </c>
      <c r="K104" s="3">
        <v>4002181</v>
      </c>
      <c r="L104" s="3">
        <v>122295</v>
      </c>
      <c r="M104" s="3">
        <v>383371</v>
      </c>
      <c r="N104" s="3">
        <v>44463</v>
      </c>
      <c r="O104" s="3">
        <v>44584</v>
      </c>
      <c r="P104" s="3">
        <v>205966</v>
      </c>
      <c r="Q104" s="3">
        <v>3215106</v>
      </c>
      <c r="R104" s="3">
        <v>3201502</v>
      </c>
      <c r="S104" s="3">
        <v>3201502</v>
      </c>
      <c r="T104" s="3">
        <v>401579</v>
      </c>
      <c r="U104" s="3">
        <v>401579</v>
      </c>
      <c r="V104" s="3">
        <v>401579</v>
      </c>
      <c r="W104" s="3">
        <v>401579</v>
      </c>
      <c r="X104" s="3">
        <v>399311</v>
      </c>
      <c r="Y104" s="3">
        <v>399311</v>
      </c>
      <c r="Z104" s="4">
        <v>399311</v>
      </c>
      <c r="AA104" s="4">
        <v>399311</v>
      </c>
      <c r="AB104" s="4">
        <v>399311</v>
      </c>
      <c r="AC104" s="4">
        <v>399310</v>
      </c>
      <c r="AD104" s="4">
        <v>401579</v>
      </c>
      <c r="AE104" s="4">
        <v>803158</v>
      </c>
      <c r="AF104" s="4">
        <v>1204737</v>
      </c>
      <c r="AG104" s="4">
        <v>1606316</v>
      </c>
      <c r="AH104" s="4">
        <v>2005627</v>
      </c>
      <c r="AI104" s="4">
        <v>2404938</v>
      </c>
      <c r="AJ104" s="4">
        <v>2804249</v>
      </c>
      <c r="AK104" s="4">
        <v>3203560</v>
      </c>
      <c r="AL104" s="4">
        <v>3602871</v>
      </c>
      <c r="AM104" s="4">
        <v>4002181</v>
      </c>
      <c r="AN104" s="153">
        <v>308207</v>
      </c>
    </row>
    <row r="105" spans="1:40" x14ac:dyDescent="0.2">
      <c r="A105" s="1">
        <v>2022</v>
      </c>
      <c r="B105" s="2" t="s">
        <v>125</v>
      </c>
      <c r="C105" s="2" t="s">
        <v>125</v>
      </c>
      <c r="D105" s="1" t="s">
        <v>478</v>
      </c>
      <c r="E105" s="3">
        <v>3671629</v>
      </c>
      <c r="F105" s="3">
        <v>680</v>
      </c>
      <c r="G105" s="3">
        <v>15506</v>
      </c>
      <c r="H105" s="1">
        <v>0</v>
      </c>
      <c r="I105" s="3">
        <v>3670949</v>
      </c>
      <c r="J105" s="3">
        <v>3655443</v>
      </c>
      <c r="K105" s="3">
        <v>3655443</v>
      </c>
      <c r="L105" s="3">
        <v>147474</v>
      </c>
      <c r="M105" s="3">
        <v>412957</v>
      </c>
      <c r="N105" s="3">
        <v>49550</v>
      </c>
      <c r="O105" s="3">
        <v>48215</v>
      </c>
      <c r="P105" s="3">
        <v>232214</v>
      </c>
      <c r="Q105" s="3">
        <v>2780539</v>
      </c>
      <c r="R105" s="3">
        <v>2765033</v>
      </c>
      <c r="S105" s="3">
        <v>2765033</v>
      </c>
      <c r="T105" s="3">
        <v>367095</v>
      </c>
      <c r="U105" s="3">
        <v>367095</v>
      </c>
      <c r="V105" s="3">
        <v>367095</v>
      </c>
      <c r="W105" s="3">
        <v>367095</v>
      </c>
      <c r="X105" s="3">
        <v>364511</v>
      </c>
      <c r="Y105" s="3">
        <v>364511</v>
      </c>
      <c r="Z105" s="4">
        <v>364510</v>
      </c>
      <c r="AA105" s="4">
        <v>364510</v>
      </c>
      <c r="AB105" s="4">
        <v>364510</v>
      </c>
      <c r="AC105" s="4">
        <v>364511</v>
      </c>
      <c r="AD105" s="4">
        <v>367095</v>
      </c>
      <c r="AE105" s="4">
        <v>734190</v>
      </c>
      <c r="AF105" s="4">
        <v>1101285</v>
      </c>
      <c r="AG105" s="4">
        <v>1468380</v>
      </c>
      <c r="AH105" s="4">
        <v>1832891</v>
      </c>
      <c r="AI105" s="4">
        <v>2197402</v>
      </c>
      <c r="AJ105" s="4">
        <v>2561912</v>
      </c>
      <c r="AK105" s="4">
        <v>2926422</v>
      </c>
      <c r="AL105" s="4">
        <v>3290932</v>
      </c>
      <c r="AM105" s="4">
        <v>3655443</v>
      </c>
      <c r="AN105" s="153">
        <v>337962</v>
      </c>
    </row>
    <row r="106" spans="1:40" x14ac:dyDescent="0.2">
      <c r="A106" s="1">
        <v>2022</v>
      </c>
      <c r="B106" s="2" t="s">
        <v>126</v>
      </c>
      <c r="C106" s="2" t="s">
        <v>126</v>
      </c>
      <c r="D106" s="1" t="s">
        <v>479</v>
      </c>
      <c r="E106" s="3">
        <v>2964157</v>
      </c>
      <c r="F106" s="1">
        <v>249</v>
      </c>
      <c r="G106" s="3">
        <v>11235</v>
      </c>
      <c r="H106" s="1">
        <v>0</v>
      </c>
      <c r="I106" s="3">
        <v>2963908</v>
      </c>
      <c r="J106" s="3">
        <v>2952673</v>
      </c>
      <c r="K106" s="3">
        <v>2952673</v>
      </c>
      <c r="L106" s="3">
        <v>53954</v>
      </c>
      <c r="M106" s="3">
        <v>340664</v>
      </c>
      <c r="N106" s="3">
        <v>37154</v>
      </c>
      <c r="O106" s="3">
        <v>36085</v>
      </c>
      <c r="P106" s="3">
        <v>165110</v>
      </c>
      <c r="Q106" s="3">
        <v>2330941</v>
      </c>
      <c r="R106" s="3">
        <v>2319706</v>
      </c>
      <c r="S106" s="3">
        <v>2319706</v>
      </c>
      <c r="T106" s="3">
        <v>296391</v>
      </c>
      <c r="U106" s="3">
        <v>296391</v>
      </c>
      <c r="V106" s="3">
        <v>296391</v>
      </c>
      <c r="W106" s="3">
        <v>296391</v>
      </c>
      <c r="X106" s="3">
        <v>294518</v>
      </c>
      <c r="Y106" s="3">
        <v>294518</v>
      </c>
      <c r="Z106" s="4">
        <v>294518</v>
      </c>
      <c r="AA106" s="4">
        <v>294518</v>
      </c>
      <c r="AB106" s="4">
        <v>294518</v>
      </c>
      <c r="AC106" s="4">
        <v>294519</v>
      </c>
      <c r="AD106" s="4">
        <v>296391</v>
      </c>
      <c r="AE106" s="4">
        <v>592782</v>
      </c>
      <c r="AF106" s="4">
        <v>889173</v>
      </c>
      <c r="AG106" s="4">
        <v>1185564</v>
      </c>
      <c r="AH106" s="4">
        <v>1480082</v>
      </c>
      <c r="AI106" s="4">
        <v>1774600</v>
      </c>
      <c r="AJ106" s="4">
        <v>2069118</v>
      </c>
      <c r="AK106" s="4">
        <v>2363636</v>
      </c>
      <c r="AL106" s="4">
        <v>2658154</v>
      </c>
      <c r="AM106" s="4">
        <v>2952673</v>
      </c>
      <c r="AN106" s="153">
        <v>220712</v>
      </c>
    </row>
    <row r="107" spans="1:40" x14ac:dyDescent="0.2">
      <c r="A107" s="1">
        <v>2022</v>
      </c>
      <c r="B107" s="2" t="s">
        <v>127</v>
      </c>
      <c r="C107" s="2" t="s">
        <v>127</v>
      </c>
      <c r="D107" s="1" t="s">
        <v>480</v>
      </c>
      <c r="E107" s="3">
        <v>1250226</v>
      </c>
      <c r="F107" s="3">
        <v>166</v>
      </c>
      <c r="G107" s="3">
        <v>4568</v>
      </c>
      <c r="H107" s="1">
        <v>0</v>
      </c>
      <c r="I107" s="3">
        <v>1250060</v>
      </c>
      <c r="J107" s="3">
        <v>1245492</v>
      </c>
      <c r="K107" s="3">
        <v>1245492</v>
      </c>
      <c r="L107" s="3">
        <v>35969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979451</v>
      </c>
      <c r="R107" s="3">
        <v>974883</v>
      </c>
      <c r="S107" s="3">
        <v>974883</v>
      </c>
      <c r="T107" s="3">
        <v>125006</v>
      </c>
      <c r="U107" s="3">
        <v>125006</v>
      </c>
      <c r="V107" s="3">
        <v>125006</v>
      </c>
      <c r="W107" s="3">
        <v>125006</v>
      </c>
      <c r="X107" s="3">
        <v>124245</v>
      </c>
      <c r="Y107" s="3">
        <v>124245</v>
      </c>
      <c r="Z107" s="4">
        <v>124245</v>
      </c>
      <c r="AA107" s="4">
        <v>124245</v>
      </c>
      <c r="AB107" s="4">
        <v>124245</v>
      </c>
      <c r="AC107" s="4">
        <v>124243</v>
      </c>
      <c r="AD107" s="4">
        <v>125006</v>
      </c>
      <c r="AE107" s="4">
        <v>250012</v>
      </c>
      <c r="AF107" s="4">
        <v>375018</v>
      </c>
      <c r="AG107" s="4">
        <v>500024</v>
      </c>
      <c r="AH107" s="4">
        <v>624269</v>
      </c>
      <c r="AI107" s="4">
        <v>748514</v>
      </c>
      <c r="AJ107" s="4">
        <v>872759</v>
      </c>
      <c r="AK107" s="4">
        <v>997004</v>
      </c>
      <c r="AL107" s="4">
        <v>1121249</v>
      </c>
      <c r="AM107" s="4">
        <v>1245492</v>
      </c>
      <c r="AN107" s="153">
        <v>93270</v>
      </c>
    </row>
    <row r="108" spans="1:40" x14ac:dyDescent="0.2">
      <c r="A108" s="1">
        <v>2022</v>
      </c>
      <c r="B108" s="2" t="s">
        <v>128</v>
      </c>
      <c r="C108" s="2" t="s">
        <v>128</v>
      </c>
      <c r="D108" s="1" t="s">
        <v>481</v>
      </c>
      <c r="E108" s="3">
        <v>8252843</v>
      </c>
      <c r="F108" s="3">
        <v>979</v>
      </c>
      <c r="G108" s="3">
        <v>29179</v>
      </c>
      <c r="H108" s="1">
        <v>0</v>
      </c>
      <c r="I108" s="3">
        <v>8251864</v>
      </c>
      <c r="J108" s="3">
        <v>8222685</v>
      </c>
      <c r="K108" s="3">
        <v>8222685</v>
      </c>
      <c r="L108" s="3">
        <v>212218</v>
      </c>
      <c r="M108" s="3">
        <v>780586</v>
      </c>
      <c r="N108" s="3">
        <v>99244</v>
      </c>
      <c r="O108" s="3">
        <v>87486</v>
      </c>
      <c r="P108" s="3">
        <v>434737</v>
      </c>
      <c r="Q108" s="3">
        <v>6637593</v>
      </c>
      <c r="R108" s="3">
        <v>6608414</v>
      </c>
      <c r="S108" s="3">
        <v>6608414</v>
      </c>
      <c r="T108" s="3">
        <v>825186</v>
      </c>
      <c r="U108" s="3">
        <v>825186</v>
      </c>
      <c r="V108" s="3">
        <v>825186</v>
      </c>
      <c r="W108" s="3">
        <v>825186</v>
      </c>
      <c r="X108" s="3">
        <v>820324</v>
      </c>
      <c r="Y108" s="3">
        <v>820324</v>
      </c>
      <c r="Z108" s="4">
        <v>820323</v>
      </c>
      <c r="AA108" s="4">
        <v>820323</v>
      </c>
      <c r="AB108" s="4">
        <v>820323</v>
      </c>
      <c r="AC108" s="4">
        <v>820324</v>
      </c>
      <c r="AD108" s="4">
        <v>825186</v>
      </c>
      <c r="AE108" s="4">
        <v>1650372</v>
      </c>
      <c r="AF108" s="4">
        <v>2475558</v>
      </c>
      <c r="AG108" s="4">
        <v>3300744</v>
      </c>
      <c r="AH108" s="4">
        <v>4121068</v>
      </c>
      <c r="AI108" s="4">
        <v>4941392</v>
      </c>
      <c r="AJ108" s="4">
        <v>5761715</v>
      </c>
      <c r="AK108" s="4">
        <v>6582038</v>
      </c>
      <c r="AL108" s="4">
        <v>7402361</v>
      </c>
      <c r="AM108" s="4">
        <v>8222685</v>
      </c>
      <c r="AN108" s="153">
        <v>605221</v>
      </c>
    </row>
    <row r="109" spans="1:40" x14ac:dyDescent="0.2">
      <c r="A109" s="1">
        <v>2022</v>
      </c>
      <c r="B109" s="2" t="s">
        <v>129</v>
      </c>
      <c r="C109" s="2" t="s">
        <v>129</v>
      </c>
      <c r="D109" s="1" t="s">
        <v>482</v>
      </c>
      <c r="E109" s="3">
        <v>2289016</v>
      </c>
      <c r="F109" s="1">
        <v>232</v>
      </c>
      <c r="G109" s="3">
        <v>9530</v>
      </c>
      <c r="H109" s="1">
        <v>0</v>
      </c>
      <c r="I109" s="3">
        <v>2288784</v>
      </c>
      <c r="J109" s="3">
        <v>2279254</v>
      </c>
      <c r="K109" s="3">
        <v>2279254</v>
      </c>
      <c r="L109" s="3">
        <v>50357</v>
      </c>
      <c r="M109" s="3">
        <v>288737</v>
      </c>
      <c r="N109" s="3">
        <v>29396</v>
      </c>
      <c r="O109" s="3">
        <v>30517</v>
      </c>
      <c r="P109" s="3">
        <v>142117</v>
      </c>
      <c r="Q109" s="3">
        <v>1747660</v>
      </c>
      <c r="R109" s="3">
        <v>1738130</v>
      </c>
      <c r="S109" s="3">
        <v>1738130</v>
      </c>
      <c r="T109" s="3">
        <v>228878</v>
      </c>
      <c r="U109" s="3">
        <v>228878</v>
      </c>
      <c r="V109" s="3">
        <v>228878</v>
      </c>
      <c r="W109" s="3">
        <v>228878</v>
      </c>
      <c r="X109" s="3">
        <v>227290</v>
      </c>
      <c r="Y109" s="3">
        <v>227290</v>
      </c>
      <c r="Z109" s="4">
        <v>227291</v>
      </c>
      <c r="AA109" s="4">
        <v>227291</v>
      </c>
      <c r="AB109" s="4">
        <v>227291</v>
      </c>
      <c r="AC109" s="4">
        <v>227289</v>
      </c>
      <c r="AD109" s="4">
        <v>228878</v>
      </c>
      <c r="AE109" s="4">
        <v>457756</v>
      </c>
      <c r="AF109" s="4">
        <v>686634</v>
      </c>
      <c r="AG109" s="4">
        <v>915512</v>
      </c>
      <c r="AH109" s="4">
        <v>1142802</v>
      </c>
      <c r="AI109" s="4">
        <v>1370092</v>
      </c>
      <c r="AJ109" s="4">
        <v>1597383</v>
      </c>
      <c r="AK109" s="4">
        <v>1824674</v>
      </c>
      <c r="AL109" s="4">
        <v>2051965</v>
      </c>
      <c r="AM109" s="4">
        <v>2279254</v>
      </c>
      <c r="AN109" s="153">
        <v>188911</v>
      </c>
    </row>
    <row r="110" spans="1:40" x14ac:dyDescent="0.2">
      <c r="A110" s="1">
        <v>2022</v>
      </c>
      <c r="B110" s="2" t="s">
        <v>130</v>
      </c>
      <c r="C110" s="2" t="s">
        <v>130</v>
      </c>
      <c r="D110" s="1" t="s">
        <v>483</v>
      </c>
      <c r="E110" s="3">
        <v>9372241</v>
      </c>
      <c r="F110" s="3">
        <v>1111</v>
      </c>
      <c r="G110" s="3">
        <v>38070</v>
      </c>
      <c r="H110" s="1">
        <v>0</v>
      </c>
      <c r="I110" s="3">
        <v>9371130</v>
      </c>
      <c r="J110" s="3">
        <v>9333060</v>
      </c>
      <c r="K110" s="3">
        <v>9333060</v>
      </c>
      <c r="L110" s="3">
        <v>244518</v>
      </c>
      <c r="M110" s="3">
        <v>1020824</v>
      </c>
      <c r="N110" s="3">
        <v>117798</v>
      </c>
      <c r="O110" s="3">
        <v>107381</v>
      </c>
      <c r="P110" s="3">
        <v>559454</v>
      </c>
      <c r="Q110" s="3">
        <v>7321155</v>
      </c>
      <c r="R110" s="3">
        <v>7283085</v>
      </c>
      <c r="S110" s="3">
        <v>7283085</v>
      </c>
      <c r="T110" s="3">
        <v>937113</v>
      </c>
      <c r="U110" s="3">
        <v>937113</v>
      </c>
      <c r="V110" s="3">
        <v>937113</v>
      </c>
      <c r="W110" s="3">
        <v>937113</v>
      </c>
      <c r="X110" s="3">
        <v>930768</v>
      </c>
      <c r="Y110" s="3">
        <v>930768</v>
      </c>
      <c r="Z110" s="4">
        <v>930768</v>
      </c>
      <c r="AA110" s="4">
        <v>930768</v>
      </c>
      <c r="AB110" s="4">
        <v>930768</v>
      </c>
      <c r="AC110" s="4">
        <v>930768</v>
      </c>
      <c r="AD110" s="4">
        <v>937113</v>
      </c>
      <c r="AE110" s="4">
        <v>1874226</v>
      </c>
      <c r="AF110" s="4">
        <v>2811339</v>
      </c>
      <c r="AG110" s="4">
        <v>3748452</v>
      </c>
      <c r="AH110" s="4">
        <v>4679220</v>
      </c>
      <c r="AI110" s="4">
        <v>5609988</v>
      </c>
      <c r="AJ110" s="4">
        <v>6540756</v>
      </c>
      <c r="AK110" s="4">
        <v>7471524</v>
      </c>
      <c r="AL110" s="4">
        <v>8402292</v>
      </c>
      <c r="AM110" s="4">
        <v>9333060</v>
      </c>
      <c r="AN110" s="153">
        <v>780281</v>
      </c>
    </row>
    <row r="111" spans="1:40" x14ac:dyDescent="0.2">
      <c r="A111" s="1">
        <v>2022</v>
      </c>
      <c r="B111" s="2" t="s">
        <v>131</v>
      </c>
      <c r="C111" s="2" t="s">
        <v>131</v>
      </c>
      <c r="D111" s="1" t="s">
        <v>484</v>
      </c>
      <c r="E111" s="3">
        <v>6507954</v>
      </c>
      <c r="F111" s="3">
        <v>1012</v>
      </c>
      <c r="G111" s="3">
        <v>24844</v>
      </c>
      <c r="H111" s="1">
        <v>0</v>
      </c>
      <c r="I111" s="3">
        <v>6506942</v>
      </c>
      <c r="J111" s="3">
        <v>6482098</v>
      </c>
      <c r="K111" s="3">
        <v>6482098</v>
      </c>
      <c r="L111" s="3">
        <v>219412</v>
      </c>
      <c r="M111" s="3">
        <v>684280</v>
      </c>
      <c r="N111" s="3">
        <v>77459</v>
      </c>
      <c r="O111" s="3">
        <v>79530</v>
      </c>
      <c r="P111" s="3">
        <v>365092</v>
      </c>
      <c r="Q111" s="3">
        <v>5081169</v>
      </c>
      <c r="R111" s="3">
        <v>5056325</v>
      </c>
      <c r="S111" s="3">
        <v>5056325</v>
      </c>
      <c r="T111" s="3">
        <v>650694</v>
      </c>
      <c r="U111" s="3">
        <v>650694</v>
      </c>
      <c r="V111" s="3">
        <v>650694</v>
      </c>
      <c r="W111" s="3">
        <v>650694</v>
      </c>
      <c r="X111" s="3">
        <v>646554</v>
      </c>
      <c r="Y111" s="3">
        <v>646554</v>
      </c>
      <c r="Z111" s="4">
        <v>646554</v>
      </c>
      <c r="AA111" s="4">
        <v>646554</v>
      </c>
      <c r="AB111" s="4">
        <v>646554</v>
      </c>
      <c r="AC111" s="4">
        <v>646552</v>
      </c>
      <c r="AD111" s="4">
        <v>650694</v>
      </c>
      <c r="AE111" s="4">
        <v>1301388</v>
      </c>
      <c r="AF111" s="4">
        <v>1952082</v>
      </c>
      <c r="AG111" s="4">
        <v>2602776</v>
      </c>
      <c r="AH111" s="4">
        <v>3249330</v>
      </c>
      <c r="AI111" s="4">
        <v>3895884</v>
      </c>
      <c r="AJ111" s="4">
        <v>4542438</v>
      </c>
      <c r="AK111" s="4">
        <v>5188992</v>
      </c>
      <c r="AL111" s="4">
        <v>5835546</v>
      </c>
      <c r="AM111" s="4">
        <v>6482098</v>
      </c>
      <c r="AN111" s="153">
        <v>533661</v>
      </c>
    </row>
    <row r="112" spans="1:40" x14ac:dyDescent="0.2">
      <c r="A112" s="1">
        <v>2022</v>
      </c>
      <c r="B112" s="2" t="s">
        <v>132</v>
      </c>
      <c r="C112" s="2" t="s">
        <v>132</v>
      </c>
      <c r="D112" s="1" t="s">
        <v>485</v>
      </c>
      <c r="E112" s="3">
        <v>27085021</v>
      </c>
      <c r="F112" s="3">
        <v>3350</v>
      </c>
      <c r="G112" s="3">
        <v>87285</v>
      </c>
      <c r="H112" s="3">
        <v>0</v>
      </c>
      <c r="I112" s="3">
        <v>27081671</v>
      </c>
      <c r="J112" s="3">
        <v>26994386</v>
      </c>
      <c r="K112" s="3">
        <v>26994386</v>
      </c>
      <c r="L112" s="3">
        <v>726577</v>
      </c>
      <c r="M112" s="3">
        <v>2322421</v>
      </c>
      <c r="N112" s="3">
        <v>305249</v>
      </c>
      <c r="O112" s="3">
        <v>269789</v>
      </c>
      <c r="P112" s="3">
        <v>1282693</v>
      </c>
      <c r="Q112" s="3">
        <v>22174942</v>
      </c>
      <c r="R112" s="3">
        <v>22087657</v>
      </c>
      <c r="S112" s="3">
        <v>22087657</v>
      </c>
      <c r="T112" s="3">
        <v>2708167</v>
      </c>
      <c r="U112" s="3">
        <v>2708167</v>
      </c>
      <c r="V112" s="3">
        <v>2708167</v>
      </c>
      <c r="W112" s="3">
        <v>2708167</v>
      </c>
      <c r="X112" s="3">
        <v>2693620</v>
      </c>
      <c r="Y112" s="3">
        <v>2693620</v>
      </c>
      <c r="Z112" s="4">
        <v>2693620</v>
      </c>
      <c r="AA112" s="4">
        <v>2693620</v>
      </c>
      <c r="AB112" s="4">
        <v>2693620</v>
      </c>
      <c r="AC112" s="4">
        <v>2693618</v>
      </c>
      <c r="AD112" s="4">
        <v>2708167</v>
      </c>
      <c r="AE112" s="4">
        <v>5416334</v>
      </c>
      <c r="AF112" s="4">
        <v>8124501</v>
      </c>
      <c r="AG112" s="4">
        <v>10832668</v>
      </c>
      <c r="AH112" s="4">
        <v>13526288</v>
      </c>
      <c r="AI112" s="4">
        <v>16219908</v>
      </c>
      <c r="AJ112" s="4">
        <v>18913528</v>
      </c>
      <c r="AK112" s="4">
        <v>21607148</v>
      </c>
      <c r="AL112" s="4">
        <v>24300768</v>
      </c>
      <c r="AM112" s="4">
        <v>26994386</v>
      </c>
      <c r="AN112" s="153">
        <v>1909673</v>
      </c>
    </row>
    <row r="113" spans="1:40" x14ac:dyDescent="0.2">
      <c r="A113" s="1">
        <v>2022</v>
      </c>
      <c r="B113" s="2" t="s">
        <v>133</v>
      </c>
      <c r="C113" s="2" t="s">
        <v>133</v>
      </c>
      <c r="D113" s="1" t="s">
        <v>486</v>
      </c>
      <c r="E113" s="3">
        <v>13728036</v>
      </c>
      <c r="F113" s="3">
        <v>979</v>
      </c>
      <c r="G113" s="3">
        <v>49395</v>
      </c>
      <c r="H113" s="3">
        <v>350436</v>
      </c>
      <c r="I113" s="3">
        <v>13727057</v>
      </c>
      <c r="J113" s="3">
        <v>13677662</v>
      </c>
      <c r="K113" s="3">
        <v>13327226</v>
      </c>
      <c r="L113" s="3">
        <v>212218</v>
      </c>
      <c r="M113" s="3">
        <v>1234869</v>
      </c>
      <c r="N113" s="3">
        <v>154216</v>
      </c>
      <c r="O113" s="3">
        <v>138495</v>
      </c>
      <c r="P113" s="3">
        <v>725891</v>
      </c>
      <c r="Q113" s="3">
        <v>11261368</v>
      </c>
      <c r="R113" s="3">
        <v>11211973</v>
      </c>
      <c r="S113" s="3">
        <v>10861537</v>
      </c>
      <c r="T113" s="3">
        <v>1372706</v>
      </c>
      <c r="U113" s="3">
        <v>1372706</v>
      </c>
      <c r="V113" s="3">
        <v>1372706</v>
      </c>
      <c r="W113" s="3">
        <v>1372706</v>
      </c>
      <c r="X113" s="3">
        <v>1364473</v>
      </c>
      <c r="Y113" s="3">
        <v>1364473</v>
      </c>
      <c r="Z113" s="4">
        <v>1276864</v>
      </c>
      <c r="AA113" s="4">
        <v>1276864</v>
      </c>
      <c r="AB113" s="4">
        <v>1276864</v>
      </c>
      <c r="AC113" s="4">
        <v>1276864</v>
      </c>
      <c r="AD113" s="4">
        <v>1372706</v>
      </c>
      <c r="AE113" s="4">
        <v>2745412</v>
      </c>
      <c r="AF113" s="4">
        <v>4118118</v>
      </c>
      <c r="AG113" s="4">
        <v>5490824</v>
      </c>
      <c r="AH113" s="4">
        <v>6855297</v>
      </c>
      <c r="AI113" s="4">
        <v>8219770</v>
      </c>
      <c r="AJ113" s="4">
        <v>9496634</v>
      </c>
      <c r="AK113" s="4">
        <v>10773498</v>
      </c>
      <c r="AL113" s="4">
        <v>12050362</v>
      </c>
      <c r="AM113" s="4">
        <v>13327226</v>
      </c>
      <c r="AN113" s="153">
        <v>1017654</v>
      </c>
    </row>
    <row r="114" spans="1:40" x14ac:dyDescent="0.2">
      <c r="A114" s="1">
        <v>2022</v>
      </c>
      <c r="B114" s="2" t="s">
        <v>134</v>
      </c>
      <c r="C114" s="2" t="s">
        <v>134</v>
      </c>
      <c r="D114" s="1" t="s">
        <v>487</v>
      </c>
      <c r="E114" s="3">
        <v>2949340</v>
      </c>
      <c r="F114" s="3">
        <v>498</v>
      </c>
      <c r="G114" s="3">
        <v>10596</v>
      </c>
      <c r="H114" s="3">
        <v>0</v>
      </c>
      <c r="I114" s="3">
        <v>2948842</v>
      </c>
      <c r="J114" s="3">
        <v>2938246</v>
      </c>
      <c r="K114" s="3">
        <v>2938246</v>
      </c>
      <c r="L114" s="3">
        <v>107907</v>
      </c>
      <c r="M114" s="3">
        <v>281588</v>
      </c>
      <c r="N114" s="3">
        <v>36186</v>
      </c>
      <c r="O114" s="3">
        <v>27549</v>
      </c>
      <c r="P114" s="3">
        <v>158207</v>
      </c>
      <c r="Q114" s="3">
        <v>2337405</v>
      </c>
      <c r="R114" s="3">
        <v>2326809</v>
      </c>
      <c r="S114" s="3">
        <v>2326809</v>
      </c>
      <c r="T114" s="3">
        <v>294884</v>
      </c>
      <c r="U114" s="3">
        <v>294884</v>
      </c>
      <c r="V114" s="3">
        <v>294884</v>
      </c>
      <c r="W114" s="3">
        <v>294884</v>
      </c>
      <c r="X114" s="3">
        <v>293118</v>
      </c>
      <c r="Y114" s="3">
        <v>293118</v>
      </c>
      <c r="Z114" s="4">
        <v>293119</v>
      </c>
      <c r="AA114" s="4">
        <v>293119</v>
      </c>
      <c r="AB114" s="4">
        <v>293119</v>
      </c>
      <c r="AC114" s="4">
        <v>293117</v>
      </c>
      <c r="AD114" s="4">
        <v>294884</v>
      </c>
      <c r="AE114" s="4">
        <v>589768</v>
      </c>
      <c r="AF114" s="4">
        <v>884652</v>
      </c>
      <c r="AG114" s="4">
        <v>1179536</v>
      </c>
      <c r="AH114" s="4">
        <v>1472654</v>
      </c>
      <c r="AI114" s="4">
        <v>1765772</v>
      </c>
      <c r="AJ114" s="4">
        <v>2058891</v>
      </c>
      <c r="AK114" s="4">
        <v>2352010</v>
      </c>
      <c r="AL114" s="4">
        <v>2645129</v>
      </c>
      <c r="AM114" s="4">
        <v>2938246</v>
      </c>
      <c r="AN114" s="153">
        <v>216645</v>
      </c>
    </row>
    <row r="115" spans="1:40" x14ac:dyDescent="0.2">
      <c r="A115" s="1">
        <v>2022</v>
      </c>
      <c r="B115" s="2" t="s">
        <v>135</v>
      </c>
      <c r="C115" s="2" t="s">
        <v>135</v>
      </c>
      <c r="D115" s="1" t="s">
        <v>488</v>
      </c>
      <c r="E115" s="3">
        <v>2616508</v>
      </c>
      <c r="F115" s="3">
        <v>564</v>
      </c>
      <c r="G115" s="3">
        <v>11117</v>
      </c>
      <c r="H115" s="1">
        <v>0</v>
      </c>
      <c r="I115" s="3">
        <v>2615944</v>
      </c>
      <c r="J115" s="3">
        <v>2604827</v>
      </c>
      <c r="K115" s="3">
        <v>2604827</v>
      </c>
      <c r="L115" s="3">
        <v>122295</v>
      </c>
      <c r="M115" s="3">
        <v>312619</v>
      </c>
      <c r="N115" s="3">
        <v>34197</v>
      </c>
      <c r="O115" s="3">
        <v>32666</v>
      </c>
      <c r="P115" s="3">
        <v>163365</v>
      </c>
      <c r="Q115" s="3">
        <v>1950802</v>
      </c>
      <c r="R115" s="3">
        <v>1939685</v>
      </c>
      <c r="S115" s="3">
        <v>1939685</v>
      </c>
      <c r="T115" s="3">
        <v>261594</v>
      </c>
      <c r="U115" s="3">
        <v>261594</v>
      </c>
      <c r="V115" s="3">
        <v>261594</v>
      </c>
      <c r="W115" s="3">
        <v>261594</v>
      </c>
      <c r="X115" s="3">
        <v>259742</v>
      </c>
      <c r="Y115" s="3">
        <v>259742</v>
      </c>
      <c r="Z115" s="4">
        <v>259742</v>
      </c>
      <c r="AA115" s="4">
        <v>259742</v>
      </c>
      <c r="AB115" s="4">
        <v>259742</v>
      </c>
      <c r="AC115" s="4">
        <v>259741</v>
      </c>
      <c r="AD115" s="4">
        <v>261594</v>
      </c>
      <c r="AE115" s="4">
        <v>523188</v>
      </c>
      <c r="AF115" s="4">
        <v>784782</v>
      </c>
      <c r="AG115" s="4">
        <v>1046376</v>
      </c>
      <c r="AH115" s="4">
        <v>1306118</v>
      </c>
      <c r="AI115" s="4">
        <v>1565860</v>
      </c>
      <c r="AJ115" s="4">
        <v>1825602</v>
      </c>
      <c r="AK115" s="4">
        <v>2085344</v>
      </c>
      <c r="AL115" s="4">
        <v>2345086</v>
      </c>
      <c r="AM115" s="4">
        <v>2604827</v>
      </c>
      <c r="AN115" s="153">
        <v>219157</v>
      </c>
    </row>
    <row r="116" spans="1:40" x14ac:dyDescent="0.2">
      <c r="A116" s="1">
        <v>2022</v>
      </c>
      <c r="B116" s="2" t="s">
        <v>136</v>
      </c>
      <c r="C116" s="2" t="s">
        <v>136</v>
      </c>
      <c r="D116" s="1" t="s">
        <v>489</v>
      </c>
      <c r="E116" s="3">
        <v>3770824</v>
      </c>
      <c r="F116" s="3">
        <v>1144</v>
      </c>
      <c r="G116" s="3">
        <v>19929</v>
      </c>
      <c r="H116" s="1">
        <v>0</v>
      </c>
      <c r="I116" s="3">
        <v>3769680</v>
      </c>
      <c r="J116" s="3">
        <v>3749751</v>
      </c>
      <c r="K116" s="3">
        <v>3749751</v>
      </c>
      <c r="L116" s="3">
        <v>248188</v>
      </c>
      <c r="M116" s="3">
        <v>550124</v>
      </c>
      <c r="N116" s="3">
        <v>63571</v>
      </c>
      <c r="O116" s="3">
        <v>61138</v>
      </c>
      <c r="P116" s="3">
        <v>292870</v>
      </c>
      <c r="Q116" s="3">
        <v>2553789</v>
      </c>
      <c r="R116" s="3">
        <v>2533860</v>
      </c>
      <c r="S116" s="3">
        <v>2533860</v>
      </c>
      <c r="T116" s="3">
        <v>376968</v>
      </c>
      <c r="U116" s="3">
        <v>376968</v>
      </c>
      <c r="V116" s="3">
        <v>376968</v>
      </c>
      <c r="W116" s="3">
        <v>376968</v>
      </c>
      <c r="X116" s="3">
        <v>373647</v>
      </c>
      <c r="Y116" s="3">
        <v>373647</v>
      </c>
      <c r="Z116" s="4">
        <v>373646</v>
      </c>
      <c r="AA116" s="4">
        <v>373646</v>
      </c>
      <c r="AB116" s="4">
        <v>373646</v>
      </c>
      <c r="AC116" s="4">
        <v>373647</v>
      </c>
      <c r="AD116" s="4">
        <v>376968</v>
      </c>
      <c r="AE116" s="4">
        <v>753936</v>
      </c>
      <c r="AF116" s="4">
        <v>1130904</v>
      </c>
      <c r="AG116" s="4">
        <v>1507872</v>
      </c>
      <c r="AH116" s="4">
        <v>1881519</v>
      </c>
      <c r="AI116" s="4">
        <v>2255166</v>
      </c>
      <c r="AJ116" s="4">
        <v>2628812</v>
      </c>
      <c r="AK116" s="4">
        <v>3002458</v>
      </c>
      <c r="AL116" s="4">
        <v>3376104</v>
      </c>
      <c r="AM116" s="4">
        <v>3749751</v>
      </c>
      <c r="AN116" s="153">
        <v>436416</v>
      </c>
    </row>
    <row r="117" spans="1:40" x14ac:dyDescent="0.2">
      <c r="A117" s="1">
        <v>2022</v>
      </c>
      <c r="B117" s="2" t="s">
        <v>137</v>
      </c>
      <c r="C117" s="2" t="s">
        <v>137</v>
      </c>
      <c r="D117" s="1" t="s">
        <v>490</v>
      </c>
      <c r="E117" s="3">
        <v>2281539</v>
      </c>
      <c r="F117" s="1">
        <v>282</v>
      </c>
      <c r="G117" s="3">
        <v>10095</v>
      </c>
      <c r="H117" s="1">
        <v>0</v>
      </c>
      <c r="I117" s="3">
        <v>2281257</v>
      </c>
      <c r="J117" s="3">
        <v>2271162</v>
      </c>
      <c r="K117" s="3">
        <v>2271162</v>
      </c>
      <c r="L117" s="3">
        <v>61148</v>
      </c>
      <c r="M117" s="3">
        <v>273972</v>
      </c>
      <c r="N117" s="3">
        <v>31191</v>
      </c>
      <c r="O117" s="3">
        <v>30494</v>
      </c>
      <c r="P117" s="3">
        <v>148355</v>
      </c>
      <c r="Q117" s="3">
        <v>1736097</v>
      </c>
      <c r="R117" s="3">
        <v>1726002</v>
      </c>
      <c r="S117" s="3">
        <v>1726002</v>
      </c>
      <c r="T117" s="3">
        <v>228126</v>
      </c>
      <c r="U117" s="3">
        <v>228126</v>
      </c>
      <c r="V117" s="3">
        <v>228126</v>
      </c>
      <c r="W117" s="3">
        <v>228126</v>
      </c>
      <c r="X117" s="3">
        <v>226443</v>
      </c>
      <c r="Y117" s="3">
        <v>226443</v>
      </c>
      <c r="Z117" s="4">
        <v>226443</v>
      </c>
      <c r="AA117" s="4">
        <v>226443</v>
      </c>
      <c r="AB117" s="4">
        <v>226443</v>
      </c>
      <c r="AC117" s="4">
        <v>226443</v>
      </c>
      <c r="AD117" s="4">
        <v>228126</v>
      </c>
      <c r="AE117" s="4">
        <v>456252</v>
      </c>
      <c r="AF117" s="4">
        <v>684378</v>
      </c>
      <c r="AG117" s="4">
        <v>912504</v>
      </c>
      <c r="AH117" s="4">
        <v>1138947</v>
      </c>
      <c r="AI117" s="4">
        <v>1365390</v>
      </c>
      <c r="AJ117" s="4">
        <v>1591833</v>
      </c>
      <c r="AK117" s="4">
        <v>1818276</v>
      </c>
      <c r="AL117" s="4">
        <v>2044719</v>
      </c>
      <c r="AM117" s="4">
        <v>2271162</v>
      </c>
      <c r="AN117" s="153">
        <v>199586</v>
      </c>
    </row>
    <row r="118" spans="1:40" x14ac:dyDescent="0.2">
      <c r="A118" s="1">
        <v>2022</v>
      </c>
      <c r="B118" s="2" t="s">
        <v>138</v>
      </c>
      <c r="C118" s="2" t="s">
        <v>138</v>
      </c>
      <c r="D118" s="1" t="s">
        <v>491</v>
      </c>
      <c r="E118" s="3">
        <v>8931435</v>
      </c>
      <c r="F118" s="1">
        <v>995</v>
      </c>
      <c r="G118" s="3">
        <v>36438</v>
      </c>
      <c r="H118" s="1">
        <v>0</v>
      </c>
      <c r="I118" s="3">
        <v>8930440</v>
      </c>
      <c r="J118" s="3">
        <v>8894002</v>
      </c>
      <c r="K118" s="3">
        <v>8894002</v>
      </c>
      <c r="L118" s="3">
        <v>215815</v>
      </c>
      <c r="M118" s="3">
        <v>903971</v>
      </c>
      <c r="N118" s="3">
        <v>88880</v>
      </c>
      <c r="O118" s="3">
        <v>100354</v>
      </c>
      <c r="P118" s="3">
        <v>535473</v>
      </c>
      <c r="Q118" s="3">
        <v>7085947</v>
      </c>
      <c r="R118" s="3">
        <v>7049509</v>
      </c>
      <c r="S118" s="3">
        <v>7049509</v>
      </c>
      <c r="T118" s="3">
        <v>893044</v>
      </c>
      <c r="U118" s="3">
        <v>893044</v>
      </c>
      <c r="V118" s="3">
        <v>893044</v>
      </c>
      <c r="W118" s="3">
        <v>893044</v>
      </c>
      <c r="X118" s="3">
        <v>886971</v>
      </c>
      <c r="Y118" s="3">
        <v>886971</v>
      </c>
      <c r="Z118" s="4">
        <v>886971</v>
      </c>
      <c r="AA118" s="4">
        <v>886971</v>
      </c>
      <c r="AB118" s="4">
        <v>886971</v>
      </c>
      <c r="AC118" s="4">
        <v>886971</v>
      </c>
      <c r="AD118" s="4">
        <v>893044</v>
      </c>
      <c r="AE118" s="4">
        <v>1786088</v>
      </c>
      <c r="AF118" s="4">
        <v>2679132</v>
      </c>
      <c r="AG118" s="4">
        <v>3572176</v>
      </c>
      <c r="AH118" s="4">
        <v>4459147</v>
      </c>
      <c r="AI118" s="4">
        <v>5346118</v>
      </c>
      <c r="AJ118" s="4">
        <v>6233089</v>
      </c>
      <c r="AK118" s="4">
        <v>7120060</v>
      </c>
      <c r="AL118" s="4">
        <v>8007031</v>
      </c>
      <c r="AM118" s="4">
        <v>8894002</v>
      </c>
      <c r="AN118" s="153">
        <v>711608</v>
      </c>
    </row>
    <row r="119" spans="1:40" x14ac:dyDescent="0.2">
      <c r="A119" s="1">
        <v>2022</v>
      </c>
      <c r="B119" s="2" t="s">
        <v>139</v>
      </c>
      <c r="C119" s="2" t="s">
        <v>139</v>
      </c>
      <c r="D119" s="1" t="s">
        <v>492</v>
      </c>
      <c r="E119" s="3">
        <v>1060137</v>
      </c>
      <c r="F119" s="1">
        <v>299</v>
      </c>
      <c r="G119" s="3">
        <v>3943</v>
      </c>
      <c r="H119" s="1">
        <v>0</v>
      </c>
      <c r="I119" s="3">
        <v>1059838</v>
      </c>
      <c r="J119" s="3">
        <v>1055895</v>
      </c>
      <c r="K119" s="3">
        <v>1055895</v>
      </c>
      <c r="L119" s="3">
        <v>64744</v>
      </c>
      <c r="M119" s="3">
        <v>115305</v>
      </c>
      <c r="N119" s="3">
        <v>9608</v>
      </c>
      <c r="O119" s="3">
        <v>13582</v>
      </c>
      <c r="P119" s="3">
        <v>57946</v>
      </c>
      <c r="Q119" s="3">
        <v>798653</v>
      </c>
      <c r="R119" s="3">
        <v>794710</v>
      </c>
      <c r="S119" s="3">
        <v>794710</v>
      </c>
      <c r="T119" s="3">
        <v>105984</v>
      </c>
      <c r="U119" s="3">
        <v>105984</v>
      </c>
      <c r="V119" s="3">
        <v>105984</v>
      </c>
      <c r="W119" s="3">
        <v>105984</v>
      </c>
      <c r="X119" s="3">
        <v>105327</v>
      </c>
      <c r="Y119" s="3">
        <v>105327</v>
      </c>
      <c r="Z119" s="4">
        <v>105326</v>
      </c>
      <c r="AA119" s="4">
        <v>105326</v>
      </c>
      <c r="AB119" s="4">
        <v>105326</v>
      </c>
      <c r="AC119" s="4">
        <v>105327</v>
      </c>
      <c r="AD119" s="4">
        <v>105984</v>
      </c>
      <c r="AE119" s="4">
        <v>211968</v>
      </c>
      <c r="AF119" s="4">
        <v>317952</v>
      </c>
      <c r="AG119" s="4">
        <v>423936</v>
      </c>
      <c r="AH119" s="4">
        <v>529263</v>
      </c>
      <c r="AI119" s="4">
        <v>634590</v>
      </c>
      <c r="AJ119" s="4">
        <v>739916</v>
      </c>
      <c r="AK119" s="4">
        <v>845242</v>
      </c>
      <c r="AL119" s="4">
        <v>950568</v>
      </c>
      <c r="AM119" s="4">
        <v>1055895</v>
      </c>
      <c r="AN119" s="153">
        <v>84276</v>
      </c>
    </row>
    <row r="120" spans="1:40" x14ac:dyDescent="0.2">
      <c r="A120" s="1">
        <v>2022</v>
      </c>
      <c r="B120" s="2" t="s">
        <v>140</v>
      </c>
      <c r="C120" s="2" t="s">
        <v>140</v>
      </c>
      <c r="D120" s="1" t="s">
        <v>493</v>
      </c>
      <c r="E120" s="3">
        <v>3468300</v>
      </c>
      <c r="F120" s="3">
        <v>564</v>
      </c>
      <c r="G120" s="3">
        <v>13988</v>
      </c>
      <c r="H120" s="1">
        <v>0</v>
      </c>
      <c r="I120" s="3">
        <v>3467736</v>
      </c>
      <c r="J120" s="3">
        <v>3453748</v>
      </c>
      <c r="K120" s="3">
        <v>3453748</v>
      </c>
      <c r="L120" s="3">
        <v>122295</v>
      </c>
      <c r="M120" s="3">
        <v>396617</v>
      </c>
      <c r="N120" s="3">
        <v>35528</v>
      </c>
      <c r="O120" s="3">
        <v>41021</v>
      </c>
      <c r="P120" s="3">
        <v>206341</v>
      </c>
      <c r="Q120" s="3">
        <v>2665934</v>
      </c>
      <c r="R120" s="3">
        <v>2651946</v>
      </c>
      <c r="S120" s="3">
        <v>2651946</v>
      </c>
      <c r="T120" s="3">
        <v>346774</v>
      </c>
      <c r="U120" s="3">
        <v>346774</v>
      </c>
      <c r="V120" s="3">
        <v>346774</v>
      </c>
      <c r="W120" s="3">
        <v>346774</v>
      </c>
      <c r="X120" s="3">
        <v>344442</v>
      </c>
      <c r="Y120" s="3">
        <v>344442</v>
      </c>
      <c r="Z120" s="4">
        <v>344442</v>
      </c>
      <c r="AA120" s="4">
        <v>344442</v>
      </c>
      <c r="AB120" s="4">
        <v>344442</v>
      </c>
      <c r="AC120" s="4">
        <v>344442</v>
      </c>
      <c r="AD120" s="4">
        <v>346774</v>
      </c>
      <c r="AE120" s="4">
        <v>693548</v>
      </c>
      <c r="AF120" s="4">
        <v>1040322</v>
      </c>
      <c r="AG120" s="4">
        <v>1387096</v>
      </c>
      <c r="AH120" s="4">
        <v>1731538</v>
      </c>
      <c r="AI120" s="4">
        <v>2075980</v>
      </c>
      <c r="AJ120" s="4">
        <v>2420422</v>
      </c>
      <c r="AK120" s="4">
        <v>2764864</v>
      </c>
      <c r="AL120" s="4">
        <v>3109306</v>
      </c>
      <c r="AM120" s="4">
        <v>3453748</v>
      </c>
      <c r="AN120" s="153">
        <v>283091</v>
      </c>
    </row>
    <row r="121" spans="1:40" x14ac:dyDescent="0.2">
      <c r="A121" s="1">
        <v>2022</v>
      </c>
      <c r="B121" s="2" t="s">
        <v>141</v>
      </c>
      <c r="C121" s="2" t="s">
        <v>141</v>
      </c>
      <c r="D121" s="1" t="s">
        <v>494</v>
      </c>
      <c r="E121" s="3">
        <v>12483535</v>
      </c>
      <c r="F121" s="3">
        <v>912</v>
      </c>
      <c r="G121" s="3">
        <v>45771</v>
      </c>
      <c r="H121" s="1">
        <v>0</v>
      </c>
      <c r="I121" s="3">
        <v>12482623</v>
      </c>
      <c r="J121" s="3">
        <v>12436852</v>
      </c>
      <c r="K121" s="3">
        <v>12436852</v>
      </c>
      <c r="L121" s="3">
        <v>197831</v>
      </c>
      <c r="M121" s="3">
        <v>1147970</v>
      </c>
      <c r="N121" s="3">
        <v>142070</v>
      </c>
      <c r="O121" s="3">
        <v>124613</v>
      </c>
      <c r="P121" s="3">
        <v>672623</v>
      </c>
      <c r="Q121" s="3">
        <v>10197516</v>
      </c>
      <c r="R121" s="3">
        <v>10151745</v>
      </c>
      <c r="S121" s="3">
        <v>10151745</v>
      </c>
      <c r="T121" s="3">
        <v>1248262</v>
      </c>
      <c r="U121" s="3">
        <v>1248262</v>
      </c>
      <c r="V121" s="3">
        <v>1248262</v>
      </c>
      <c r="W121" s="3">
        <v>1248262</v>
      </c>
      <c r="X121" s="3">
        <v>1240634</v>
      </c>
      <c r="Y121" s="3">
        <v>1240634</v>
      </c>
      <c r="Z121" s="4">
        <v>1240634</v>
      </c>
      <c r="AA121" s="4">
        <v>1240634</v>
      </c>
      <c r="AB121" s="4">
        <v>1240634</v>
      </c>
      <c r="AC121" s="4">
        <v>1240634</v>
      </c>
      <c r="AD121" s="4">
        <v>1248262</v>
      </c>
      <c r="AE121" s="4">
        <v>2496524</v>
      </c>
      <c r="AF121" s="4">
        <v>3744786</v>
      </c>
      <c r="AG121" s="4">
        <v>4993048</v>
      </c>
      <c r="AH121" s="4">
        <v>6233682</v>
      </c>
      <c r="AI121" s="4">
        <v>7474316</v>
      </c>
      <c r="AJ121" s="4">
        <v>8714950</v>
      </c>
      <c r="AK121" s="4">
        <v>9955584</v>
      </c>
      <c r="AL121" s="4">
        <v>11196218</v>
      </c>
      <c r="AM121" s="4">
        <v>12436852</v>
      </c>
      <c r="AN121" s="153">
        <v>909713</v>
      </c>
    </row>
    <row r="122" spans="1:40" x14ac:dyDescent="0.2">
      <c r="A122" s="1">
        <v>2022</v>
      </c>
      <c r="B122" s="2" t="s">
        <v>142</v>
      </c>
      <c r="C122" s="2" t="s">
        <v>142</v>
      </c>
      <c r="D122" s="1" t="s">
        <v>495</v>
      </c>
      <c r="E122" s="3">
        <v>1617757</v>
      </c>
      <c r="F122" s="1">
        <v>547</v>
      </c>
      <c r="G122" s="3">
        <v>6632</v>
      </c>
      <c r="H122" s="1">
        <v>0</v>
      </c>
      <c r="I122" s="3">
        <v>1617210</v>
      </c>
      <c r="J122" s="3">
        <v>1610578</v>
      </c>
      <c r="K122" s="3">
        <v>1610578</v>
      </c>
      <c r="L122" s="3">
        <v>118699</v>
      </c>
      <c r="M122" s="3">
        <v>189400</v>
      </c>
      <c r="N122" s="3">
        <v>20612</v>
      </c>
      <c r="O122" s="3">
        <v>20097</v>
      </c>
      <c r="P122" s="3">
        <v>98176</v>
      </c>
      <c r="Q122" s="3">
        <v>1170226</v>
      </c>
      <c r="R122" s="3">
        <v>1163594</v>
      </c>
      <c r="S122" s="3">
        <v>1163594</v>
      </c>
      <c r="T122" s="3">
        <v>161721</v>
      </c>
      <c r="U122" s="3">
        <v>161721</v>
      </c>
      <c r="V122" s="3">
        <v>161721</v>
      </c>
      <c r="W122" s="3">
        <v>161721</v>
      </c>
      <c r="X122" s="3">
        <v>160616</v>
      </c>
      <c r="Y122" s="3">
        <v>160616</v>
      </c>
      <c r="Z122" s="4">
        <v>160616</v>
      </c>
      <c r="AA122" s="4">
        <v>160616</v>
      </c>
      <c r="AB122" s="4">
        <v>160616</v>
      </c>
      <c r="AC122" s="4">
        <v>160614</v>
      </c>
      <c r="AD122" s="4">
        <v>161721</v>
      </c>
      <c r="AE122" s="4">
        <v>323442</v>
      </c>
      <c r="AF122" s="4">
        <v>485163</v>
      </c>
      <c r="AG122" s="4">
        <v>646884</v>
      </c>
      <c r="AH122" s="4">
        <v>807500</v>
      </c>
      <c r="AI122" s="4">
        <v>968116</v>
      </c>
      <c r="AJ122" s="4">
        <v>1128732</v>
      </c>
      <c r="AK122" s="4">
        <v>1289348</v>
      </c>
      <c r="AL122" s="4">
        <v>1449964</v>
      </c>
      <c r="AM122" s="4">
        <v>1610578</v>
      </c>
      <c r="AN122" s="153">
        <v>125762</v>
      </c>
    </row>
    <row r="123" spans="1:40" x14ac:dyDescent="0.2">
      <c r="A123" s="1">
        <v>2022</v>
      </c>
      <c r="B123" s="2" t="s">
        <v>143</v>
      </c>
      <c r="C123" s="2" t="s">
        <v>143</v>
      </c>
      <c r="D123" s="1" t="s">
        <v>496</v>
      </c>
      <c r="E123" s="3">
        <v>1908029</v>
      </c>
      <c r="F123" s="3">
        <v>464</v>
      </c>
      <c r="G123" s="3">
        <v>9193</v>
      </c>
      <c r="H123" s="1">
        <v>0</v>
      </c>
      <c r="I123" s="3">
        <v>1907565</v>
      </c>
      <c r="J123" s="3">
        <v>1898372</v>
      </c>
      <c r="K123" s="3">
        <v>1898372</v>
      </c>
      <c r="L123" s="3">
        <v>104238</v>
      </c>
      <c r="M123" s="3">
        <v>253679</v>
      </c>
      <c r="N123" s="3">
        <v>29547</v>
      </c>
      <c r="O123" s="3">
        <v>24311</v>
      </c>
      <c r="P123" s="3">
        <v>135090</v>
      </c>
      <c r="Q123" s="3">
        <v>1360700</v>
      </c>
      <c r="R123" s="3">
        <v>1351507</v>
      </c>
      <c r="S123" s="3">
        <v>1351507</v>
      </c>
      <c r="T123" s="3">
        <v>190757</v>
      </c>
      <c r="U123" s="3">
        <v>190757</v>
      </c>
      <c r="V123" s="3">
        <v>190757</v>
      </c>
      <c r="W123" s="3">
        <v>190757</v>
      </c>
      <c r="X123" s="3">
        <v>189224</v>
      </c>
      <c r="Y123" s="3">
        <v>189224</v>
      </c>
      <c r="Z123" s="4">
        <v>189224</v>
      </c>
      <c r="AA123" s="4">
        <v>189224</v>
      </c>
      <c r="AB123" s="4">
        <v>189224</v>
      </c>
      <c r="AC123" s="4">
        <v>189224</v>
      </c>
      <c r="AD123" s="4">
        <v>190757</v>
      </c>
      <c r="AE123" s="4">
        <v>381514</v>
      </c>
      <c r="AF123" s="4">
        <v>572271</v>
      </c>
      <c r="AG123" s="4">
        <v>763028</v>
      </c>
      <c r="AH123" s="4">
        <v>952252</v>
      </c>
      <c r="AI123" s="4">
        <v>1141476</v>
      </c>
      <c r="AJ123" s="4">
        <v>1330700</v>
      </c>
      <c r="AK123" s="4">
        <v>1519924</v>
      </c>
      <c r="AL123" s="4">
        <v>1709148</v>
      </c>
      <c r="AM123" s="4">
        <v>1898372</v>
      </c>
      <c r="AN123" s="153">
        <v>181250</v>
      </c>
    </row>
    <row r="124" spans="1:40" x14ac:dyDescent="0.2">
      <c r="A124" s="1">
        <v>2022</v>
      </c>
      <c r="B124" s="2" t="s">
        <v>144</v>
      </c>
      <c r="C124" s="2" t="s">
        <v>144</v>
      </c>
      <c r="D124" s="1" t="s">
        <v>497</v>
      </c>
      <c r="E124" s="3">
        <v>3900938</v>
      </c>
      <c r="F124" s="3">
        <v>332</v>
      </c>
      <c r="G124" s="3">
        <v>14879</v>
      </c>
      <c r="H124" s="1">
        <v>0</v>
      </c>
      <c r="I124" s="3">
        <v>3900606</v>
      </c>
      <c r="J124" s="3">
        <v>3885727</v>
      </c>
      <c r="K124" s="3">
        <v>3885727</v>
      </c>
      <c r="L124" s="3">
        <v>75462</v>
      </c>
      <c r="M124" s="3">
        <v>413158</v>
      </c>
      <c r="N124" s="3">
        <v>46736</v>
      </c>
      <c r="O124" s="3">
        <v>47292</v>
      </c>
      <c r="P124" s="3">
        <v>218715</v>
      </c>
      <c r="Q124" s="3">
        <v>3099243</v>
      </c>
      <c r="R124" s="3">
        <v>3084364</v>
      </c>
      <c r="S124" s="3">
        <v>3084364</v>
      </c>
      <c r="T124" s="3">
        <v>390061</v>
      </c>
      <c r="U124" s="3">
        <v>390061</v>
      </c>
      <c r="V124" s="3">
        <v>390061</v>
      </c>
      <c r="W124" s="3">
        <v>390061</v>
      </c>
      <c r="X124" s="3">
        <v>387581</v>
      </c>
      <c r="Y124" s="3">
        <v>387581</v>
      </c>
      <c r="Z124" s="4">
        <v>387580</v>
      </c>
      <c r="AA124" s="4">
        <v>387580</v>
      </c>
      <c r="AB124" s="4">
        <v>387580</v>
      </c>
      <c r="AC124" s="4">
        <v>387581</v>
      </c>
      <c r="AD124" s="4">
        <v>390061</v>
      </c>
      <c r="AE124" s="4">
        <v>780122</v>
      </c>
      <c r="AF124" s="4">
        <v>1170183</v>
      </c>
      <c r="AG124" s="4">
        <v>1560244</v>
      </c>
      <c r="AH124" s="4">
        <v>1947825</v>
      </c>
      <c r="AI124" s="4">
        <v>2335406</v>
      </c>
      <c r="AJ124" s="4">
        <v>2722986</v>
      </c>
      <c r="AK124" s="4">
        <v>3110566</v>
      </c>
      <c r="AL124" s="4">
        <v>3498146</v>
      </c>
      <c r="AM124" s="4">
        <v>3885727</v>
      </c>
      <c r="AN124" s="153">
        <v>288309</v>
      </c>
    </row>
    <row r="125" spans="1:40" x14ac:dyDescent="0.2">
      <c r="A125" s="1">
        <v>2022</v>
      </c>
      <c r="B125" s="2" t="s">
        <v>145</v>
      </c>
      <c r="C125" s="2" t="s">
        <v>145</v>
      </c>
      <c r="D125" s="1" t="s">
        <v>4</v>
      </c>
      <c r="E125" s="3">
        <v>1119210</v>
      </c>
      <c r="F125" s="3">
        <v>315</v>
      </c>
      <c r="G125" s="3">
        <v>5948</v>
      </c>
      <c r="H125" s="1">
        <v>0</v>
      </c>
      <c r="I125" s="3">
        <v>1118895</v>
      </c>
      <c r="J125" s="3">
        <v>1112947</v>
      </c>
      <c r="K125" s="3">
        <v>1112947</v>
      </c>
      <c r="L125" s="3">
        <v>68342</v>
      </c>
      <c r="M125" s="3">
        <v>182358</v>
      </c>
      <c r="N125" s="3">
        <v>21687</v>
      </c>
      <c r="O125" s="3">
        <v>21534</v>
      </c>
      <c r="P125" s="3">
        <v>88359</v>
      </c>
      <c r="Q125" s="3">
        <v>736615</v>
      </c>
      <c r="R125" s="3">
        <v>730667</v>
      </c>
      <c r="S125" s="3">
        <v>730667</v>
      </c>
      <c r="T125" s="3">
        <v>111890</v>
      </c>
      <c r="U125" s="3">
        <v>111890</v>
      </c>
      <c r="V125" s="3">
        <v>111890</v>
      </c>
      <c r="W125" s="3">
        <v>111890</v>
      </c>
      <c r="X125" s="3">
        <v>110898</v>
      </c>
      <c r="Y125" s="3">
        <v>110898</v>
      </c>
      <c r="Z125" s="4">
        <v>110898</v>
      </c>
      <c r="AA125" s="4">
        <v>110898</v>
      </c>
      <c r="AB125" s="4">
        <v>110898</v>
      </c>
      <c r="AC125" s="4">
        <v>110897</v>
      </c>
      <c r="AD125" s="4">
        <v>111890</v>
      </c>
      <c r="AE125" s="4">
        <v>223780</v>
      </c>
      <c r="AF125" s="4">
        <v>335670</v>
      </c>
      <c r="AG125" s="4">
        <v>447560</v>
      </c>
      <c r="AH125" s="4">
        <v>558458</v>
      </c>
      <c r="AI125" s="4">
        <v>669356</v>
      </c>
      <c r="AJ125" s="4">
        <v>780254</v>
      </c>
      <c r="AK125" s="4">
        <v>891152</v>
      </c>
      <c r="AL125" s="4">
        <v>1002050</v>
      </c>
      <c r="AM125" s="4">
        <v>1112947</v>
      </c>
      <c r="AN125" s="153">
        <v>131666</v>
      </c>
    </row>
    <row r="126" spans="1:40" x14ac:dyDescent="0.2">
      <c r="A126" s="1">
        <v>2022</v>
      </c>
      <c r="B126" s="2" t="s">
        <v>146</v>
      </c>
      <c r="C126" s="2" t="s">
        <v>146</v>
      </c>
      <c r="D126" s="1" t="s">
        <v>498</v>
      </c>
      <c r="E126" s="3">
        <v>10026738</v>
      </c>
      <c r="F126" s="3">
        <v>962</v>
      </c>
      <c r="G126" s="3">
        <v>37331</v>
      </c>
      <c r="H126" s="1">
        <v>0</v>
      </c>
      <c r="I126" s="3">
        <v>10025776</v>
      </c>
      <c r="J126" s="3">
        <v>9988445</v>
      </c>
      <c r="K126" s="3">
        <v>9988445</v>
      </c>
      <c r="L126" s="3">
        <v>208621</v>
      </c>
      <c r="M126" s="3">
        <v>965637</v>
      </c>
      <c r="N126" s="3">
        <v>117610</v>
      </c>
      <c r="O126" s="3">
        <v>105789</v>
      </c>
      <c r="P126" s="3">
        <v>552003</v>
      </c>
      <c r="Q126" s="3">
        <v>8076116</v>
      </c>
      <c r="R126" s="3">
        <v>8038785</v>
      </c>
      <c r="S126" s="3">
        <v>8038785</v>
      </c>
      <c r="T126" s="3">
        <v>1002578</v>
      </c>
      <c r="U126" s="3">
        <v>1002578</v>
      </c>
      <c r="V126" s="3">
        <v>1002578</v>
      </c>
      <c r="W126" s="3">
        <v>1002578</v>
      </c>
      <c r="X126" s="3">
        <v>996356</v>
      </c>
      <c r="Y126" s="3">
        <v>996356</v>
      </c>
      <c r="Z126" s="4">
        <v>996355</v>
      </c>
      <c r="AA126" s="4">
        <v>996355</v>
      </c>
      <c r="AB126" s="4">
        <v>996355</v>
      </c>
      <c r="AC126" s="4">
        <v>996356</v>
      </c>
      <c r="AD126" s="4">
        <v>1002578</v>
      </c>
      <c r="AE126" s="4">
        <v>2005156</v>
      </c>
      <c r="AF126" s="4">
        <v>3007734</v>
      </c>
      <c r="AG126" s="4">
        <v>4010312</v>
      </c>
      <c r="AH126" s="4">
        <v>5006668</v>
      </c>
      <c r="AI126" s="4">
        <v>6003024</v>
      </c>
      <c r="AJ126" s="4">
        <v>6999379</v>
      </c>
      <c r="AK126" s="4">
        <v>7995734</v>
      </c>
      <c r="AL126" s="4">
        <v>8992089</v>
      </c>
      <c r="AM126" s="4">
        <v>9988445</v>
      </c>
      <c r="AN126" s="153">
        <v>782565</v>
      </c>
    </row>
    <row r="127" spans="1:40" x14ac:dyDescent="0.2">
      <c r="A127" s="1">
        <v>2022</v>
      </c>
      <c r="B127" s="2" t="s">
        <v>147</v>
      </c>
      <c r="C127" s="2" t="s">
        <v>147</v>
      </c>
      <c r="D127" s="1" t="s">
        <v>499</v>
      </c>
      <c r="E127" s="3">
        <v>2747174</v>
      </c>
      <c r="F127" s="1">
        <v>481</v>
      </c>
      <c r="G127" s="3">
        <v>10741</v>
      </c>
      <c r="H127" s="1">
        <v>0</v>
      </c>
      <c r="I127" s="3">
        <v>2746693</v>
      </c>
      <c r="J127" s="3">
        <v>2735952</v>
      </c>
      <c r="K127" s="3">
        <v>2735952</v>
      </c>
      <c r="L127" s="3">
        <v>104311</v>
      </c>
      <c r="M127" s="3">
        <v>275336</v>
      </c>
      <c r="N127" s="3">
        <v>29257</v>
      </c>
      <c r="O127" s="3">
        <v>28814</v>
      </c>
      <c r="P127" s="3">
        <v>157849</v>
      </c>
      <c r="Q127" s="3">
        <v>2151126</v>
      </c>
      <c r="R127" s="3">
        <v>2140385</v>
      </c>
      <c r="S127" s="3">
        <v>2140385</v>
      </c>
      <c r="T127" s="3">
        <v>274669</v>
      </c>
      <c r="U127" s="3">
        <v>274669</v>
      </c>
      <c r="V127" s="3">
        <v>274669</v>
      </c>
      <c r="W127" s="3">
        <v>274669</v>
      </c>
      <c r="X127" s="3">
        <v>272879</v>
      </c>
      <c r="Y127" s="3">
        <v>272879</v>
      </c>
      <c r="Z127" s="4">
        <v>272880</v>
      </c>
      <c r="AA127" s="4">
        <v>272880</v>
      </c>
      <c r="AB127" s="4">
        <v>272880</v>
      </c>
      <c r="AC127" s="4">
        <v>272878</v>
      </c>
      <c r="AD127" s="4">
        <v>274669</v>
      </c>
      <c r="AE127" s="4">
        <v>549338</v>
      </c>
      <c r="AF127" s="4">
        <v>824007</v>
      </c>
      <c r="AG127" s="4">
        <v>1098676</v>
      </c>
      <c r="AH127" s="4">
        <v>1371555</v>
      </c>
      <c r="AI127" s="4">
        <v>1644434</v>
      </c>
      <c r="AJ127" s="4">
        <v>1917314</v>
      </c>
      <c r="AK127" s="4">
        <v>2190194</v>
      </c>
      <c r="AL127" s="4">
        <v>2463074</v>
      </c>
      <c r="AM127" s="4">
        <v>2735952</v>
      </c>
      <c r="AN127" s="153">
        <v>227193</v>
      </c>
    </row>
    <row r="128" spans="1:40" x14ac:dyDescent="0.2">
      <c r="A128" s="1">
        <v>2022</v>
      </c>
      <c r="B128" s="2" t="s">
        <v>148</v>
      </c>
      <c r="C128" s="2" t="s">
        <v>148</v>
      </c>
      <c r="D128" s="1" t="s">
        <v>500</v>
      </c>
      <c r="E128" s="3">
        <v>4315680</v>
      </c>
      <c r="F128" s="3">
        <v>663</v>
      </c>
      <c r="G128" s="3">
        <v>15656</v>
      </c>
      <c r="H128" s="1">
        <v>0</v>
      </c>
      <c r="I128" s="3">
        <v>4315017</v>
      </c>
      <c r="J128" s="3">
        <v>4299361</v>
      </c>
      <c r="K128" s="3">
        <v>4299361</v>
      </c>
      <c r="L128" s="3">
        <v>143877</v>
      </c>
      <c r="M128" s="3">
        <v>443449</v>
      </c>
      <c r="N128" s="3">
        <v>43481</v>
      </c>
      <c r="O128" s="3">
        <v>47600</v>
      </c>
      <c r="P128" s="3">
        <v>230072</v>
      </c>
      <c r="Q128" s="3">
        <v>3406538</v>
      </c>
      <c r="R128" s="3">
        <v>3390882</v>
      </c>
      <c r="S128" s="3">
        <v>3390882</v>
      </c>
      <c r="T128" s="3">
        <v>431502</v>
      </c>
      <c r="U128" s="3">
        <v>431502</v>
      </c>
      <c r="V128" s="3">
        <v>431502</v>
      </c>
      <c r="W128" s="3">
        <v>431502</v>
      </c>
      <c r="X128" s="3">
        <v>428892</v>
      </c>
      <c r="Y128" s="3">
        <v>428892</v>
      </c>
      <c r="Z128" s="4">
        <v>428892</v>
      </c>
      <c r="AA128" s="4">
        <v>428892</v>
      </c>
      <c r="AB128" s="4">
        <v>428892</v>
      </c>
      <c r="AC128" s="4">
        <v>428893</v>
      </c>
      <c r="AD128" s="4">
        <v>431502</v>
      </c>
      <c r="AE128" s="4">
        <v>863004</v>
      </c>
      <c r="AF128" s="4">
        <v>1294506</v>
      </c>
      <c r="AG128" s="4">
        <v>1726008</v>
      </c>
      <c r="AH128" s="4">
        <v>2154900</v>
      </c>
      <c r="AI128" s="4">
        <v>2583792</v>
      </c>
      <c r="AJ128" s="4">
        <v>3012684</v>
      </c>
      <c r="AK128" s="4">
        <v>3441576</v>
      </c>
      <c r="AL128" s="4">
        <v>3870468</v>
      </c>
      <c r="AM128" s="4">
        <v>4299361</v>
      </c>
      <c r="AN128" s="153">
        <v>323385</v>
      </c>
    </row>
    <row r="129" spans="1:40" x14ac:dyDescent="0.2">
      <c r="A129" s="1">
        <v>2022</v>
      </c>
      <c r="B129" s="2" t="s">
        <v>149</v>
      </c>
      <c r="C129" s="2" t="s">
        <v>149</v>
      </c>
      <c r="D129" s="1" t="s">
        <v>501</v>
      </c>
      <c r="E129" s="3">
        <v>2536719</v>
      </c>
      <c r="F129" s="1">
        <v>398</v>
      </c>
      <c r="G129" s="3">
        <v>9646</v>
      </c>
      <c r="H129" s="1">
        <v>0</v>
      </c>
      <c r="I129" s="3">
        <v>2536321</v>
      </c>
      <c r="J129" s="3">
        <v>2526675</v>
      </c>
      <c r="K129" s="3">
        <v>2526675</v>
      </c>
      <c r="L129" s="3">
        <v>86326</v>
      </c>
      <c r="M129" s="3">
        <v>276597</v>
      </c>
      <c r="N129" s="3">
        <v>33678</v>
      </c>
      <c r="O129" s="3">
        <v>28368</v>
      </c>
      <c r="P129" s="3">
        <v>148867</v>
      </c>
      <c r="Q129" s="3">
        <v>1962485</v>
      </c>
      <c r="R129" s="3">
        <v>1952839</v>
      </c>
      <c r="S129" s="3">
        <v>1952839</v>
      </c>
      <c r="T129" s="3">
        <v>253632</v>
      </c>
      <c r="U129" s="3">
        <v>253632</v>
      </c>
      <c r="V129" s="3">
        <v>253632</v>
      </c>
      <c r="W129" s="3">
        <v>253632</v>
      </c>
      <c r="X129" s="3">
        <v>252025</v>
      </c>
      <c r="Y129" s="3">
        <v>252025</v>
      </c>
      <c r="Z129" s="4">
        <v>252024</v>
      </c>
      <c r="AA129" s="4">
        <v>252024</v>
      </c>
      <c r="AB129" s="4">
        <v>252024</v>
      </c>
      <c r="AC129" s="4">
        <v>252025</v>
      </c>
      <c r="AD129" s="4">
        <v>253632</v>
      </c>
      <c r="AE129" s="4">
        <v>507264</v>
      </c>
      <c r="AF129" s="4">
        <v>760896</v>
      </c>
      <c r="AG129" s="4">
        <v>1014528</v>
      </c>
      <c r="AH129" s="4">
        <v>1266553</v>
      </c>
      <c r="AI129" s="4">
        <v>1518578</v>
      </c>
      <c r="AJ129" s="4">
        <v>1770602</v>
      </c>
      <c r="AK129" s="4">
        <v>2022626</v>
      </c>
      <c r="AL129" s="4">
        <v>2274650</v>
      </c>
      <c r="AM129" s="4">
        <v>2526675</v>
      </c>
      <c r="AN129" s="153">
        <v>191944</v>
      </c>
    </row>
    <row r="130" spans="1:40" x14ac:dyDescent="0.2">
      <c r="A130" s="1">
        <v>2022</v>
      </c>
      <c r="B130" s="2" t="s">
        <v>150</v>
      </c>
      <c r="C130" s="2" t="s">
        <v>150</v>
      </c>
      <c r="D130" s="1" t="s">
        <v>502</v>
      </c>
      <c r="E130" s="3">
        <v>2974505</v>
      </c>
      <c r="F130" s="1">
        <v>481</v>
      </c>
      <c r="G130" s="3">
        <v>14124</v>
      </c>
      <c r="H130" s="1">
        <v>0</v>
      </c>
      <c r="I130" s="3">
        <v>2974024</v>
      </c>
      <c r="J130" s="3">
        <v>2959900</v>
      </c>
      <c r="K130" s="3">
        <v>2959900</v>
      </c>
      <c r="L130" s="3">
        <v>104311</v>
      </c>
      <c r="M130" s="3">
        <v>371274</v>
      </c>
      <c r="N130" s="3">
        <v>38251</v>
      </c>
      <c r="O130" s="3">
        <v>42020</v>
      </c>
      <c r="P130" s="3">
        <v>207557</v>
      </c>
      <c r="Q130" s="3">
        <v>2210611</v>
      </c>
      <c r="R130" s="3">
        <v>2196487</v>
      </c>
      <c r="S130" s="3">
        <v>2196487</v>
      </c>
      <c r="T130" s="3">
        <v>297402</v>
      </c>
      <c r="U130" s="3">
        <v>297402</v>
      </c>
      <c r="V130" s="3">
        <v>297402</v>
      </c>
      <c r="W130" s="3">
        <v>297402</v>
      </c>
      <c r="X130" s="3">
        <v>295049</v>
      </c>
      <c r="Y130" s="3">
        <v>295049</v>
      </c>
      <c r="Z130" s="4">
        <v>295049</v>
      </c>
      <c r="AA130" s="4">
        <v>295049</v>
      </c>
      <c r="AB130" s="4">
        <v>295049</v>
      </c>
      <c r="AC130" s="4">
        <v>295047</v>
      </c>
      <c r="AD130" s="4">
        <v>297402</v>
      </c>
      <c r="AE130" s="4">
        <v>594804</v>
      </c>
      <c r="AF130" s="4">
        <v>892206</v>
      </c>
      <c r="AG130" s="4">
        <v>1189608</v>
      </c>
      <c r="AH130" s="4">
        <v>1484657</v>
      </c>
      <c r="AI130" s="4">
        <v>1779706</v>
      </c>
      <c r="AJ130" s="4">
        <v>2074755</v>
      </c>
      <c r="AK130" s="4">
        <v>2369804</v>
      </c>
      <c r="AL130" s="4">
        <v>2664853</v>
      </c>
      <c r="AM130" s="4">
        <v>2959900</v>
      </c>
      <c r="AN130" s="153">
        <v>286779</v>
      </c>
    </row>
    <row r="131" spans="1:40" x14ac:dyDescent="0.2">
      <c r="A131" s="1">
        <v>2022</v>
      </c>
      <c r="B131" s="2" t="s">
        <v>151</v>
      </c>
      <c r="C131" s="2" t="s">
        <v>151</v>
      </c>
      <c r="D131" s="1" t="s">
        <v>5</v>
      </c>
      <c r="E131" s="3">
        <v>2032427</v>
      </c>
      <c r="F131" s="3">
        <v>315</v>
      </c>
      <c r="G131" s="3">
        <v>7974</v>
      </c>
      <c r="H131" s="1">
        <v>0</v>
      </c>
      <c r="I131" s="3">
        <v>2032112</v>
      </c>
      <c r="J131" s="3">
        <v>2024138</v>
      </c>
      <c r="K131" s="3">
        <v>2024138</v>
      </c>
      <c r="L131" s="3">
        <v>68342</v>
      </c>
      <c r="M131" s="3">
        <v>216799</v>
      </c>
      <c r="N131" s="3">
        <v>22955</v>
      </c>
      <c r="O131" s="3">
        <v>22489</v>
      </c>
      <c r="P131" s="3">
        <v>117183</v>
      </c>
      <c r="Q131" s="3">
        <v>1584344</v>
      </c>
      <c r="R131" s="3">
        <v>1576370</v>
      </c>
      <c r="S131" s="3">
        <v>1576370</v>
      </c>
      <c r="T131" s="3">
        <v>203211</v>
      </c>
      <c r="U131" s="3">
        <v>203211</v>
      </c>
      <c r="V131" s="3">
        <v>203211</v>
      </c>
      <c r="W131" s="3">
        <v>203211</v>
      </c>
      <c r="X131" s="3">
        <v>201882</v>
      </c>
      <c r="Y131" s="3">
        <v>201882</v>
      </c>
      <c r="Z131" s="4">
        <v>201883</v>
      </c>
      <c r="AA131" s="4">
        <v>201883</v>
      </c>
      <c r="AB131" s="4">
        <v>201883</v>
      </c>
      <c r="AC131" s="4">
        <v>201881</v>
      </c>
      <c r="AD131" s="4">
        <v>203211</v>
      </c>
      <c r="AE131" s="4">
        <v>406422</v>
      </c>
      <c r="AF131" s="4">
        <v>609633</v>
      </c>
      <c r="AG131" s="4">
        <v>812844</v>
      </c>
      <c r="AH131" s="4">
        <v>1014726</v>
      </c>
      <c r="AI131" s="4">
        <v>1216608</v>
      </c>
      <c r="AJ131" s="4">
        <v>1418491</v>
      </c>
      <c r="AK131" s="4">
        <v>1620374</v>
      </c>
      <c r="AL131" s="4">
        <v>1822257</v>
      </c>
      <c r="AM131" s="4">
        <v>2024138</v>
      </c>
      <c r="AN131" s="153">
        <v>156164</v>
      </c>
    </row>
    <row r="132" spans="1:40" x14ac:dyDescent="0.2">
      <c r="A132" s="1">
        <v>2022</v>
      </c>
      <c r="B132" s="2" t="s">
        <v>152</v>
      </c>
      <c r="C132" s="2" t="s">
        <v>152</v>
      </c>
      <c r="D132" s="1" t="s">
        <v>503</v>
      </c>
      <c r="E132" s="3">
        <v>1082598</v>
      </c>
      <c r="F132" s="1">
        <v>232</v>
      </c>
      <c r="G132" s="3">
        <v>4656</v>
      </c>
      <c r="H132" s="1">
        <v>0</v>
      </c>
      <c r="I132" s="3">
        <v>1082366</v>
      </c>
      <c r="J132" s="3">
        <v>1077710</v>
      </c>
      <c r="K132" s="3">
        <v>1077710</v>
      </c>
      <c r="L132" s="3">
        <v>50357</v>
      </c>
      <c r="M132" s="3">
        <v>124211</v>
      </c>
      <c r="N132" s="3">
        <v>14547</v>
      </c>
      <c r="O132" s="3">
        <v>12901</v>
      </c>
      <c r="P132" s="3">
        <v>68418</v>
      </c>
      <c r="Q132" s="3">
        <v>811932</v>
      </c>
      <c r="R132" s="3">
        <v>807276</v>
      </c>
      <c r="S132" s="3">
        <v>807276</v>
      </c>
      <c r="T132" s="3">
        <v>108237</v>
      </c>
      <c r="U132" s="3">
        <v>108237</v>
      </c>
      <c r="V132" s="3">
        <v>108237</v>
      </c>
      <c r="W132" s="3">
        <v>108237</v>
      </c>
      <c r="X132" s="3">
        <v>107460</v>
      </c>
      <c r="Y132" s="3">
        <v>107460</v>
      </c>
      <c r="Z132" s="4">
        <v>107461</v>
      </c>
      <c r="AA132" s="4">
        <v>107461</v>
      </c>
      <c r="AB132" s="4">
        <v>107461</v>
      </c>
      <c r="AC132" s="4">
        <v>107459</v>
      </c>
      <c r="AD132" s="4">
        <v>108237</v>
      </c>
      <c r="AE132" s="4">
        <v>216474</v>
      </c>
      <c r="AF132" s="4">
        <v>324711</v>
      </c>
      <c r="AG132" s="4">
        <v>432948</v>
      </c>
      <c r="AH132" s="4">
        <v>540408</v>
      </c>
      <c r="AI132" s="4">
        <v>647868</v>
      </c>
      <c r="AJ132" s="4">
        <v>755329</v>
      </c>
      <c r="AK132" s="4">
        <v>862790</v>
      </c>
      <c r="AL132" s="4">
        <v>970251</v>
      </c>
      <c r="AM132" s="4">
        <v>1077710</v>
      </c>
      <c r="AN132" s="153">
        <v>101620</v>
      </c>
    </row>
    <row r="133" spans="1:40" x14ac:dyDescent="0.2">
      <c r="A133" s="1">
        <v>2022</v>
      </c>
      <c r="B133" s="2" t="s">
        <v>153</v>
      </c>
      <c r="C133" s="2" t="s">
        <v>153</v>
      </c>
      <c r="D133" s="1" t="s">
        <v>504</v>
      </c>
      <c r="E133" s="3">
        <v>7813202</v>
      </c>
      <c r="F133" s="3">
        <v>862</v>
      </c>
      <c r="G133" s="3">
        <v>26621</v>
      </c>
      <c r="H133" s="1">
        <v>0</v>
      </c>
      <c r="I133" s="3">
        <v>7812340</v>
      </c>
      <c r="J133" s="3">
        <v>7785719</v>
      </c>
      <c r="K133" s="3">
        <v>7785719</v>
      </c>
      <c r="L133" s="3">
        <v>187040</v>
      </c>
      <c r="M133" s="3">
        <v>737211</v>
      </c>
      <c r="N133" s="3">
        <v>94890</v>
      </c>
      <c r="O133" s="3">
        <v>79989</v>
      </c>
      <c r="P133" s="3">
        <v>398705</v>
      </c>
      <c r="Q133" s="3">
        <v>6314505</v>
      </c>
      <c r="R133" s="3">
        <v>6287884</v>
      </c>
      <c r="S133" s="3">
        <v>6287884</v>
      </c>
      <c r="T133" s="3">
        <v>781234</v>
      </c>
      <c r="U133" s="3">
        <v>781234</v>
      </c>
      <c r="V133" s="3">
        <v>781234</v>
      </c>
      <c r="W133" s="3">
        <v>781234</v>
      </c>
      <c r="X133" s="3">
        <v>776797</v>
      </c>
      <c r="Y133" s="3">
        <v>776797</v>
      </c>
      <c r="Z133" s="4">
        <v>776797</v>
      </c>
      <c r="AA133" s="4">
        <v>776797</v>
      </c>
      <c r="AB133" s="4">
        <v>776797</v>
      </c>
      <c r="AC133" s="4">
        <v>776798</v>
      </c>
      <c r="AD133" s="4">
        <v>781234</v>
      </c>
      <c r="AE133" s="4">
        <v>1562468</v>
      </c>
      <c r="AF133" s="4">
        <v>2343702</v>
      </c>
      <c r="AG133" s="4">
        <v>3124936</v>
      </c>
      <c r="AH133" s="4">
        <v>3901733</v>
      </c>
      <c r="AI133" s="4">
        <v>4678530</v>
      </c>
      <c r="AJ133" s="4">
        <v>5455327</v>
      </c>
      <c r="AK133" s="4">
        <v>6232124</v>
      </c>
      <c r="AL133" s="4">
        <v>7008921</v>
      </c>
      <c r="AM133" s="4">
        <v>7785719</v>
      </c>
      <c r="AN133" s="153">
        <v>562824</v>
      </c>
    </row>
    <row r="134" spans="1:40" x14ac:dyDescent="0.2">
      <c r="A134" s="1">
        <v>2022</v>
      </c>
      <c r="B134" s="2" t="s">
        <v>154</v>
      </c>
      <c r="C134" s="2" t="s">
        <v>154</v>
      </c>
      <c r="D134" s="1" t="s">
        <v>505</v>
      </c>
      <c r="E134" s="3">
        <v>8474882</v>
      </c>
      <c r="F134" s="3">
        <v>1012</v>
      </c>
      <c r="G134" s="3">
        <v>32179</v>
      </c>
      <c r="H134" s="1">
        <v>0</v>
      </c>
      <c r="I134" s="3">
        <v>8473870</v>
      </c>
      <c r="J134" s="3">
        <v>8441691</v>
      </c>
      <c r="K134" s="3">
        <v>8441691</v>
      </c>
      <c r="L134" s="3">
        <v>219412</v>
      </c>
      <c r="M134" s="3">
        <v>840320</v>
      </c>
      <c r="N134" s="3">
        <v>98121</v>
      </c>
      <c r="O134" s="3">
        <v>98446</v>
      </c>
      <c r="P134" s="3">
        <v>472885</v>
      </c>
      <c r="Q134" s="3">
        <v>6744686</v>
      </c>
      <c r="R134" s="3">
        <v>6712507</v>
      </c>
      <c r="S134" s="3">
        <v>6712507</v>
      </c>
      <c r="T134" s="3">
        <v>847387</v>
      </c>
      <c r="U134" s="3">
        <v>847387</v>
      </c>
      <c r="V134" s="3">
        <v>847387</v>
      </c>
      <c r="W134" s="3">
        <v>847387</v>
      </c>
      <c r="X134" s="3">
        <v>842024</v>
      </c>
      <c r="Y134" s="3">
        <v>842024</v>
      </c>
      <c r="Z134" s="4">
        <v>842024</v>
      </c>
      <c r="AA134" s="4">
        <v>842024</v>
      </c>
      <c r="AB134" s="4">
        <v>842024</v>
      </c>
      <c r="AC134" s="4">
        <v>842023</v>
      </c>
      <c r="AD134" s="4">
        <v>847387</v>
      </c>
      <c r="AE134" s="4">
        <v>1694774</v>
      </c>
      <c r="AF134" s="4">
        <v>2542161</v>
      </c>
      <c r="AG134" s="4">
        <v>3389548</v>
      </c>
      <c r="AH134" s="4">
        <v>4231572</v>
      </c>
      <c r="AI134" s="4">
        <v>5073596</v>
      </c>
      <c r="AJ134" s="4">
        <v>5915620</v>
      </c>
      <c r="AK134" s="4">
        <v>6757644</v>
      </c>
      <c r="AL134" s="4">
        <v>7599668</v>
      </c>
      <c r="AM134" s="4">
        <v>8441691</v>
      </c>
      <c r="AN134" s="153">
        <v>640168</v>
      </c>
    </row>
    <row r="135" spans="1:40" x14ac:dyDescent="0.2">
      <c r="A135" s="1">
        <v>2022</v>
      </c>
      <c r="B135" s="2" t="s">
        <v>156</v>
      </c>
      <c r="C135" s="2" t="s">
        <v>156</v>
      </c>
      <c r="D135" s="1" t="s">
        <v>506</v>
      </c>
      <c r="E135" s="3">
        <v>1005518</v>
      </c>
      <c r="F135" s="3">
        <v>332</v>
      </c>
      <c r="G135" s="3">
        <v>7007</v>
      </c>
      <c r="H135" s="1">
        <v>0</v>
      </c>
      <c r="I135" s="3">
        <v>1005186</v>
      </c>
      <c r="J135" s="3">
        <v>998179</v>
      </c>
      <c r="K135" s="3">
        <v>998179</v>
      </c>
      <c r="L135" s="3">
        <v>71938</v>
      </c>
      <c r="M135" s="3">
        <v>190974</v>
      </c>
      <c r="N135" s="3">
        <v>25697</v>
      </c>
      <c r="O135" s="3">
        <v>20019</v>
      </c>
      <c r="P135" s="3">
        <v>102976</v>
      </c>
      <c r="Q135" s="3">
        <v>593582</v>
      </c>
      <c r="R135" s="3">
        <v>586575</v>
      </c>
      <c r="S135" s="3">
        <v>586575</v>
      </c>
      <c r="T135" s="3">
        <v>100519</v>
      </c>
      <c r="U135" s="3">
        <v>100519</v>
      </c>
      <c r="V135" s="3">
        <v>100519</v>
      </c>
      <c r="W135" s="3">
        <v>100519</v>
      </c>
      <c r="X135" s="3">
        <v>99351</v>
      </c>
      <c r="Y135" s="3">
        <v>99351</v>
      </c>
      <c r="Z135" s="4">
        <v>99350</v>
      </c>
      <c r="AA135" s="4">
        <v>99350</v>
      </c>
      <c r="AB135" s="4">
        <v>99350</v>
      </c>
      <c r="AC135" s="4">
        <v>99351</v>
      </c>
      <c r="AD135" s="4">
        <v>100519</v>
      </c>
      <c r="AE135" s="4">
        <v>201038</v>
      </c>
      <c r="AF135" s="4">
        <v>301557</v>
      </c>
      <c r="AG135" s="4">
        <v>402076</v>
      </c>
      <c r="AH135" s="4">
        <v>501427</v>
      </c>
      <c r="AI135" s="4">
        <v>600778</v>
      </c>
      <c r="AJ135" s="4">
        <v>700128</v>
      </c>
      <c r="AK135" s="4">
        <v>799478</v>
      </c>
      <c r="AL135" s="4">
        <v>898828</v>
      </c>
      <c r="AM135" s="4">
        <v>998179</v>
      </c>
      <c r="AN135" s="153">
        <v>140983</v>
      </c>
    </row>
    <row r="136" spans="1:40" x14ac:dyDescent="0.2">
      <c r="A136" s="1">
        <v>2022</v>
      </c>
      <c r="B136" s="2" t="s">
        <v>157</v>
      </c>
      <c r="C136" s="2" t="s">
        <v>157</v>
      </c>
      <c r="D136" s="1" t="s">
        <v>507</v>
      </c>
      <c r="E136" s="3">
        <v>3061217</v>
      </c>
      <c r="F136" s="3">
        <v>547</v>
      </c>
      <c r="G136" s="3">
        <v>14542</v>
      </c>
      <c r="H136" s="1">
        <v>0</v>
      </c>
      <c r="I136" s="3">
        <v>3060670</v>
      </c>
      <c r="J136" s="3">
        <v>3046128</v>
      </c>
      <c r="K136" s="3">
        <v>3046128</v>
      </c>
      <c r="L136" s="3">
        <v>118699</v>
      </c>
      <c r="M136" s="3">
        <v>400495</v>
      </c>
      <c r="N136" s="3">
        <v>40846</v>
      </c>
      <c r="O136" s="3">
        <v>43338</v>
      </c>
      <c r="P136" s="3">
        <v>213701</v>
      </c>
      <c r="Q136" s="3">
        <v>2243591</v>
      </c>
      <c r="R136" s="3">
        <v>2229049</v>
      </c>
      <c r="S136" s="3">
        <v>2229049</v>
      </c>
      <c r="T136" s="3">
        <v>306067</v>
      </c>
      <c r="U136" s="3">
        <v>306067</v>
      </c>
      <c r="V136" s="3">
        <v>306067</v>
      </c>
      <c r="W136" s="3">
        <v>306067</v>
      </c>
      <c r="X136" s="3">
        <v>303643</v>
      </c>
      <c r="Y136" s="3">
        <v>303643</v>
      </c>
      <c r="Z136" s="4">
        <v>303644</v>
      </c>
      <c r="AA136" s="4">
        <v>303644</v>
      </c>
      <c r="AB136" s="4">
        <v>303644</v>
      </c>
      <c r="AC136" s="4">
        <v>303642</v>
      </c>
      <c r="AD136" s="4">
        <v>306067</v>
      </c>
      <c r="AE136" s="4">
        <v>612134</v>
      </c>
      <c r="AF136" s="4">
        <v>918201</v>
      </c>
      <c r="AG136" s="4">
        <v>1224268</v>
      </c>
      <c r="AH136" s="4">
        <v>1527911</v>
      </c>
      <c r="AI136" s="4">
        <v>1831554</v>
      </c>
      <c r="AJ136" s="4">
        <v>2135198</v>
      </c>
      <c r="AK136" s="4">
        <v>2438842</v>
      </c>
      <c r="AL136" s="4">
        <v>2742486</v>
      </c>
      <c r="AM136" s="4">
        <v>3046128</v>
      </c>
      <c r="AN136" s="153">
        <v>313264</v>
      </c>
    </row>
    <row r="137" spans="1:40" x14ac:dyDescent="0.2">
      <c r="A137" s="1">
        <v>2022</v>
      </c>
      <c r="B137" s="2" t="s">
        <v>158</v>
      </c>
      <c r="C137" s="2" t="s">
        <v>158</v>
      </c>
      <c r="D137" s="1" t="s">
        <v>508</v>
      </c>
      <c r="E137" s="3">
        <v>3414252</v>
      </c>
      <c r="F137" s="1">
        <v>481</v>
      </c>
      <c r="G137" s="3">
        <v>14468</v>
      </c>
      <c r="H137" s="1">
        <v>0</v>
      </c>
      <c r="I137" s="3">
        <v>3413771</v>
      </c>
      <c r="J137" s="3">
        <v>3399303</v>
      </c>
      <c r="K137" s="3">
        <v>3399303</v>
      </c>
      <c r="L137" s="3">
        <v>104311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2610097</v>
      </c>
      <c r="R137" s="3">
        <v>2595629</v>
      </c>
      <c r="S137" s="3">
        <v>2595629</v>
      </c>
      <c r="T137" s="3">
        <v>341377</v>
      </c>
      <c r="U137" s="3">
        <v>341377</v>
      </c>
      <c r="V137" s="3">
        <v>341377</v>
      </c>
      <c r="W137" s="3">
        <v>341377</v>
      </c>
      <c r="X137" s="3">
        <v>338966</v>
      </c>
      <c r="Y137" s="3">
        <v>338966</v>
      </c>
      <c r="Z137" s="4">
        <v>338966</v>
      </c>
      <c r="AA137" s="4">
        <v>338966</v>
      </c>
      <c r="AB137" s="4">
        <v>338966</v>
      </c>
      <c r="AC137" s="4">
        <v>338965</v>
      </c>
      <c r="AD137" s="4">
        <v>341377</v>
      </c>
      <c r="AE137" s="4">
        <v>682754</v>
      </c>
      <c r="AF137" s="4">
        <v>1024131</v>
      </c>
      <c r="AG137" s="4">
        <v>1365508</v>
      </c>
      <c r="AH137" s="4">
        <v>1704474</v>
      </c>
      <c r="AI137" s="4">
        <v>2043440</v>
      </c>
      <c r="AJ137" s="4">
        <v>2382406</v>
      </c>
      <c r="AK137" s="4">
        <v>2721372</v>
      </c>
      <c r="AL137" s="4">
        <v>3060338</v>
      </c>
      <c r="AM137" s="4">
        <v>3399303</v>
      </c>
      <c r="AN137" s="153">
        <v>283503</v>
      </c>
    </row>
    <row r="138" spans="1:40" x14ac:dyDescent="0.2">
      <c r="A138" s="1">
        <v>2022</v>
      </c>
      <c r="B138" s="2" t="s">
        <v>159</v>
      </c>
      <c r="C138" s="2" t="s">
        <v>159</v>
      </c>
      <c r="D138" s="1" t="s">
        <v>509</v>
      </c>
      <c r="E138" s="3">
        <v>3018627</v>
      </c>
      <c r="F138" s="1">
        <v>597</v>
      </c>
      <c r="G138" s="3">
        <v>12376</v>
      </c>
      <c r="H138" s="3">
        <v>41512</v>
      </c>
      <c r="I138" s="3">
        <v>3018030</v>
      </c>
      <c r="J138" s="3">
        <v>3005654</v>
      </c>
      <c r="K138" s="3">
        <v>2964142</v>
      </c>
      <c r="L138" s="3">
        <v>129489</v>
      </c>
      <c r="M138" s="3">
        <v>335222</v>
      </c>
      <c r="N138" s="3">
        <v>40575</v>
      </c>
      <c r="O138" s="3">
        <v>37658</v>
      </c>
      <c r="P138" s="3">
        <v>181865</v>
      </c>
      <c r="Q138" s="3">
        <v>2293221</v>
      </c>
      <c r="R138" s="3">
        <v>2280845</v>
      </c>
      <c r="S138" s="3">
        <v>2239333</v>
      </c>
      <c r="T138" s="3">
        <v>301803</v>
      </c>
      <c r="U138" s="3">
        <v>301803</v>
      </c>
      <c r="V138" s="3">
        <v>301803</v>
      </c>
      <c r="W138" s="3">
        <v>301803</v>
      </c>
      <c r="X138" s="3">
        <v>299740</v>
      </c>
      <c r="Y138" s="3">
        <v>299740</v>
      </c>
      <c r="Z138" s="4">
        <v>289363</v>
      </c>
      <c r="AA138" s="4">
        <v>289363</v>
      </c>
      <c r="AB138" s="4">
        <v>289363</v>
      </c>
      <c r="AC138" s="4">
        <v>289361</v>
      </c>
      <c r="AD138" s="4">
        <v>301803</v>
      </c>
      <c r="AE138" s="4">
        <v>603606</v>
      </c>
      <c r="AF138" s="4">
        <v>905409</v>
      </c>
      <c r="AG138" s="4">
        <v>1207212</v>
      </c>
      <c r="AH138" s="4">
        <v>1506952</v>
      </c>
      <c r="AI138" s="4">
        <v>1806692</v>
      </c>
      <c r="AJ138" s="4">
        <v>2096055</v>
      </c>
      <c r="AK138" s="4">
        <v>2385418</v>
      </c>
      <c r="AL138" s="4">
        <v>2674781</v>
      </c>
      <c r="AM138" s="4">
        <v>2964142</v>
      </c>
      <c r="AN138" s="153">
        <v>244206</v>
      </c>
    </row>
    <row r="139" spans="1:40" x14ac:dyDescent="0.2">
      <c r="A139" s="1">
        <v>2022</v>
      </c>
      <c r="B139" s="2" t="s">
        <v>160</v>
      </c>
      <c r="C139" s="2" t="s">
        <v>160</v>
      </c>
      <c r="D139" s="1" t="s">
        <v>510</v>
      </c>
      <c r="E139" s="3">
        <v>6872649</v>
      </c>
      <c r="F139" s="3">
        <v>1012</v>
      </c>
      <c r="G139" s="3">
        <v>26711</v>
      </c>
      <c r="H139" s="1">
        <v>0</v>
      </c>
      <c r="I139" s="3">
        <v>6871637</v>
      </c>
      <c r="J139" s="3">
        <v>6844926</v>
      </c>
      <c r="K139" s="3">
        <v>6844926</v>
      </c>
      <c r="L139" s="3">
        <v>219412</v>
      </c>
      <c r="M139" s="3">
        <v>722368</v>
      </c>
      <c r="N139" s="3">
        <v>77208</v>
      </c>
      <c r="O139" s="3">
        <v>78007</v>
      </c>
      <c r="P139" s="3">
        <v>392529</v>
      </c>
      <c r="Q139" s="3">
        <v>5382113</v>
      </c>
      <c r="R139" s="3">
        <v>5355402</v>
      </c>
      <c r="S139" s="3">
        <v>5355402</v>
      </c>
      <c r="T139" s="3">
        <v>687164</v>
      </c>
      <c r="U139" s="3">
        <v>687164</v>
      </c>
      <c r="V139" s="3">
        <v>687164</v>
      </c>
      <c r="W139" s="3">
        <v>687164</v>
      </c>
      <c r="X139" s="3">
        <v>682712</v>
      </c>
      <c r="Y139" s="3">
        <v>682712</v>
      </c>
      <c r="Z139" s="4">
        <v>682712</v>
      </c>
      <c r="AA139" s="4">
        <v>682712</v>
      </c>
      <c r="AB139" s="4">
        <v>682712</v>
      </c>
      <c r="AC139" s="4">
        <v>682710</v>
      </c>
      <c r="AD139" s="4">
        <v>687164</v>
      </c>
      <c r="AE139" s="4">
        <v>1374328</v>
      </c>
      <c r="AF139" s="4">
        <v>2061492</v>
      </c>
      <c r="AG139" s="4">
        <v>2748656</v>
      </c>
      <c r="AH139" s="4">
        <v>3431368</v>
      </c>
      <c r="AI139" s="4">
        <v>4114080</v>
      </c>
      <c r="AJ139" s="4">
        <v>4796792</v>
      </c>
      <c r="AK139" s="4">
        <v>5479504</v>
      </c>
      <c r="AL139" s="4">
        <v>6162216</v>
      </c>
      <c r="AM139" s="4">
        <v>6844926</v>
      </c>
      <c r="AN139" s="153">
        <v>569394</v>
      </c>
    </row>
    <row r="140" spans="1:40" x14ac:dyDescent="0.2">
      <c r="A140" s="1">
        <v>2022</v>
      </c>
      <c r="B140" s="2" t="s">
        <v>161</v>
      </c>
      <c r="C140" s="2" t="s">
        <v>161</v>
      </c>
      <c r="D140" s="1" t="s">
        <v>511</v>
      </c>
      <c r="E140" s="3">
        <v>1917942</v>
      </c>
      <c r="F140" s="1">
        <v>398</v>
      </c>
      <c r="G140" s="3">
        <v>9967</v>
      </c>
      <c r="H140" s="1">
        <v>0</v>
      </c>
      <c r="I140" s="3">
        <v>1917544</v>
      </c>
      <c r="J140" s="3">
        <v>1907577</v>
      </c>
      <c r="K140" s="3">
        <v>1907577</v>
      </c>
      <c r="L140" s="3">
        <v>86326</v>
      </c>
      <c r="M140" s="3">
        <v>258088</v>
      </c>
      <c r="N140" s="3">
        <v>26024</v>
      </c>
      <c r="O140" s="3">
        <v>22537</v>
      </c>
      <c r="P140" s="3">
        <v>146470</v>
      </c>
      <c r="Q140" s="3">
        <v>1378099</v>
      </c>
      <c r="R140" s="3">
        <v>1368132</v>
      </c>
      <c r="S140" s="3">
        <v>1368132</v>
      </c>
      <c r="T140" s="3">
        <v>191754</v>
      </c>
      <c r="U140" s="3">
        <v>191754</v>
      </c>
      <c r="V140" s="3">
        <v>191754</v>
      </c>
      <c r="W140" s="3">
        <v>191754</v>
      </c>
      <c r="X140" s="3">
        <v>190094</v>
      </c>
      <c r="Y140" s="3">
        <v>190094</v>
      </c>
      <c r="Z140" s="4">
        <v>190093</v>
      </c>
      <c r="AA140" s="4">
        <v>190093</v>
      </c>
      <c r="AB140" s="4">
        <v>190093</v>
      </c>
      <c r="AC140" s="4">
        <v>190094</v>
      </c>
      <c r="AD140" s="4">
        <v>191754</v>
      </c>
      <c r="AE140" s="4">
        <v>383508</v>
      </c>
      <c r="AF140" s="4">
        <v>575262</v>
      </c>
      <c r="AG140" s="4">
        <v>767016</v>
      </c>
      <c r="AH140" s="4">
        <v>957110</v>
      </c>
      <c r="AI140" s="4">
        <v>1147204</v>
      </c>
      <c r="AJ140" s="4">
        <v>1337297</v>
      </c>
      <c r="AK140" s="4">
        <v>1527390</v>
      </c>
      <c r="AL140" s="4">
        <v>1717483</v>
      </c>
      <c r="AM140" s="4">
        <v>1907577</v>
      </c>
      <c r="AN140" s="153">
        <v>202812</v>
      </c>
    </row>
    <row r="141" spans="1:40" x14ac:dyDescent="0.2">
      <c r="A141" s="1">
        <v>2022</v>
      </c>
      <c r="B141" s="2" t="s">
        <v>162</v>
      </c>
      <c r="C141" s="2" t="s">
        <v>162</v>
      </c>
      <c r="D141" s="1" t="s">
        <v>512</v>
      </c>
      <c r="E141" s="3">
        <v>4711192</v>
      </c>
      <c r="F141" s="3">
        <v>448</v>
      </c>
      <c r="G141" s="3">
        <v>16198</v>
      </c>
      <c r="H141" s="1">
        <v>0</v>
      </c>
      <c r="I141" s="3">
        <v>4710744</v>
      </c>
      <c r="J141" s="3">
        <v>4694546</v>
      </c>
      <c r="K141" s="3">
        <v>4694546</v>
      </c>
      <c r="L141" s="3">
        <v>97117</v>
      </c>
      <c r="M141" s="3">
        <v>458828</v>
      </c>
      <c r="N141" s="3">
        <v>41079</v>
      </c>
      <c r="O141" s="3">
        <v>51932</v>
      </c>
      <c r="P141" s="3">
        <v>239782</v>
      </c>
      <c r="Q141" s="3">
        <v>3822006</v>
      </c>
      <c r="R141" s="3">
        <v>3805808</v>
      </c>
      <c r="S141" s="3">
        <v>3805808</v>
      </c>
      <c r="T141" s="3">
        <v>471074</v>
      </c>
      <c r="U141" s="3">
        <v>471074</v>
      </c>
      <c r="V141" s="3">
        <v>471074</v>
      </c>
      <c r="W141" s="3">
        <v>471074</v>
      </c>
      <c r="X141" s="3">
        <v>468375</v>
      </c>
      <c r="Y141" s="3">
        <v>468375</v>
      </c>
      <c r="Z141" s="4">
        <v>468375</v>
      </c>
      <c r="AA141" s="4">
        <v>468375</v>
      </c>
      <c r="AB141" s="4">
        <v>468375</v>
      </c>
      <c r="AC141" s="4">
        <v>468375</v>
      </c>
      <c r="AD141" s="4">
        <v>471074</v>
      </c>
      <c r="AE141" s="4">
        <v>942148</v>
      </c>
      <c r="AF141" s="4">
        <v>1413222</v>
      </c>
      <c r="AG141" s="4">
        <v>1884296</v>
      </c>
      <c r="AH141" s="4">
        <v>2352671</v>
      </c>
      <c r="AI141" s="4">
        <v>2821046</v>
      </c>
      <c r="AJ141" s="4">
        <v>3289421</v>
      </c>
      <c r="AK141" s="4">
        <v>3757796</v>
      </c>
      <c r="AL141" s="4">
        <v>4226171</v>
      </c>
      <c r="AM141" s="4">
        <v>4694546</v>
      </c>
      <c r="AN141" s="153">
        <v>333409</v>
      </c>
    </row>
    <row r="142" spans="1:40" x14ac:dyDescent="0.2">
      <c r="A142" s="1">
        <v>2022</v>
      </c>
      <c r="B142" s="2" t="s">
        <v>163</v>
      </c>
      <c r="C142" s="2" t="s">
        <v>163</v>
      </c>
      <c r="D142" s="1" t="s">
        <v>513</v>
      </c>
      <c r="E142" s="3">
        <v>7779751</v>
      </c>
      <c r="F142" s="3">
        <v>1194</v>
      </c>
      <c r="G142" s="3">
        <v>29504</v>
      </c>
      <c r="H142" s="1">
        <v>0</v>
      </c>
      <c r="I142" s="3">
        <v>7778557</v>
      </c>
      <c r="J142" s="3">
        <v>7749053</v>
      </c>
      <c r="K142" s="3">
        <v>7749053</v>
      </c>
      <c r="L142" s="3">
        <v>258978</v>
      </c>
      <c r="M142" s="3">
        <v>789007</v>
      </c>
      <c r="N142" s="3">
        <v>96002</v>
      </c>
      <c r="O142" s="3">
        <v>86550</v>
      </c>
      <c r="P142" s="3">
        <v>433580</v>
      </c>
      <c r="Q142" s="3">
        <v>6114440</v>
      </c>
      <c r="R142" s="3">
        <v>6084936</v>
      </c>
      <c r="S142" s="3">
        <v>6084936</v>
      </c>
      <c r="T142" s="3">
        <v>777856</v>
      </c>
      <c r="U142" s="3">
        <v>777856</v>
      </c>
      <c r="V142" s="3">
        <v>777856</v>
      </c>
      <c r="W142" s="3">
        <v>777856</v>
      </c>
      <c r="X142" s="3">
        <v>772938</v>
      </c>
      <c r="Y142" s="3">
        <v>772938</v>
      </c>
      <c r="Z142" s="4">
        <v>772938</v>
      </c>
      <c r="AA142" s="4">
        <v>772938</v>
      </c>
      <c r="AB142" s="4">
        <v>772938</v>
      </c>
      <c r="AC142" s="4">
        <v>772939</v>
      </c>
      <c r="AD142" s="4">
        <v>777856</v>
      </c>
      <c r="AE142" s="4">
        <v>1555712</v>
      </c>
      <c r="AF142" s="4">
        <v>2333568</v>
      </c>
      <c r="AG142" s="4">
        <v>3111424</v>
      </c>
      <c r="AH142" s="4">
        <v>3884362</v>
      </c>
      <c r="AI142" s="4">
        <v>4657300</v>
      </c>
      <c r="AJ142" s="4">
        <v>5430238</v>
      </c>
      <c r="AK142" s="4">
        <v>6203176</v>
      </c>
      <c r="AL142" s="4">
        <v>6976114</v>
      </c>
      <c r="AM142" s="4">
        <v>7749053</v>
      </c>
      <c r="AN142" s="153">
        <v>610414</v>
      </c>
    </row>
    <row r="143" spans="1:40" x14ac:dyDescent="0.2">
      <c r="A143" s="1">
        <v>2022</v>
      </c>
      <c r="B143" s="2" t="s">
        <v>164</v>
      </c>
      <c r="C143" s="2" t="s">
        <v>164</v>
      </c>
      <c r="D143" s="1" t="s">
        <v>514</v>
      </c>
      <c r="E143" s="3">
        <v>9446326</v>
      </c>
      <c r="F143" s="3">
        <v>1493</v>
      </c>
      <c r="G143" s="3">
        <v>33034</v>
      </c>
      <c r="H143" s="1">
        <v>0</v>
      </c>
      <c r="I143" s="3">
        <v>9444833</v>
      </c>
      <c r="J143" s="3">
        <v>9411799</v>
      </c>
      <c r="K143" s="3">
        <v>9411799</v>
      </c>
      <c r="L143" s="3">
        <v>323722</v>
      </c>
      <c r="M143" s="3">
        <v>902111</v>
      </c>
      <c r="N143" s="3">
        <v>100918</v>
      </c>
      <c r="O143" s="3">
        <v>106011</v>
      </c>
      <c r="P143" s="3">
        <v>486314</v>
      </c>
      <c r="Q143" s="3">
        <v>7525757</v>
      </c>
      <c r="R143" s="3">
        <v>7492723</v>
      </c>
      <c r="S143" s="3">
        <v>7492723</v>
      </c>
      <c r="T143" s="3">
        <v>944483</v>
      </c>
      <c r="U143" s="3">
        <v>944483</v>
      </c>
      <c r="V143" s="3">
        <v>944483</v>
      </c>
      <c r="W143" s="3">
        <v>944483</v>
      </c>
      <c r="X143" s="3">
        <v>938978</v>
      </c>
      <c r="Y143" s="3">
        <v>938978</v>
      </c>
      <c r="Z143" s="4">
        <v>938978</v>
      </c>
      <c r="AA143" s="4">
        <v>938978</v>
      </c>
      <c r="AB143" s="4">
        <v>938978</v>
      </c>
      <c r="AC143" s="4">
        <v>938977</v>
      </c>
      <c r="AD143" s="4">
        <v>944483</v>
      </c>
      <c r="AE143" s="4">
        <v>1888966</v>
      </c>
      <c r="AF143" s="4">
        <v>2833449</v>
      </c>
      <c r="AG143" s="4">
        <v>3777932</v>
      </c>
      <c r="AH143" s="4">
        <v>4716910</v>
      </c>
      <c r="AI143" s="4">
        <v>5655888</v>
      </c>
      <c r="AJ143" s="4">
        <v>6594866</v>
      </c>
      <c r="AK143" s="4">
        <v>7533844</v>
      </c>
      <c r="AL143" s="4">
        <v>8472822</v>
      </c>
      <c r="AM143" s="4">
        <v>9411799</v>
      </c>
      <c r="AN143" s="153">
        <v>697923</v>
      </c>
    </row>
    <row r="144" spans="1:40" x14ac:dyDescent="0.2">
      <c r="A144" s="1">
        <v>2022</v>
      </c>
      <c r="B144" s="2" t="s">
        <v>165</v>
      </c>
      <c r="C144" s="2" t="s">
        <v>165</v>
      </c>
      <c r="D144" s="1" t="s">
        <v>515</v>
      </c>
      <c r="E144" s="3">
        <v>24103769</v>
      </c>
      <c r="F144" s="3">
        <v>1692</v>
      </c>
      <c r="G144" s="3">
        <v>82565</v>
      </c>
      <c r="H144" s="1">
        <v>0</v>
      </c>
      <c r="I144" s="3">
        <v>24102077</v>
      </c>
      <c r="J144" s="3">
        <v>24019512</v>
      </c>
      <c r="K144" s="3">
        <v>24019512</v>
      </c>
      <c r="L144" s="3">
        <v>366885</v>
      </c>
      <c r="M144" s="3">
        <v>2010565</v>
      </c>
      <c r="N144" s="3">
        <v>229722</v>
      </c>
      <c r="O144" s="3">
        <v>237578</v>
      </c>
      <c r="P144" s="3">
        <v>1213332</v>
      </c>
      <c r="Q144" s="3">
        <v>20043995</v>
      </c>
      <c r="R144" s="3">
        <v>19961430</v>
      </c>
      <c r="S144" s="3">
        <v>19961430</v>
      </c>
      <c r="T144" s="3">
        <v>2410208</v>
      </c>
      <c r="U144" s="3">
        <v>2410208</v>
      </c>
      <c r="V144" s="3">
        <v>2410208</v>
      </c>
      <c r="W144" s="3">
        <v>2410208</v>
      </c>
      <c r="X144" s="3">
        <v>2396447</v>
      </c>
      <c r="Y144" s="3">
        <v>2396447</v>
      </c>
      <c r="Z144" s="4">
        <v>2396447</v>
      </c>
      <c r="AA144" s="4">
        <v>2396447</v>
      </c>
      <c r="AB144" s="4">
        <v>2396447</v>
      </c>
      <c r="AC144" s="4">
        <v>2396445</v>
      </c>
      <c r="AD144" s="4">
        <v>2410208</v>
      </c>
      <c r="AE144" s="4">
        <v>4820416</v>
      </c>
      <c r="AF144" s="4">
        <v>7230624</v>
      </c>
      <c r="AG144" s="4">
        <v>9640832</v>
      </c>
      <c r="AH144" s="4">
        <v>12037279</v>
      </c>
      <c r="AI144" s="4">
        <v>14433726</v>
      </c>
      <c r="AJ144" s="4">
        <v>16830173</v>
      </c>
      <c r="AK144" s="4">
        <v>19226620</v>
      </c>
      <c r="AL144" s="4">
        <v>21623067</v>
      </c>
      <c r="AM144" s="4">
        <v>24019512</v>
      </c>
      <c r="AN144" s="153">
        <v>1606424</v>
      </c>
    </row>
    <row r="145" spans="1:40" x14ac:dyDescent="0.2">
      <c r="A145" s="1">
        <v>2022</v>
      </c>
      <c r="B145" s="2" t="s">
        <v>166</v>
      </c>
      <c r="C145" s="2" t="s">
        <v>166</v>
      </c>
      <c r="D145" s="1" t="s">
        <v>516</v>
      </c>
      <c r="E145" s="3">
        <v>5305482</v>
      </c>
      <c r="F145" s="3">
        <v>564</v>
      </c>
      <c r="G145" s="3">
        <v>19290</v>
      </c>
      <c r="H145" s="1">
        <v>0</v>
      </c>
      <c r="I145" s="3">
        <v>5304918</v>
      </c>
      <c r="J145" s="3">
        <v>5285628</v>
      </c>
      <c r="K145" s="3">
        <v>5285628</v>
      </c>
      <c r="L145" s="3">
        <v>125819</v>
      </c>
      <c r="M145" s="3">
        <v>522245</v>
      </c>
      <c r="N145" s="3">
        <v>55591</v>
      </c>
      <c r="O145" s="3">
        <v>48822</v>
      </c>
      <c r="P145" s="3">
        <v>289143</v>
      </c>
      <c r="Q145" s="3">
        <v>4263298</v>
      </c>
      <c r="R145" s="3">
        <v>4244008</v>
      </c>
      <c r="S145" s="3">
        <v>4244008</v>
      </c>
      <c r="T145" s="3">
        <v>530492</v>
      </c>
      <c r="U145" s="3">
        <v>530492</v>
      </c>
      <c r="V145" s="3">
        <v>530492</v>
      </c>
      <c r="W145" s="3">
        <v>530492</v>
      </c>
      <c r="X145" s="3">
        <v>527277</v>
      </c>
      <c r="Y145" s="3">
        <v>527277</v>
      </c>
      <c r="Z145" s="4">
        <v>527277</v>
      </c>
      <c r="AA145" s="4">
        <v>527277</v>
      </c>
      <c r="AB145" s="4">
        <v>527277</v>
      </c>
      <c r="AC145" s="4">
        <v>527275</v>
      </c>
      <c r="AD145" s="4">
        <v>530492</v>
      </c>
      <c r="AE145" s="4">
        <v>1060984</v>
      </c>
      <c r="AF145" s="4">
        <v>1591476</v>
      </c>
      <c r="AG145" s="4">
        <v>2121968</v>
      </c>
      <c r="AH145" s="4">
        <v>2649245</v>
      </c>
      <c r="AI145" s="4">
        <v>3176522</v>
      </c>
      <c r="AJ145" s="4">
        <v>3703799</v>
      </c>
      <c r="AK145" s="4">
        <v>4231076</v>
      </c>
      <c r="AL145" s="4">
        <v>4758353</v>
      </c>
      <c r="AM145" s="4">
        <v>5285628</v>
      </c>
      <c r="AN145" s="153">
        <v>373286</v>
      </c>
    </row>
    <row r="146" spans="1:40" x14ac:dyDescent="0.2">
      <c r="A146" s="1">
        <v>2022</v>
      </c>
      <c r="B146" s="2" t="s">
        <v>167</v>
      </c>
      <c r="C146" s="2" t="s">
        <v>167</v>
      </c>
      <c r="D146" s="1" t="s">
        <v>517</v>
      </c>
      <c r="E146" s="3">
        <v>80438496</v>
      </c>
      <c r="F146" s="3">
        <v>6850</v>
      </c>
      <c r="G146" s="3">
        <v>339290</v>
      </c>
      <c r="H146" s="1">
        <v>0</v>
      </c>
      <c r="I146" s="3">
        <v>80431646</v>
      </c>
      <c r="J146" s="3">
        <v>80092356</v>
      </c>
      <c r="K146" s="3">
        <v>80092356</v>
      </c>
      <c r="L146" s="3">
        <v>1482002</v>
      </c>
      <c r="M146" s="3">
        <v>8540427</v>
      </c>
      <c r="N146" s="3">
        <v>1080427</v>
      </c>
      <c r="O146" s="3">
        <v>1049574</v>
      </c>
      <c r="P146" s="3">
        <v>4986046</v>
      </c>
      <c r="Q146" s="3">
        <v>63293170</v>
      </c>
      <c r="R146" s="3">
        <v>62953880</v>
      </c>
      <c r="S146" s="3">
        <v>62953880</v>
      </c>
      <c r="T146" s="3">
        <v>8043165</v>
      </c>
      <c r="U146" s="3">
        <v>8043165</v>
      </c>
      <c r="V146" s="3">
        <v>8043165</v>
      </c>
      <c r="W146" s="3">
        <v>8043165</v>
      </c>
      <c r="X146" s="3">
        <v>7986616</v>
      </c>
      <c r="Y146" s="3">
        <v>7986616</v>
      </c>
      <c r="Z146" s="4">
        <v>7986616</v>
      </c>
      <c r="AA146" s="4">
        <v>7986616</v>
      </c>
      <c r="AB146" s="4">
        <v>7986616</v>
      </c>
      <c r="AC146" s="4">
        <v>7986616</v>
      </c>
      <c r="AD146" s="4">
        <v>8043165</v>
      </c>
      <c r="AE146" s="4">
        <v>16086330</v>
      </c>
      <c r="AF146" s="4">
        <v>24129495</v>
      </c>
      <c r="AG146" s="4">
        <v>32172660</v>
      </c>
      <c r="AH146" s="4">
        <v>40159276</v>
      </c>
      <c r="AI146" s="4">
        <v>48145892</v>
      </c>
      <c r="AJ146" s="4">
        <v>56132508</v>
      </c>
      <c r="AK146" s="4">
        <v>64119124</v>
      </c>
      <c r="AL146" s="4">
        <v>72105740</v>
      </c>
      <c r="AM146" s="4">
        <v>80092356</v>
      </c>
      <c r="AN146" s="153">
        <v>6897343</v>
      </c>
    </row>
    <row r="147" spans="1:40" x14ac:dyDescent="0.2">
      <c r="A147" s="1">
        <v>2022</v>
      </c>
      <c r="B147" s="2" t="s">
        <v>168</v>
      </c>
      <c r="C147" s="2" t="s">
        <v>168</v>
      </c>
      <c r="D147" s="1" t="s">
        <v>518</v>
      </c>
      <c r="E147" s="3">
        <v>6829704</v>
      </c>
      <c r="F147" s="3">
        <v>813</v>
      </c>
      <c r="G147" s="3">
        <v>24587</v>
      </c>
      <c r="H147" s="1">
        <v>0</v>
      </c>
      <c r="I147" s="3">
        <v>6828891</v>
      </c>
      <c r="J147" s="3">
        <v>6804304</v>
      </c>
      <c r="K147" s="3">
        <v>6804304</v>
      </c>
      <c r="L147" s="3">
        <v>176249</v>
      </c>
      <c r="M147" s="3">
        <v>651916</v>
      </c>
      <c r="N147" s="3">
        <v>81680</v>
      </c>
      <c r="O147" s="3">
        <v>75676</v>
      </c>
      <c r="P147" s="3">
        <v>361322</v>
      </c>
      <c r="Q147" s="3">
        <v>5482048</v>
      </c>
      <c r="R147" s="3">
        <v>5457461</v>
      </c>
      <c r="S147" s="3">
        <v>5457461</v>
      </c>
      <c r="T147" s="3">
        <v>682889</v>
      </c>
      <c r="U147" s="3">
        <v>682889</v>
      </c>
      <c r="V147" s="3">
        <v>682889</v>
      </c>
      <c r="W147" s="3">
        <v>682889</v>
      </c>
      <c r="X147" s="3">
        <v>678791</v>
      </c>
      <c r="Y147" s="3">
        <v>678791</v>
      </c>
      <c r="Z147" s="4">
        <v>678792</v>
      </c>
      <c r="AA147" s="4">
        <v>678792</v>
      </c>
      <c r="AB147" s="4">
        <v>678792</v>
      </c>
      <c r="AC147" s="4">
        <v>678790</v>
      </c>
      <c r="AD147" s="4">
        <v>682889</v>
      </c>
      <c r="AE147" s="4">
        <v>1365778</v>
      </c>
      <c r="AF147" s="4">
        <v>2048667</v>
      </c>
      <c r="AG147" s="4">
        <v>2731556</v>
      </c>
      <c r="AH147" s="4">
        <v>3410347</v>
      </c>
      <c r="AI147" s="4">
        <v>4089138</v>
      </c>
      <c r="AJ147" s="4">
        <v>4767930</v>
      </c>
      <c r="AK147" s="4">
        <v>5446722</v>
      </c>
      <c r="AL147" s="4">
        <v>6125514</v>
      </c>
      <c r="AM147" s="4">
        <v>6804304</v>
      </c>
      <c r="AN147" s="153">
        <v>500579</v>
      </c>
    </row>
    <row r="148" spans="1:40" x14ac:dyDescent="0.2">
      <c r="A148" s="1">
        <v>2022</v>
      </c>
      <c r="B148" s="2" t="s">
        <v>169</v>
      </c>
      <c r="C148" s="2" t="s">
        <v>169</v>
      </c>
      <c r="D148" s="1" t="s">
        <v>519</v>
      </c>
      <c r="E148" s="3">
        <v>3509433</v>
      </c>
      <c r="F148" s="1">
        <v>464</v>
      </c>
      <c r="G148" s="3">
        <v>12338</v>
      </c>
      <c r="H148" s="1">
        <v>0</v>
      </c>
      <c r="I148" s="3">
        <v>3508969</v>
      </c>
      <c r="J148" s="3">
        <v>3496631</v>
      </c>
      <c r="K148" s="3">
        <v>3496631</v>
      </c>
      <c r="L148" s="3">
        <v>100714</v>
      </c>
      <c r="M148" s="3">
        <v>308019</v>
      </c>
      <c r="N148" s="3">
        <v>30930</v>
      </c>
      <c r="O148" s="3">
        <v>35864</v>
      </c>
      <c r="P148" s="3">
        <v>181524</v>
      </c>
      <c r="Q148" s="3">
        <v>2851918</v>
      </c>
      <c r="R148" s="3">
        <v>2839580</v>
      </c>
      <c r="S148" s="3">
        <v>2839580</v>
      </c>
      <c r="T148" s="3">
        <v>350897</v>
      </c>
      <c r="U148" s="3">
        <v>350897</v>
      </c>
      <c r="V148" s="3">
        <v>350897</v>
      </c>
      <c r="W148" s="3">
        <v>350897</v>
      </c>
      <c r="X148" s="3">
        <v>348841</v>
      </c>
      <c r="Y148" s="3">
        <v>348841</v>
      </c>
      <c r="Z148" s="4">
        <v>348840</v>
      </c>
      <c r="AA148" s="4">
        <v>348840</v>
      </c>
      <c r="AB148" s="4">
        <v>348840</v>
      </c>
      <c r="AC148" s="4">
        <v>348841</v>
      </c>
      <c r="AD148" s="4">
        <v>350897</v>
      </c>
      <c r="AE148" s="4">
        <v>701794</v>
      </c>
      <c r="AF148" s="4">
        <v>1052691</v>
      </c>
      <c r="AG148" s="4">
        <v>1403588</v>
      </c>
      <c r="AH148" s="4">
        <v>1752429</v>
      </c>
      <c r="AI148" s="4">
        <v>2101270</v>
      </c>
      <c r="AJ148" s="4">
        <v>2450110</v>
      </c>
      <c r="AK148" s="4">
        <v>2798950</v>
      </c>
      <c r="AL148" s="4">
        <v>3147790</v>
      </c>
      <c r="AM148" s="4">
        <v>3496631</v>
      </c>
      <c r="AN148" s="153">
        <v>240132</v>
      </c>
    </row>
    <row r="149" spans="1:40" x14ac:dyDescent="0.2">
      <c r="A149" s="1">
        <v>2022</v>
      </c>
      <c r="B149" s="2" t="s">
        <v>170</v>
      </c>
      <c r="C149" s="2" t="s">
        <v>170</v>
      </c>
      <c r="D149" s="1" t="s">
        <v>520</v>
      </c>
      <c r="E149" s="3">
        <v>3714391</v>
      </c>
      <c r="F149" s="3">
        <v>580</v>
      </c>
      <c r="G149" s="3">
        <v>16103</v>
      </c>
      <c r="H149" s="1">
        <v>0</v>
      </c>
      <c r="I149" s="3">
        <v>3713811</v>
      </c>
      <c r="J149" s="3">
        <v>3697708</v>
      </c>
      <c r="K149" s="3">
        <v>3697708</v>
      </c>
      <c r="L149" s="3">
        <v>125893</v>
      </c>
      <c r="M149" s="3">
        <v>455251</v>
      </c>
      <c r="N149" s="3">
        <v>47514</v>
      </c>
      <c r="O149" s="3">
        <v>52097</v>
      </c>
      <c r="P149" s="3">
        <v>236635</v>
      </c>
      <c r="Q149" s="3">
        <v>2796421</v>
      </c>
      <c r="R149" s="3">
        <v>2780318</v>
      </c>
      <c r="S149" s="3">
        <v>2780318</v>
      </c>
      <c r="T149" s="3">
        <v>371381</v>
      </c>
      <c r="U149" s="3">
        <v>371381</v>
      </c>
      <c r="V149" s="3">
        <v>371381</v>
      </c>
      <c r="W149" s="3">
        <v>371381</v>
      </c>
      <c r="X149" s="3">
        <v>368697</v>
      </c>
      <c r="Y149" s="3">
        <v>368697</v>
      </c>
      <c r="Z149" s="4">
        <v>368698</v>
      </c>
      <c r="AA149" s="4">
        <v>368698</v>
      </c>
      <c r="AB149" s="4">
        <v>368698</v>
      </c>
      <c r="AC149" s="4">
        <v>368696</v>
      </c>
      <c r="AD149" s="4">
        <v>371381</v>
      </c>
      <c r="AE149" s="4">
        <v>742762</v>
      </c>
      <c r="AF149" s="4">
        <v>1114143</v>
      </c>
      <c r="AG149" s="4">
        <v>1485524</v>
      </c>
      <c r="AH149" s="4">
        <v>1854221</v>
      </c>
      <c r="AI149" s="4">
        <v>2222918</v>
      </c>
      <c r="AJ149" s="4">
        <v>2591616</v>
      </c>
      <c r="AK149" s="4">
        <v>2960314</v>
      </c>
      <c r="AL149" s="4">
        <v>3329012</v>
      </c>
      <c r="AM149" s="4">
        <v>3697708</v>
      </c>
      <c r="AN149" s="153">
        <v>314392</v>
      </c>
    </row>
    <row r="150" spans="1:40" x14ac:dyDescent="0.2">
      <c r="A150" s="1">
        <v>2022</v>
      </c>
      <c r="B150" s="2" t="s">
        <v>171</v>
      </c>
      <c r="C150" s="2" t="s">
        <v>171</v>
      </c>
      <c r="D150" s="1" t="s">
        <v>521</v>
      </c>
      <c r="E150" s="3">
        <v>2904165</v>
      </c>
      <c r="F150" s="1">
        <v>498</v>
      </c>
      <c r="G150" s="3">
        <v>10499</v>
      </c>
      <c r="H150" s="1">
        <v>0</v>
      </c>
      <c r="I150" s="3">
        <v>2903667</v>
      </c>
      <c r="J150" s="3">
        <v>2893168</v>
      </c>
      <c r="K150" s="3">
        <v>2893168</v>
      </c>
      <c r="L150" s="3">
        <v>107907</v>
      </c>
      <c r="M150" s="3">
        <v>269545</v>
      </c>
      <c r="N150" s="3">
        <v>23563</v>
      </c>
      <c r="O150" s="3">
        <v>26162</v>
      </c>
      <c r="P150" s="3">
        <v>154289</v>
      </c>
      <c r="Q150" s="3">
        <v>2322201</v>
      </c>
      <c r="R150" s="3">
        <v>2311702</v>
      </c>
      <c r="S150" s="3">
        <v>2311702</v>
      </c>
      <c r="T150" s="3">
        <v>290367</v>
      </c>
      <c r="U150" s="3">
        <v>290367</v>
      </c>
      <c r="V150" s="3">
        <v>290367</v>
      </c>
      <c r="W150" s="3">
        <v>290367</v>
      </c>
      <c r="X150" s="3">
        <v>288617</v>
      </c>
      <c r="Y150" s="3">
        <v>288617</v>
      </c>
      <c r="Z150" s="4">
        <v>288617</v>
      </c>
      <c r="AA150" s="4">
        <v>288617</v>
      </c>
      <c r="AB150" s="4">
        <v>288617</v>
      </c>
      <c r="AC150" s="4">
        <v>288615</v>
      </c>
      <c r="AD150" s="4">
        <v>290367</v>
      </c>
      <c r="AE150" s="4">
        <v>580734</v>
      </c>
      <c r="AF150" s="4">
        <v>871101</v>
      </c>
      <c r="AG150" s="4">
        <v>1161468</v>
      </c>
      <c r="AH150" s="4">
        <v>1450085</v>
      </c>
      <c r="AI150" s="4">
        <v>1738702</v>
      </c>
      <c r="AJ150" s="4">
        <v>2027319</v>
      </c>
      <c r="AK150" s="4">
        <v>2315936</v>
      </c>
      <c r="AL150" s="4">
        <v>2604553</v>
      </c>
      <c r="AM150" s="4">
        <v>2893168</v>
      </c>
      <c r="AN150" s="153">
        <v>221488</v>
      </c>
    </row>
    <row r="151" spans="1:40" x14ac:dyDescent="0.2">
      <c r="A151" s="1">
        <v>2022</v>
      </c>
      <c r="B151" s="2" t="s">
        <v>172</v>
      </c>
      <c r="C151" s="2" t="s">
        <v>172</v>
      </c>
      <c r="D151" s="1" t="s">
        <v>522</v>
      </c>
      <c r="E151" s="3">
        <v>7092119</v>
      </c>
      <c r="F151" s="3">
        <v>1310</v>
      </c>
      <c r="G151" s="3">
        <v>27545</v>
      </c>
      <c r="H151" s="1">
        <v>0</v>
      </c>
      <c r="I151" s="3">
        <v>7090809</v>
      </c>
      <c r="J151" s="3">
        <v>7063264</v>
      </c>
      <c r="K151" s="3">
        <v>7063264</v>
      </c>
      <c r="L151" s="3">
        <v>284157</v>
      </c>
      <c r="M151" s="3">
        <v>738150</v>
      </c>
      <c r="N151" s="3">
        <v>90942</v>
      </c>
      <c r="O151" s="3">
        <v>83948</v>
      </c>
      <c r="P151" s="3">
        <v>408932</v>
      </c>
      <c r="Q151" s="3">
        <v>5484680</v>
      </c>
      <c r="R151" s="3">
        <v>5457135</v>
      </c>
      <c r="S151" s="3">
        <v>5457135</v>
      </c>
      <c r="T151" s="3">
        <v>709081</v>
      </c>
      <c r="U151" s="3">
        <v>709081</v>
      </c>
      <c r="V151" s="3">
        <v>709081</v>
      </c>
      <c r="W151" s="3">
        <v>709081</v>
      </c>
      <c r="X151" s="3">
        <v>704490</v>
      </c>
      <c r="Y151" s="3">
        <v>704490</v>
      </c>
      <c r="Z151" s="4">
        <v>704490</v>
      </c>
      <c r="AA151" s="4">
        <v>704490</v>
      </c>
      <c r="AB151" s="4">
        <v>704490</v>
      </c>
      <c r="AC151" s="4">
        <v>704490</v>
      </c>
      <c r="AD151" s="4">
        <v>709081</v>
      </c>
      <c r="AE151" s="4">
        <v>1418162</v>
      </c>
      <c r="AF151" s="4">
        <v>2127243</v>
      </c>
      <c r="AG151" s="4">
        <v>2836324</v>
      </c>
      <c r="AH151" s="4">
        <v>3540814</v>
      </c>
      <c r="AI151" s="4">
        <v>4245304</v>
      </c>
      <c r="AJ151" s="4">
        <v>4949794</v>
      </c>
      <c r="AK151" s="4">
        <v>5654284</v>
      </c>
      <c r="AL151" s="4">
        <v>6358774</v>
      </c>
      <c r="AM151" s="4">
        <v>7063264</v>
      </c>
      <c r="AN151" s="153">
        <v>556769</v>
      </c>
    </row>
    <row r="152" spans="1:40" x14ac:dyDescent="0.2">
      <c r="A152" s="1">
        <v>2022</v>
      </c>
      <c r="B152" s="2" t="s">
        <v>173</v>
      </c>
      <c r="C152" s="2" t="s">
        <v>173</v>
      </c>
      <c r="D152" s="1" t="s">
        <v>523</v>
      </c>
      <c r="E152" s="3">
        <v>5664149</v>
      </c>
      <c r="F152" s="3">
        <v>0</v>
      </c>
      <c r="G152" s="3">
        <v>21326</v>
      </c>
      <c r="H152" s="1">
        <v>0</v>
      </c>
      <c r="I152" s="3">
        <v>5664149</v>
      </c>
      <c r="J152" s="3">
        <v>5642823</v>
      </c>
      <c r="K152" s="3">
        <v>5642823</v>
      </c>
      <c r="L152" s="3">
        <v>0</v>
      </c>
      <c r="M152" s="3">
        <v>509232</v>
      </c>
      <c r="N152" s="3">
        <v>67102</v>
      </c>
      <c r="O152" s="3">
        <v>55394</v>
      </c>
      <c r="P152" s="3">
        <v>313395</v>
      </c>
      <c r="Q152" s="3">
        <v>4719026</v>
      </c>
      <c r="R152" s="3">
        <v>4697700</v>
      </c>
      <c r="S152" s="3">
        <v>4697700</v>
      </c>
      <c r="T152" s="3">
        <v>566415</v>
      </c>
      <c r="U152" s="3">
        <v>566415</v>
      </c>
      <c r="V152" s="3">
        <v>566415</v>
      </c>
      <c r="W152" s="3">
        <v>566415</v>
      </c>
      <c r="X152" s="3">
        <v>562861</v>
      </c>
      <c r="Y152" s="3">
        <v>562861</v>
      </c>
      <c r="Z152" s="4">
        <v>562860</v>
      </c>
      <c r="AA152" s="4">
        <v>562860</v>
      </c>
      <c r="AB152" s="4">
        <v>562860</v>
      </c>
      <c r="AC152" s="4">
        <v>562861</v>
      </c>
      <c r="AD152" s="4">
        <v>566415</v>
      </c>
      <c r="AE152" s="4">
        <v>1132830</v>
      </c>
      <c r="AF152" s="4">
        <v>1699245</v>
      </c>
      <c r="AG152" s="4">
        <v>2265660</v>
      </c>
      <c r="AH152" s="4">
        <v>2828521</v>
      </c>
      <c r="AI152" s="4">
        <v>3391382</v>
      </c>
      <c r="AJ152" s="4">
        <v>3954242</v>
      </c>
      <c r="AK152" s="4">
        <v>4517102</v>
      </c>
      <c r="AL152" s="4">
        <v>5079962</v>
      </c>
      <c r="AM152" s="4">
        <v>5642823</v>
      </c>
      <c r="AN152" s="153">
        <v>449165</v>
      </c>
    </row>
    <row r="153" spans="1:40" x14ac:dyDescent="0.2">
      <c r="A153" s="1">
        <v>2022</v>
      </c>
      <c r="B153" s="2" t="s">
        <v>174</v>
      </c>
      <c r="C153" s="2" t="s">
        <v>174</v>
      </c>
      <c r="D153" s="1" t="s">
        <v>524</v>
      </c>
      <c r="E153" s="3">
        <v>44226739</v>
      </c>
      <c r="F153" s="3">
        <v>4478</v>
      </c>
      <c r="G153" s="3">
        <v>166374</v>
      </c>
      <c r="H153" s="1">
        <v>0</v>
      </c>
      <c r="I153" s="3">
        <v>44222261</v>
      </c>
      <c r="J153" s="3">
        <v>44055887</v>
      </c>
      <c r="K153" s="3">
        <v>44055887</v>
      </c>
      <c r="L153" s="3">
        <v>971167</v>
      </c>
      <c r="M153" s="3">
        <v>4066288</v>
      </c>
      <c r="N153" s="3">
        <v>446448</v>
      </c>
      <c r="O153" s="3">
        <v>451841</v>
      </c>
      <c r="P153" s="3">
        <v>2444956</v>
      </c>
      <c r="Q153" s="3">
        <v>35841561</v>
      </c>
      <c r="R153" s="3">
        <v>35675187</v>
      </c>
      <c r="S153" s="3">
        <v>35675187</v>
      </c>
      <c r="T153" s="3">
        <v>4422226</v>
      </c>
      <c r="U153" s="3">
        <v>4422226</v>
      </c>
      <c r="V153" s="3">
        <v>4422226</v>
      </c>
      <c r="W153" s="3">
        <v>4422226</v>
      </c>
      <c r="X153" s="3">
        <v>4394497</v>
      </c>
      <c r="Y153" s="3">
        <v>4394497</v>
      </c>
      <c r="Z153" s="4">
        <v>4394497</v>
      </c>
      <c r="AA153" s="4">
        <v>4394497</v>
      </c>
      <c r="AB153" s="4">
        <v>4394497</v>
      </c>
      <c r="AC153" s="4">
        <v>4394498</v>
      </c>
      <c r="AD153" s="4">
        <v>4422226</v>
      </c>
      <c r="AE153" s="4">
        <v>8844452</v>
      </c>
      <c r="AF153" s="4">
        <v>13266678</v>
      </c>
      <c r="AG153" s="4">
        <v>17688904</v>
      </c>
      <c r="AH153" s="4">
        <v>22083401</v>
      </c>
      <c r="AI153" s="4">
        <v>26477898</v>
      </c>
      <c r="AJ153" s="4">
        <v>30872395</v>
      </c>
      <c r="AK153" s="4">
        <v>35266892</v>
      </c>
      <c r="AL153" s="4">
        <v>39661389</v>
      </c>
      <c r="AM153" s="4">
        <v>44055887</v>
      </c>
      <c r="AN153" s="153">
        <v>3357295</v>
      </c>
    </row>
    <row r="154" spans="1:40" x14ac:dyDescent="0.2">
      <c r="A154" s="1">
        <v>2022</v>
      </c>
      <c r="B154" s="2" t="s">
        <v>175</v>
      </c>
      <c r="C154" s="2" t="s">
        <v>175</v>
      </c>
      <c r="D154" s="1" t="s">
        <v>525</v>
      </c>
      <c r="E154" s="3">
        <v>15233183</v>
      </c>
      <c r="F154" s="3">
        <v>1410</v>
      </c>
      <c r="G154" s="3">
        <v>45198</v>
      </c>
      <c r="H154" s="3">
        <v>19134</v>
      </c>
      <c r="I154" s="3">
        <v>15231773</v>
      </c>
      <c r="J154" s="3">
        <v>15186575</v>
      </c>
      <c r="K154" s="3">
        <v>15167441</v>
      </c>
      <c r="L154" s="3">
        <v>302214</v>
      </c>
      <c r="M154" s="3">
        <v>1160137</v>
      </c>
      <c r="N154" s="3">
        <v>148475</v>
      </c>
      <c r="O154" s="3">
        <v>137496</v>
      </c>
      <c r="P154" s="3">
        <v>664210</v>
      </c>
      <c r="Q154" s="3">
        <v>12819241</v>
      </c>
      <c r="R154" s="3">
        <v>12774043</v>
      </c>
      <c r="S154" s="3">
        <v>12754909</v>
      </c>
      <c r="T154" s="3">
        <v>1523177</v>
      </c>
      <c r="U154" s="3">
        <v>1523177</v>
      </c>
      <c r="V154" s="3">
        <v>1523177</v>
      </c>
      <c r="W154" s="3">
        <v>1523177</v>
      </c>
      <c r="X154" s="3">
        <v>1515645</v>
      </c>
      <c r="Y154" s="3">
        <v>1515645</v>
      </c>
      <c r="Z154" s="4">
        <v>1510861</v>
      </c>
      <c r="AA154" s="4">
        <v>1510861</v>
      </c>
      <c r="AB154" s="4">
        <v>1510861</v>
      </c>
      <c r="AC154" s="4">
        <v>1510860</v>
      </c>
      <c r="AD154" s="4">
        <v>1523177</v>
      </c>
      <c r="AE154" s="4">
        <v>3046354</v>
      </c>
      <c r="AF154" s="4">
        <v>4569531</v>
      </c>
      <c r="AG154" s="4">
        <v>6092708</v>
      </c>
      <c r="AH154" s="4">
        <v>7608353</v>
      </c>
      <c r="AI154" s="4">
        <v>9123998</v>
      </c>
      <c r="AJ154" s="4">
        <v>10634859</v>
      </c>
      <c r="AK154" s="4">
        <v>12145720</v>
      </c>
      <c r="AL154" s="4">
        <v>13656581</v>
      </c>
      <c r="AM154" s="4">
        <v>15167441</v>
      </c>
      <c r="AN154" s="153">
        <v>928711</v>
      </c>
    </row>
    <row r="155" spans="1:40" x14ac:dyDescent="0.2">
      <c r="A155" s="1">
        <v>2022</v>
      </c>
      <c r="B155" s="2" t="s">
        <v>176</v>
      </c>
      <c r="C155" s="2" t="s">
        <v>176</v>
      </c>
      <c r="D155" s="1" t="s">
        <v>526</v>
      </c>
      <c r="E155" s="3">
        <v>1987258</v>
      </c>
      <c r="F155" s="3">
        <v>199</v>
      </c>
      <c r="G155" s="3">
        <v>8323</v>
      </c>
      <c r="H155" s="1">
        <v>0</v>
      </c>
      <c r="I155" s="3">
        <v>1987059</v>
      </c>
      <c r="J155" s="3">
        <v>1978736</v>
      </c>
      <c r="K155" s="3">
        <v>1978736</v>
      </c>
      <c r="L155" s="3">
        <v>43163</v>
      </c>
      <c r="M155" s="3">
        <v>232126</v>
      </c>
      <c r="N155" s="3">
        <v>22748</v>
      </c>
      <c r="O155" s="3">
        <v>24433</v>
      </c>
      <c r="P155" s="3">
        <v>122314</v>
      </c>
      <c r="Q155" s="3">
        <v>1542275</v>
      </c>
      <c r="R155" s="3">
        <v>1533952</v>
      </c>
      <c r="S155" s="3">
        <v>1533952</v>
      </c>
      <c r="T155" s="3">
        <v>198706</v>
      </c>
      <c r="U155" s="3">
        <v>198706</v>
      </c>
      <c r="V155" s="3">
        <v>198706</v>
      </c>
      <c r="W155" s="3">
        <v>198706</v>
      </c>
      <c r="X155" s="3">
        <v>197319</v>
      </c>
      <c r="Y155" s="3">
        <v>197319</v>
      </c>
      <c r="Z155" s="4">
        <v>197319</v>
      </c>
      <c r="AA155" s="4">
        <v>197319</v>
      </c>
      <c r="AB155" s="4">
        <v>197319</v>
      </c>
      <c r="AC155" s="4">
        <v>197317</v>
      </c>
      <c r="AD155" s="4">
        <v>198706</v>
      </c>
      <c r="AE155" s="4">
        <v>397412</v>
      </c>
      <c r="AF155" s="4">
        <v>596118</v>
      </c>
      <c r="AG155" s="4">
        <v>794824</v>
      </c>
      <c r="AH155" s="4">
        <v>992143</v>
      </c>
      <c r="AI155" s="4">
        <v>1189462</v>
      </c>
      <c r="AJ155" s="4">
        <v>1386781</v>
      </c>
      <c r="AK155" s="4">
        <v>1584100</v>
      </c>
      <c r="AL155" s="4">
        <v>1781419</v>
      </c>
      <c r="AM155" s="4">
        <v>1978736</v>
      </c>
      <c r="AN155" s="153">
        <v>163517</v>
      </c>
    </row>
    <row r="156" spans="1:40" x14ac:dyDescent="0.2">
      <c r="A156" s="1">
        <v>2022</v>
      </c>
      <c r="B156" s="2" t="s">
        <v>177</v>
      </c>
      <c r="C156" s="2" t="s">
        <v>177</v>
      </c>
      <c r="D156" s="1" t="s">
        <v>527</v>
      </c>
      <c r="E156" s="3">
        <v>2804388</v>
      </c>
      <c r="F156" s="3">
        <v>0</v>
      </c>
      <c r="G156" s="3">
        <v>11086</v>
      </c>
      <c r="H156" s="1">
        <v>0</v>
      </c>
      <c r="I156" s="3">
        <v>2804388</v>
      </c>
      <c r="J156" s="3">
        <v>2793302</v>
      </c>
      <c r="K156" s="3">
        <v>2793302</v>
      </c>
      <c r="L156" s="3">
        <v>0</v>
      </c>
      <c r="M156" s="3">
        <v>307845</v>
      </c>
      <c r="N156" s="3">
        <v>38853</v>
      </c>
      <c r="O156" s="3">
        <v>35633</v>
      </c>
      <c r="P156" s="3">
        <v>162911</v>
      </c>
      <c r="Q156" s="3">
        <v>2259146</v>
      </c>
      <c r="R156" s="3">
        <v>2248060</v>
      </c>
      <c r="S156" s="3">
        <v>2248060</v>
      </c>
      <c r="T156" s="3">
        <v>280439</v>
      </c>
      <c r="U156" s="3">
        <v>280439</v>
      </c>
      <c r="V156" s="3">
        <v>280439</v>
      </c>
      <c r="W156" s="3">
        <v>280439</v>
      </c>
      <c r="X156" s="3">
        <v>278591</v>
      </c>
      <c r="Y156" s="3">
        <v>278591</v>
      </c>
      <c r="Z156" s="4">
        <v>278591</v>
      </c>
      <c r="AA156" s="4">
        <v>278591</v>
      </c>
      <c r="AB156" s="4">
        <v>278591</v>
      </c>
      <c r="AC156" s="4">
        <v>278591</v>
      </c>
      <c r="AD156" s="4">
        <v>280439</v>
      </c>
      <c r="AE156" s="4">
        <v>560878</v>
      </c>
      <c r="AF156" s="4">
        <v>841317</v>
      </c>
      <c r="AG156" s="4">
        <v>1121756</v>
      </c>
      <c r="AH156" s="4">
        <v>1400347</v>
      </c>
      <c r="AI156" s="4">
        <v>1678938</v>
      </c>
      <c r="AJ156" s="4">
        <v>1957529</v>
      </c>
      <c r="AK156" s="4">
        <v>2236120</v>
      </c>
      <c r="AL156" s="4">
        <v>2514711</v>
      </c>
      <c r="AM156" s="4">
        <v>2793302</v>
      </c>
      <c r="AN156" s="153">
        <v>223199</v>
      </c>
    </row>
    <row r="157" spans="1:40" x14ac:dyDescent="0.2">
      <c r="A157" s="1">
        <v>2022</v>
      </c>
      <c r="B157" s="2" t="s">
        <v>178</v>
      </c>
      <c r="C157" s="2" t="s">
        <v>178</v>
      </c>
      <c r="D157" s="1" t="s">
        <v>528</v>
      </c>
      <c r="E157" s="3">
        <v>12850171</v>
      </c>
      <c r="F157" s="3">
        <v>1426</v>
      </c>
      <c r="G157" s="3">
        <v>41630</v>
      </c>
      <c r="H157" s="1">
        <v>0</v>
      </c>
      <c r="I157" s="3">
        <v>12848745</v>
      </c>
      <c r="J157" s="3">
        <v>12807115</v>
      </c>
      <c r="K157" s="3">
        <v>12807115</v>
      </c>
      <c r="L157" s="3">
        <v>309335</v>
      </c>
      <c r="M157" s="3">
        <v>1092255</v>
      </c>
      <c r="N157" s="3">
        <v>129587</v>
      </c>
      <c r="O157" s="3">
        <v>117284</v>
      </c>
      <c r="P157" s="3">
        <v>611780</v>
      </c>
      <c r="Q157" s="3">
        <v>10588504</v>
      </c>
      <c r="R157" s="3">
        <v>10546874</v>
      </c>
      <c r="S157" s="3">
        <v>10546874</v>
      </c>
      <c r="T157" s="3">
        <v>1284875</v>
      </c>
      <c r="U157" s="3">
        <v>1284875</v>
      </c>
      <c r="V157" s="3">
        <v>1284875</v>
      </c>
      <c r="W157" s="3">
        <v>1284875</v>
      </c>
      <c r="X157" s="3">
        <v>1277936</v>
      </c>
      <c r="Y157" s="3">
        <v>1277936</v>
      </c>
      <c r="Z157" s="4">
        <v>1277936</v>
      </c>
      <c r="AA157" s="4">
        <v>1277936</v>
      </c>
      <c r="AB157" s="4">
        <v>1277936</v>
      </c>
      <c r="AC157" s="4">
        <v>1277935</v>
      </c>
      <c r="AD157" s="4">
        <v>1284875</v>
      </c>
      <c r="AE157" s="4">
        <v>2569750</v>
      </c>
      <c r="AF157" s="4">
        <v>3854625</v>
      </c>
      <c r="AG157" s="4">
        <v>5139500</v>
      </c>
      <c r="AH157" s="4">
        <v>6417436</v>
      </c>
      <c r="AI157" s="4">
        <v>7695372</v>
      </c>
      <c r="AJ157" s="4">
        <v>8973308</v>
      </c>
      <c r="AK157" s="4">
        <v>10251244</v>
      </c>
      <c r="AL157" s="4">
        <v>11529180</v>
      </c>
      <c r="AM157" s="4">
        <v>12807115</v>
      </c>
      <c r="AN157" s="153">
        <v>804951</v>
      </c>
    </row>
    <row r="158" spans="1:40" x14ac:dyDescent="0.2">
      <c r="A158" s="1">
        <v>2022</v>
      </c>
      <c r="B158" s="2" t="s">
        <v>179</v>
      </c>
      <c r="C158" s="2" t="s">
        <v>179</v>
      </c>
      <c r="D158" s="1" t="s">
        <v>529</v>
      </c>
      <c r="E158" s="3">
        <v>3332548</v>
      </c>
      <c r="F158" s="3">
        <v>647</v>
      </c>
      <c r="G158" s="3">
        <v>13722</v>
      </c>
      <c r="H158" s="1">
        <v>0</v>
      </c>
      <c r="I158" s="3">
        <v>3331901</v>
      </c>
      <c r="J158" s="3">
        <v>3318179</v>
      </c>
      <c r="K158" s="3">
        <v>3318179</v>
      </c>
      <c r="L158" s="3">
        <v>140280</v>
      </c>
      <c r="M158" s="3">
        <v>379208</v>
      </c>
      <c r="N158" s="3">
        <v>44772</v>
      </c>
      <c r="O158" s="3">
        <v>39203</v>
      </c>
      <c r="P158" s="3">
        <v>201658</v>
      </c>
      <c r="Q158" s="3">
        <v>2526780</v>
      </c>
      <c r="R158" s="3">
        <v>2513058</v>
      </c>
      <c r="S158" s="3">
        <v>2513058</v>
      </c>
      <c r="T158" s="3">
        <v>333190</v>
      </c>
      <c r="U158" s="3">
        <v>333190</v>
      </c>
      <c r="V158" s="3">
        <v>333190</v>
      </c>
      <c r="W158" s="3">
        <v>333190</v>
      </c>
      <c r="X158" s="3">
        <v>330903</v>
      </c>
      <c r="Y158" s="3">
        <v>330903</v>
      </c>
      <c r="Z158" s="4">
        <v>330903</v>
      </c>
      <c r="AA158" s="4">
        <v>330903</v>
      </c>
      <c r="AB158" s="4">
        <v>330903</v>
      </c>
      <c r="AC158" s="4">
        <v>330904</v>
      </c>
      <c r="AD158" s="4">
        <v>333190</v>
      </c>
      <c r="AE158" s="4">
        <v>666380</v>
      </c>
      <c r="AF158" s="4">
        <v>999570</v>
      </c>
      <c r="AG158" s="4">
        <v>1332760</v>
      </c>
      <c r="AH158" s="4">
        <v>1663663</v>
      </c>
      <c r="AI158" s="4">
        <v>1994566</v>
      </c>
      <c r="AJ158" s="4">
        <v>2325469</v>
      </c>
      <c r="AK158" s="4">
        <v>2656372</v>
      </c>
      <c r="AL158" s="4">
        <v>2987275</v>
      </c>
      <c r="AM158" s="4">
        <v>3318179</v>
      </c>
      <c r="AN158" s="153">
        <v>279372</v>
      </c>
    </row>
    <row r="159" spans="1:40" x14ac:dyDescent="0.2">
      <c r="A159" s="1">
        <v>2022</v>
      </c>
      <c r="B159" s="2" t="s">
        <v>180</v>
      </c>
      <c r="C159" s="2" t="s">
        <v>180</v>
      </c>
      <c r="D159" s="1" t="s">
        <v>530</v>
      </c>
      <c r="E159" s="3">
        <v>2398947</v>
      </c>
      <c r="F159" s="1">
        <v>232</v>
      </c>
      <c r="G159" s="3">
        <v>7145</v>
      </c>
      <c r="H159" s="3">
        <v>7160</v>
      </c>
      <c r="I159" s="3">
        <v>2398715</v>
      </c>
      <c r="J159" s="3">
        <v>2391570</v>
      </c>
      <c r="K159" s="3">
        <v>2384410</v>
      </c>
      <c r="L159" s="3">
        <v>50357</v>
      </c>
      <c r="M159" s="3">
        <v>210771</v>
      </c>
      <c r="N159" s="3">
        <v>23002</v>
      </c>
      <c r="O159" s="3">
        <v>22777</v>
      </c>
      <c r="P159" s="3">
        <v>105000</v>
      </c>
      <c r="Q159" s="3">
        <v>1986808</v>
      </c>
      <c r="R159" s="3">
        <v>1979663</v>
      </c>
      <c r="S159" s="3">
        <v>1972503</v>
      </c>
      <c r="T159" s="3">
        <v>239872</v>
      </c>
      <c r="U159" s="3">
        <v>239872</v>
      </c>
      <c r="V159" s="3">
        <v>239872</v>
      </c>
      <c r="W159" s="3">
        <v>239872</v>
      </c>
      <c r="X159" s="3">
        <v>238680</v>
      </c>
      <c r="Y159" s="3">
        <v>238680</v>
      </c>
      <c r="Z159" s="4">
        <v>236891</v>
      </c>
      <c r="AA159" s="4">
        <v>236891</v>
      </c>
      <c r="AB159" s="4">
        <v>236891</v>
      </c>
      <c r="AC159" s="4">
        <v>236889</v>
      </c>
      <c r="AD159" s="4">
        <v>239872</v>
      </c>
      <c r="AE159" s="4">
        <v>479744</v>
      </c>
      <c r="AF159" s="4">
        <v>719616</v>
      </c>
      <c r="AG159" s="4">
        <v>959488</v>
      </c>
      <c r="AH159" s="4">
        <v>1198168</v>
      </c>
      <c r="AI159" s="4">
        <v>1436848</v>
      </c>
      <c r="AJ159" s="4">
        <v>1673739</v>
      </c>
      <c r="AK159" s="4">
        <v>1910630</v>
      </c>
      <c r="AL159" s="4">
        <v>2147521</v>
      </c>
      <c r="AM159" s="4">
        <v>2384410</v>
      </c>
      <c r="AN159" s="153">
        <v>148300</v>
      </c>
    </row>
    <row r="160" spans="1:40" x14ac:dyDescent="0.2">
      <c r="A160" s="1">
        <v>2022</v>
      </c>
      <c r="B160" s="2" t="s">
        <v>181</v>
      </c>
      <c r="C160" s="2" t="s">
        <v>181</v>
      </c>
      <c r="D160" s="1" t="s">
        <v>531</v>
      </c>
      <c r="E160" s="3">
        <v>1569186</v>
      </c>
      <c r="F160" s="3">
        <v>315</v>
      </c>
      <c r="G160" s="3">
        <v>6366</v>
      </c>
      <c r="H160" s="1">
        <v>0</v>
      </c>
      <c r="I160" s="3">
        <v>1568871</v>
      </c>
      <c r="J160" s="3">
        <v>1562505</v>
      </c>
      <c r="K160" s="3">
        <v>1562505</v>
      </c>
      <c r="L160" s="3">
        <v>64818</v>
      </c>
      <c r="M160" s="3">
        <v>185726</v>
      </c>
      <c r="N160" s="3">
        <v>19226</v>
      </c>
      <c r="O160" s="3">
        <v>20286</v>
      </c>
      <c r="P160" s="3">
        <v>94086</v>
      </c>
      <c r="Q160" s="3">
        <v>1184729</v>
      </c>
      <c r="R160" s="3">
        <v>1178363</v>
      </c>
      <c r="S160" s="3">
        <v>1178363</v>
      </c>
      <c r="T160" s="3">
        <v>156887</v>
      </c>
      <c r="U160" s="3">
        <v>156887</v>
      </c>
      <c r="V160" s="3">
        <v>156887</v>
      </c>
      <c r="W160" s="3">
        <v>156887</v>
      </c>
      <c r="X160" s="3">
        <v>155826</v>
      </c>
      <c r="Y160" s="3">
        <v>155826</v>
      </c>
      <c r="Z160" s="4">
        <v>155826</v>
      </c>
      <c r="AA160" s="4">
        <v>155826</v>
      </c>
      <c r="AB160" s="4">
        <v>155826</v>
      </c>
      <c r="AC160" s="4">
        <v>155827</v>
      </c>
      <c r="AD160" s="4">
        <v>156887</v>
      </c>
      <c r="AE160" s="4">
        <v>313774</v>
      </c>
      <c r="AF160" s="4">
        <v>470661</v>
      </c>
      <c r="AG160" s="4">
        <v>627548</v>
      </c>
      <c r="AH160" s="4">
        <v>783374</v>
      </c>
      <c r="AI160" s="4">
        <v>939200</v>
      </c>
      <c r="AJ160" s="4">
        <v>1095026</v>
      </c>
      <c r="AK160" s="4">
        <v>1250852</v>
      </c>
      <c r="AL160" s="4">
        <v>1406678</v>
      </c>
      <c r="AM160" s="4">
        <v>1562505</v>
      </c>
      <c r="AN160" s="153">
        <v>136652</v>
      </c>
    </row>
    <row r="161" spans="1:40" x14ac:dyDescent="0.2">
      <c r="A161" s="1">
        <v>2022</v>
      </c>
      <c r="B161" s="2" t="s">
        <v>182</v>
      </c>
      <c r="C161" s="2" t="s">
        <v>182</v>
      </c>
      <c r="D161" s="1" t="s">
        <v>532</v>
      </c>
      <c r="E161" s="3">
        <v>3745573</v>
      </c>
      <c r="F161" s="1">
        <v>547</v>
      </c>
      <c r="G161" s="3">
        <v>14440</v>
      </c>
      <c r="H161" s="1">
        <v>0</v>
      </c>
      <c r="I161" s="3">
        <v>3745026</v>
      </c>
      <c r="J161" s="3">
        <v>3730586</v>
      </c>
      <c r="K161" s="3">
        <v>3730586</v>
      </c>
      <c r="L161" s="3">
        <v>118699</v>
      </c>
      <c r="M161" s="3">
        <v>371518</v>
      </c>
      <c r="N161" s="3">
        <v>38462</v>
      </c>
      <c r="O161" s="3">
        <v>39593</v>
      </c>
      <c r="P161" s="3">
        <v>212200</v>
      </c>
      <c r="Q161" s="3">
        <v>2964554</v>
      </c>
      <c r="R161" s="3">
        <v>2950114</v>
      </c>
      <c r="S161" s="3">
        <v>2950114</v>
      </c>
      <c r="T161" s="3">
        <v>374503</v>
      </c>
      <c r="U161" s="3">
        <v>374503</v>
      </c>
      <c r="V161" s="3">
        <v>374503</v>
      </c>
      <c r="W161" s="3">
        <v>374503</v>
      </c>
      <c r="X161" s="3">
        <v>372096</v>
      </c>
      <c r="Y161" s="3">
        <v>372096</v>
      </c>
      <c r="Z161" s="4">
        <v>372096</v>
      </c>
      <c r="AA161" s="4">
        <v>372096</v>
      </c>
      <c r="AB161" s="4">
        <v>372096</v>
      </c>
      <c r="AC161" s="4">
        <v>372094</v>
      </c>
      <c r="AD161" s="4">
        <v>374503</v>
      </c>
      <c r="AE161" s="4">
        <v>749006</v>
      </c>
      <c r="AF161" s="4">
        <v>1123509</v>
      </c>
      <c r="AG161" s="4">
        <v>1498012</v>
      </c>
      <c r="AH161" s="4">
        <v>1870108</v>
      </c>
      <c r="AI161" s="4">
        <v>2242204</v>
      </c>
      <c r="AJ161" s="4">
        <v>2614300</v>
      </c>
      <c r="AK161" s="4">
        <v>2986396</v>
      </c>
      <c r="AL161" s="4">
        <v>3358492</v>
      </c>
      <c r="AM161" s="4">
        <v>3730586</v>
      </c>
      <c r="AN161" s="153">
        <v>286028</v>
      </c>
    </row>
    <row r="162" spans="1:40" x14ac:dyDescent="0.2">
      <c r="A162" s="1">
        <v>2022</v>
      </c>
      <c r="B162" s="2" t="s">
        <v>183</v>
      </c>
      <c r="C162" s="2" t="s">
        <v>697</v>
      </c>
      <c r="D162" s="1" t="s">
        <v>533</v>
      </c>
      <c r="E162" s="3">
        <v>3213259</v>
      </c>
      <c r="F162" s="1">
        <v>348</v>
      </c>
      <c r="G162" s="3">
        <v>13689</v>
      </c>
      <c r="H162" s="3">
        <v>148197</v>
      </c>
      <c r="I162" s="3">
        <v>3212911</v>
      </c>
      <c r="J162" s="3">
        <v>3199222</v>
      </c>
      <c r="K162" s="3">
        <v>3051025</v>
      </c>
      <c r="L162" s="3">
        <v>75536</v>
      </c>
      <c r="M162" s="3">
        <v>395168</v>
      </c>
      <c r="N162" s="3">
        <v>45365</v>
      </c>
      <c r="O162" s="3">
        <v>44906</v>
      </c>
      <c r="P162" s="3">
        <v>205863</v>
      </c>
      <c r="Q162" s="3">
        <v>2446073</v>
      </c>
      <c r="R162" s="3">
        <v>2432384</v>
      </c>
      <c r="S162" s="3">
        <v>2284187</v>
      </c>
      <c r="T162" s="3">
        <v>321291</v>
      </c>
      <c r="U162" s="3">
        <v>321291</v>
      </c>
      <c r="V162" s="3">
        <v>321291</v>
      </c>
      <c r="W162" s="3">
        <v>321291</v>
      </c>
      <c r="X162" s="3">
        <v>319010</v>
      </c>
      <c r="Y162" s="3">
        <v>319010</v>
      </c>
      <c r="Z162" s="4">
        <v>281960</v>
      </c>
      <c r="AA162" s="4">
        <v>281960</v>
      </c>
      <c r="AB162" s="4">
        <v>281960</v>
      </c>
      <c r="AC162" s="4">
        <v>281961</v>
      </c>
      <c r="AD162" s="4">
        <v>321291</v>
      </c>
      <c r="AE162" s="4">
        <v>642582</v>
      </c>
      <c r="AF162" s="4">
        <v>963873</v>
      </c>
      <c r="AG162" s="4">
        <v>1285164</v>
      </c>
      <c r="AH162" s="4">
        <v>1604174</v>
      </c>
      <c r="AI162" s="4">
        <v>1923184</v>
      </c>
      <c r="AJ162" s="4">
        <v>2205144</v>
      </c>
      <c r="AK162" s="4">
        <v>2487104</v>
      </c>
      <c r="AL162" s="4">
        <v>2769064</v>
      </c>
      <c r="AM162" s="4">
        <v>3051025</v>
      </c>
      <c r="AN162" s="153">
        <v>282263</v>
      </c>
    </row>
    <row r="163" spans="1:40" x14ac:dyDescent="0.2">
      <c r="A163" s="1">
        <v>2022</v>
      </c>
      <c r="B163" s="2" t="s">
        <v>184</v>
      </c>
      <c r="C163" s="2" t="s">
        <v>184</v>
      </c>
      <c r="D163" s="1" t="s">
        <v>534</v>
      </c>
      <c r="E163" s="3">
        <v>14108422</v>
      </c>
      <c r="F163" s="3">
        <v>1758</v>
      </c>
      <c r="G163" s="3">
        <v>53025</v>
      </c>
      <c r="H163" s="3">
        <v>176639</v>
      </c>
      <c r="I163" s="3">
        <v>14106664</v>
      </c>
      <c r="J163" s="3">
        <v>14053639</v>
      </c>
      <c r="K163" s="3">
        <v>13877000</v>
      </c>
      <c r="L163" s="3">
        <v>381273</v>
      </c>
      <c r="M163" s="3">
        <v>1335540</v>
      </c>
      <c r="N163" s="3">
        <v>147600</v>
      </c>
      <c r="O163" s="3">
        <v>154922</v>
      </c>
      <c r="P163" s="3">
        <v>779229</v>
      </c>
      <c r="Q163" s="3">
        <v>11308100</v>
      </c>
      <c r="R163" s="3">
        <v>11255075</v>
      </c>
      <c r="S163" s="3">
        <v>11078436</v>
      </c>
      <c r="T163" s="3">
        <v>1410666</v>
      </c>
      <c r="U163" s="3">
        <v>1410666</v>
      </c>
      <c r="V163" s="3">
        <v>1410666</v>
      </c>
      <c r="W163" s="3">
        <v>1410666</v>
      </c>
      <c r="X163" s="3">
        <v>1401829</v>
      </c>
      <c r="Y163" s="3">
        <v>1401829</v>
      </c>
      <c r="Z163" s="4">
        <v>1357670</v>
      </c>
      <c r="AA163" s="4">
        <v>1357670</v>
      </c>
      <c r="AB163" s="4">
        <v>1357670</v>
      </c>
      <c r="AC163" s="4">
        <v>1357668</v>
      </c>
      <c r="AD163" s="4">
        <v>1410666</v>
      </c>
      <c r="AE163" s="4">
        <v>2821332</v>
      </c>
      <c r="AF163" s="4">
        <v>4231998</v>
      </c>
      <c r="AG163" s="4">
        <v>5642664</v>
      </c>
      <c r="AH163" s="4">
        <v>7044493</v>
      </c>
      <c r="AI163" s="4">
        <v>8446322</v>
      </c>
      <c r="AJ163" s="4">
        <v>9803992</v>
      </c>
      <c r="AK163" s="4">
        <v>11161662</v>
      </c>
      <c r="AL163" s="4">
        <v>12519332</v>
      </c>
      <c r="AM163" s="4">
        <v>13877000</v>
      </c>
      <c r="AN163" s="153">
        <v>1147084</v>
      </c>
    </row>
    <row r="164" spans="1:40" x14ac:dyDescent="0.2">
      <c r="A164" s="1">
        <v>2022</v>
      </c>
      <c r="B164" s="2" t="s">
        <v>185</v>
      </c>
      <c r="C164" s="2" t="s">
        <v>185</v>
      </c>
      <c r="D164" s="1" t="s">
        <v>535</v>
      </c>
      <c r="E164" s="3">
        <v>2978276</v>
      </c>
      <c r="F164" s="3">
        <v>498</v>
      </c>
      <c r="G164" s="3">
        <v>10777</v>
      </c>
      <c r="H164" s="1">
        <v>0</v>
      </c>
      <c r="I164" s="3">
        <v>2977778</v>
      </c>
      <c r="J164" s="3">
        <v>2967001</v>
      </c>
      <c r="K164" s="3">
        <v>2967001</v>
      </c>
      <c r="L164" s="3">
        <v>107907</v>
      </c>
      <c r="M164" s="3">
        <v>309115</v>
      </c>
      <c r="N164" s="3">
        <v>40738</v>
      </c>
      <c r="O164" s="3">
        <v>35634</v>
      </c>
      <c r="P164" s="3">
        <v>158373</v>
      </c>
      <c r="Q164" s="3">
        <v>2326011</v>
      </c>
      <c r="R164" s="3">
        <v>2315234</v>
      </c>
      <c r="S164" s="3">
        <v>2315234</v>
      </c>
      <c r="T164" s="3">
        <v>297778</v>
      </c>
      <c r="U164" s="3">
        <v>297778</v>
      </c>
      <c r="V164" s="3">
        <v>297778</v>
      </c>
      <c r="W164" s="3">
        <v>297778</v>
      </c>
      <c r="X164" s="3">
        <v>295982</v>
      </c>
      <c r="Y164" s="3">
        <v>295982</v>
      </c>
      <c r="Z164" s="4">
        <v>295981</v>
      </c>
      <c r="AA164" s="4">
        <v>295981</v>
      </c>
      <c r="AB164" s="4">
        <v>295981</v>
      </c>
      <c r="AC164" s="4">
        <v>295982</v>
      </c>
      <c r="AD164" s="4">
        <v>297778</v>
      </c>
      <c r="AE164" s="4">
        <v>595556</v>
      </c>
      <c r="AF164" s="4">
        <v>893334</v>
      </c>
      <c r="AG164" s="4">
        <v>1191112</v>
      </c>
      <c r="AH164" s="4">
        <v>1487094</v>
      </c>
      <c r="AI164" s="4">
        <v>1783076</v>
      </c>
      <c r="AJ164" s="4">
        <v>2079057</v>
      </c>
      <c r="AK164" s="4">
        <v>2375038</v>
      </c>
      <c r="AL164" s="4">
        <v>2671019</v>
      </c>
      <c r="AM164" s="4">
        <v>2967001</v>
      </c>
      <c r="AN164" s="153">
        <v>207635</v>
      </c>
    </row>
    <row r="165" spans="1:40" x14ac:dyDescent="0.2">
      <c r="A165" s="1">
        <v>2022</v>
      </c>
      <c r="B165" s="2" t="s">
        <v>186</v>
      </c>
      <c r="C165" s="2" t="s">
        <v>186</v>
      </c>
      <c r="D165" s="1" t="s">
        <v>536</v>
      </c>
      <c r="E165" s="3">
        <v>13731327</v>
      </c>
      <c r="F165" s="1">
        <v>746</v>
      </c>
      <c r="G165" s="3">
        <v>61961</v>
      </c>
      <c r="H165" s="3">
        <v>1077</v>
      </c>
      <c r="I165" s="3">
        <v>13730581</v>
      </c>
      <c r="J165" s="3">
        <v>13668620</v>
      </c>
      <c r="K165" s="3">
        <v>13667543</v>
      </c>
      <c r="L165" s="3">
        <v>161862</v>
      </c>
      <c r="M165" s="3">
        <v>1572091</v>
      </c>
      <c r="N165" s="3">
        <v>231974</v>
      </c>
      <c r="O165" s="3">
        <v>183743</v>
      </c>
      <c r="P165" s="3">
        <v>910549</v>
      </c>
      <c r="Q165" s="3">
        <v>10670362</v>
      </c>
      <c r="R165" s="3">
        <v>10608401</v>
      </c>
      <c r="S165" s="3">
        <v>10607324</v>
      </c>
      <c r="T165" s="3">
        <v>1373058</v>
      </c>
      <c r="U165" s="3">
        <v>1373058</v>
      </c>
      <c r="V165" s="3">
        <v>1373058</v>
      </c>
      <c r="W165" s="3">
        <v>1373058</v>
      </c>
      <c r="X165" s="3">
        <v>1362731</v>
      </c>
      <c r="Y165" s="3">
        <v>1362731</v>
      </c>
      <c r="Z165" s="4">
        <v>1362462</v>
      </c>
      <c r="AA165" s="4">
        <v>1362462</v>
      </c>
      <c r="AB165" s="4">
        <v>1362462</v>
      </c>
      <c r="AC165" s="4">
        <v>1362463</v>
      </c>
      <c r="AD165" s="4">
        <v>1373058</v>
      </c>
      <c r="AE165" s="4">
        <v>2746116</v>
      </c>
      <c r="AF165" s="4">
        <v>4119174</v>
      </c>
      <c r="AG165" s="4">
        <v>5492232</v>
      </c>
      <c r="AH165" s="4">
        <v>6854963</v>
      </c>
      <c r="AI165" s="4">
        <v>8217694</v>
      </c>
      <c r="AJ165" s="4">
        <v>9580156</v>
      </c>
      <c r="AK165" s="4">
        <v>10942618</v>
      </c>
      <c r="AL165" s="4">
        <v>12305080</v>
      </c>
      <c r="AM165" s="4">
        <v>13667543</v>
      </c>
      <c r="AN165" s="153">
        <v>1291175</v>
      </c>
    </row>
    <row r="166" spans="1:40" x14ac:dyDescent="0.2">
      <c r="A166" s="1">
        <v>2022</v>
      </c>
      <c r="B166" s="2" t="s">
        <v>187</v>
      </c>
      <c r="C166" s="2" t="s">
        <v>187</v>
      </c>
      <c r="D166" s="1" t="s">
        <v>537</v>
      </c>
      <c r="E166" s="3">
        <v>4475432</v>
      </c>
      <c r="F166" s="3">
        <v>481</v>
      </c>
      <c r="G166" s="3">
        <v>17466</v>
      </c>
      <c r="H166" s="3">
        <v>0</v>
      </c>
      <c r="I166" s="3">
        <v>4474951</v>
      </c>
      <c r="J166" s="3">
        <v>4457485</v>
      </c>
      <c r="K166" s="3">
        <v>4457485</v>
      </c>
      <c r="L166" s="3">
        <v>97263</v>
      </c>
      <c r="M166" s="3">
        <v>454658</v>
      </c>
      <c r="N166" s="3">
        <v>48067</v>
      </c>
      <c r="O166" s="3">
        <v>48875</v>
      </c>
      <c r="P166" s="3">
        <v>256671</v>
      </c>
      <c r="Q166" s="3">
        <v>3569417</v>
      </c>
      <c r="R166" s="3">
        <v>3551951</v>
      </c>
      <c r="S166" s="3">
        <v>3551951</v>
      </c>
      <c r="T166" s="3">
        <v>447495</v>
      </c>
      <c r="U166" s="3">
        <v>447495</v>
      </c>
      <c r="V166" s="3">
        <v>447495</v>
      </c>
      <c r="W166" s="3">
        <v>447495</v>
      </c>
      <c r="X166" s="3">
        <v>444584</v>
      </c>
      <c r="Y166" s="3">
        <v>444584</v>
      </c>
      <c r="Z166" s="4">
        <v>444584</v>
      </c>
      <c r="AA166" s="4">
        <v>444584</v>
      </c>
      <c r="AB166" s="4">
        <v>444584</v>
      </c>
      <c r="AC166" s="4">
        <v>444585</v>
      </c>
      <c r="AD166" s="4">
        <v>447495</v>
      </c>
      <c r="AE166" s="4">
        <v>894990</v>
      </c>
      <c r="AF166" s="4">
        <v>1342485</v>
      </c>
      <c r="AG166" s="4">
        <v>1789980</v>
      </c>
      <c r="AH166" s="4">
        <v>2234564</v>
      </c>
      <c r="AI166" s="4">
        <v>2679148</v>
      </c>
      <c r="AJ166" s="4">
        <v>3123732</v>
      </c>
      <c r="AK166" s="4">
        <v>3568316</v>
      </c>
      <c r="AL166" s="4">
        <v>4012900</v>
      </c>
      <c r="AM166" s="4">
        <v>4457485</v>
      </c>
      <c r="AN166" s="153">
        <v>355979</v>
      </c>
    </row>
    <row r="167" spans="1:40" x14ac:dyDescent="0.2">
      <c r="A167" s="1">
        <v>2022</v>
      </c>
      <c r="B167" s="2" t="s">
        <v>188</v>
      </c>
      <c r="C167" s="2" t="s">
        <v>188</v>
      </c>
      <c r="D167" s="1" t="s">
        <v>538</v>
      </c>
      <c r="E167" s="3">
        <v>49447765</v>
      </c>
      <c r="F167" s="3">
        <v>3980</v>
      </c>
      <c r="G167" s="3">
        <v>180477</v>
      </c>
      <c r="H167" s="1">
        <v>0</v>
      </c>
      <c r="I167" s="3">
        <v>49443785</v>
      </c>
      <c r="J167" s="3">
        <v>49263308</v>
      </c>
      <c r="K167" s="3">
        <v>49263308</v>
      </c>
      <c r="L167" s="3">
        <v>863260</v>
      </c>
      <c r="M167" s="3">
        <v>4428588</v>
      </c>
      <c r="N167" s="3">
        <v>491888</v>
      </c>
      <c r="O167" s="3">
        <v>495307</v>
      </c>
      <c r="P167" s="3">
        <v>2652199</v>
      </c>
      <c r="Q167" s="3">
        <v>40512543</v>
      </c>
      <c r="R167" s="3">
        <v>40332066</v>
      </c>
      <c r="S167" s="3">
        <v>40332066</v>
      </c>
      <c r="T167" s="3">
        <v>4944379</v>
      </c>
      <c r="U167" s="3">
        <v>4944379</v>
      </c>
      <c r="V167" s="3">
        <v>4944379</v>
      </c>
      <c r="W167" s="3">
        <v>4944379</v>
      </c>
      <c r="X167" s="3">
        <v>4914299</v>
      </c>
      <c r="Y167" s="3">
        <v>4914299</v>
      </c>
      <c r="Z167" s="4">
        <v>4914299</v>
      </c>
      <c r="AA167" s="4">
        <v>4914299</v>
      </c>
      <c r="AB167" s="4">
        <v>4914299</v>
      </c>
      <c r="AC167" s="4">
        <v>4914297</v>
      </c>
      <c r="AD167" s="4">
        <v>4944379</v>
      </c>
      <c r="AE167" s="4">
        <v>9888758</v>
      </c>
      <c r="AF167" s="4">
        <v>14833137</v>
      </c>
      <c r="AG167" s="4">
        <v>19777516</v>
      </c>
      <c r="AH167" s="4">
        <v>24691815</v>
      </c>
      <c r="AI167" s="4">
        <v>29606114</v>
      </c>
      <c r="AJ167" s="4">
        <v>34520413</v>
      </c>
      <c r="AK167" s="4">
        <v>39434712</v>
      </c>
      <c r="AL167" s="4">
        <v>44349011</v>
      </c>
      <c r="AM167" s="4">
        <v>49263308</v>
      </c>
      <c r="AN167" s="153">
        <v>3676429</v>
      </c>
    </row>
    <row r="168" spans="1:40" x14ac:dyDescent="0.2">
      <c r="A168" s="1">
        <v>2022</v>
      </c>
      <c r="B168" s="2" t="s">
        <v>189</v>
      </c>
      <c r="C168" s="2" t="s">
        <v>189</v>
      </c>
      <c r="D168" s="1" t="s">
        <v>539</v>
      </c>
      <c r="E168" s="3">
        <v>4464427</v>
      </c>
      <c r="F168" s="3">
        <v>763</v>
      </c>
      <c r="G168" s="3">
        <v>15528</v>
      </c>
      <c r="H168" s="3">
        <v>0</v>
      </c>
      <c r="I168" s="3">
        <v>4463664</v>
      </c>
      <c r="J168" s="3">
        <v>4448136</v>
      </c>
      <c r="K168" s="3">
        <v>4448136</v>
      </c>
      <c r="L168" s="3">
        <v>165458</v>
      </c>
      <c r="M168" s="3">
        <v>384415</v>
      </c>
      <c r="N168" s="3">
        <v>38170</v>
      </c>
      <c r="O168" s="3">
        <v>38503</v>
      </c>
      <c r="P168" s="3">
        <v>228187</v>
      </c>
      <c r="Q168" s="3">
        <v>3608931</v>
      </c>
      <c r="R168" s="3">
        <v>3593403</v>
      </c>
      <c r="S168" s="3">
        <v>3593403</v>
      </c>
      <c r="T168" s="3">
        <v>446366</v>
      </c>
      <c r="U168" s="3">
        <v>446366</v>
      </c>
      <c r="V168" s="3">
        <v>446366</v>
      </c>
      <c r="W168" s="3">
        <v>446366</v>
      </c>
      <c r="X168" s="3">
        <v>443779</v>
      </c>
      <c r="Y168" s="3">
        <v>443779</v>
      </c>
      <c r="Z168" s="4">
        <v>443779</v>
      </c>
      <c r="AA168" s="4">
        <v>443779</v>
      </c>
      <c r="AB168" s="4">
        <v>443779</v>
      </c>
      <c r="AC168" s="4">
        <v>443777</v>
      </c>
      <c r="AD168" s="4">
        <v>446366</v>
      </c>
      <c r="AE168" s="4">
        <v>892732</v>
      </c>
      <c r="AF168" s="4">
        <v>1339098</v>
      </c>
      <c r="AG168" s="4">
        <v>1785464</v>
      </c>
      <c r="AH168" s="4">
        <v>2229243</v>
      </c>
      <c r="AI168" s="4">
        <v>2673022</v>
      </c>
      <c r="AJ168" s="4">
        <v>3116801</v>
      </c>
      <c r="AK168" s="4">
        <v>3560580</v>
      </c>
      <c r="AL168" s="4">
        <v>4004359</v>
      </c>
      <c r="AM168" s="4">
        <v>4448136</v>
      </c>
      <c r="AN168" s="153">
        <v>297611</v>
      </c>
    </row>
    <row r="169" spans="1:40" x14ac:dyDescent="0.2">
      <c r="A169" s="1">
        <v>2022</v>
      </c>
      <c r="B169" s="2" t="s">
        <v>190</v>
      </c>
      <c r="C169" s="2" t="s">
        <v>190</v>
      </c>
      <c r="D169" s="1" t="s">
        <v>540</v>
      </c>
      <c r="E169" s="3">
        <v>3547657</v>
      </c>
      <c r="F169" s="1">
        <v>597</v>
      </c>
      <c r="G169" s="3">
        <v>12924</v>
      </c>
      <c r="H169" s="1">
        <v>0</v>
      </c>
      <c r="I169" s="3">
        <v>3547060</v>
      </c>
      <c r="J169" s="3">
        <v>3534136</v>
      </c>
      <c r="K169" s="3">
        <v>3534136</v>
      </c>
      <c r="L169" s="3">
        <v>129489</v>
      </c>
      <c r="M169" s="3">
        <v>348804</v>
      </c>
      <c r="N169" s="3">
        <v>39692</v>
      </c>
      <c r="O169" s="3">
        <v>38914</v>
      </c>
      <c r="P169" s="3">
        <v>195023</v>
      </c>
      <c r="Q169" s="3">
        <v>2795138</v>
      </c>
      <c r="R169" s="3">
        <v>2782214</v>
      </c>
      <c r="S169" s="3">
        <v>2782214</v>
      </c>
      <c r="T169" s="3">
        <v>354706</v>
      </c>
      <c r="U169" s="3">
        <v>354706</v>
      </c>
      <c r="V169" s="3">
        <v>354706</v>
      </c>
      <c r="W169" s="3">
        <v>354706</v>
      </c>
      <c r="X169" s="3">
        <v>352552</v>
      </c>
      <c r="Y169" s="3">
        <v>352552</v>
      </c>
      <c r="Z169" s="4">
        <v>352552</v>
      </c>
      <c r="AA169" s="4">
        <v>352552</v>
      </c>
      <c r="AB169" s="4">
        <v>352552</v>
      </c>
      <c r="AC169" s="4">
        <v>352552</v>
      </c>
      <c r="AD169" s="4">
        <v>354706</v>
      </c>
      <c r="AE169" s="4">
        <v>709412</v>
      </c>
      <c r="AF169" s="4">
        <v>1064118</v>
      </c>
      <c r="AG169" s="4">
        <v>1418824</v>
      </c>
      <c r="AH169" s="4">
        <v>1771376</v>
      </c>
      <c r="AI169" s="4">
        <v>2123928</v>
      </c>
      <c r="AJ169" s="4">
        <v>2476480</v>
      </c>
      <c r="AK169" s="4">
        <v>2829032</v>
      </c>
      <c r="AL169" s="4">
        <v>3181584</v>
      </c>
      <c r="AM169" s="4">
        <v>3534136</v>
      </c>
      <c r="AN169" s="153">
        <v>259425</v>
      </c>
    </row>
    <row r="170" spans="1:40" x14ac:dyDescent="0.2">
      <c r="A170" s="1">
        <v>2022</v>
      </c>
      <c r="B170" s="2" t="s">
        <v>191</v>
      </c>
      <c r="C170" s="2" t="s">
        <v>191</v>
      </c>
      <c r="D170" s="1" t="s">
        <v>541</v>
      </c>
      <c r="E170" s="3">
        <v>2199083</v>
      </c>
      <c r="F170" s="3">
        <v>315</v>
      </c>
      <c r="G170" s="3">
        <v>8782</v>
      </c>
      <c r="H170" s="3">
        <v>2784</v>
      </c>
      <c r="I170" s="3">
        <v>2198768</v>
      </c>
      <c r="J170" s="3">
        <v>2189986</v>
      </c>
      <c r="K170" s="3">
        <v>2187202</v>
      </c>
      <c r="L170" s="3">
        <v>68342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1689097</v>
      </c>
      <c r="R170" s="3">
        <v>1680315</v>
      </c>
      <c r="S170" s="3">
        <v>1677531</v>
      </c>
      <c r="T170" s="3">
        <v>219877</v>
      </c>
      <c r="U170" s="3">
        <v>219877</v>
      </c>
      <c r="V170" s="3">
        <v>219877</v>
      </c>
      <c r="W170" s="3">
        <v>219877</v>
      </c>
      <c r="X170" s="3">
        <v>218413</v>
      </c>
      <c r="Y170" s="3">
        <v>218413</v>
      </c>
      <c r="Z170" s="4">
        <v>217717</v>
      </c>
      <c r="AA170" s="4">
        <v>217717</v>
      </c>
      <c r="AB170" s="4">
        <v>217717</v>
      </c>
      <c r="AC170" s="4">
        <v>217717</v>
      </c>
      <c r="AD170" s="4">
        <v>219877</v>
      </c>
      <c r="AE170" s="4">
        <v>439754</v>
      </c>
      <c r="AF170" s="4">
        <v>659631</v>
      </c>
      <c r="AG170" s="4">
        <v>879508</v>
      </c>
      <c r="AH170" s="4">
        <v>1097921</v>
      </c>
      <c r="AI170" s="4">
        <v>1316334</v>
      </c>
      <c r="AJ170" s="4">
        <v>1534051</v>
      </c>
      <c r="AK170" s="4">
        <v>1751768</v>
      </c>
      <c r="AL170" s="4">
        <v>1969485</v>
      </c>
      <c r="AM170" s="4">
        <v>2187202</v>
      </c>
      <c r="AN170" s="153">
        <v>169410</v>
      </c>
    </row>
    <row r="171" spans="1:40" x14ac:dyDescent="0.2">
      <c r="A171" s="1">
        <v>2022</v>
      </c>
      <c r="B171" s="2" t="s">
        <v>192</v>
      </c>
      <c r="C171" s="2" t="s">
        <v>192</v>
      </c>
      <c r="D171" s="1" t="s">
        <v>542</v>
      </c>
      <c r="E171" s="3">
        <v>4533937</v>
      </c>
      <c r="F171" s="1">
        <v>746</v>
      </c>
      <c r="G171" s="3">
        <v>16794</v>
      </c>
      <c r="H171" s="1">
        <v>0</v>
      </c>
      <c r="I171" s="3">
        <v>4533191</v>
      </c>
      <c r="J171" s="3">
        <v>4516397</v>
      </c>
      <c r="K171" s="3">
        <v>4516397</v>
      </c>
      <c r="L171" s="3">
        <v>161862</v>
      </c>
      <c r="M171" s="3">
        <v>473216</v>
      </c>
      <c r="N171" s="3">
        <v>50579</v>
      </c>
      <c r="O171" s="3">
        <v>54722</v>
      </c>
      <c r="P171" s="3">
        <v>246792</v>
      </c>
      <c r="Q171" s="3">
        <v>3546020</v>
      </c>
      <c r="R171" s="3">
        <v>3529226</v>
      </c>
      <c r="S171" s="3">
        <v>3529226</v>
      </c>
      <c r="T171" s="3">
        <v>453319</v>
      </c>
      <c r="U171" s="3">
        <v>453319</v>
      </c>
      <c r="V171" s="3">
        <v>453319</v>
      </c>
      <c r="W171" s="3">
        <v>453319</v>
      </c>
      <c r="X171" s="3">
        <v>450520</v>
      </c>
      <c r="Y171" s="3">
        <v>450520</v>
      </c>
      <c r="Z171" s="4">
        <v>450520</v>
      </c>
      <c r="AA171" s="4">
        <v>450520</v>
      </c>
      <c r="AB171" s="4">
        <v>450520</v>
      </c>
      <c r="AC171" s="4">
        <v>450521</v>
      </c>
      <c r="AD171" s="4">
        <v>453319</v>
      </c>
      <c r="AE171" s="4">
        <v>906638</v>
      </c>
      <c r="AF171" s="4">
        <v>1359957</v>
      </c>
      <c r="AG171" s="4">
        <v>1813276</v>
      </c>
      <c r="AH171" s="4">
        <v>2263796</v>
      </c>
      <c r="AI171" s="4">
        <v>2714316</v>
      </c>
      <c r="AJ171" s="4">
        <v>3164836</v>
      </c>
      <c r="AK171" s="4">
        <v>3615356</v>
      </c>
      <c r="AL171" s="4">
        <v>4065876</v>
      </c>
      <c r="AM171" s="4">
        <v>4516397</v>
      </c>
      <c r="AN171" s="153">
        <v>329061</v>
      </c>
    </row>
    <row r="172" spans="1:40" x14ac:dyDescent="0.2">
      <c r="A172" s="1">
        <v>2022</v>
      </c>
      <c r="B172" s="2" t="s">
        <v>193</v>
      </c>
      <c r="C172" s="2" t="s">
        <v>193</v>
      </c>
      <c r="D172" s="1" t="s">
        <v>543</v>
      </c>
      <c r="E172" s="3">
        <v>370313</v>
      </c>
      <c r="F172" s="1">
        <v>100</v>
      </c>
      <c r="G172" s="3">
        <v>3760</v>
      </c>
      <c r="H172" s="1">
        <v>0</v>
      </c>
      <c r="I172" s="3">
        <v>370213</v>
      </c>
      <c r="J172" s="3">
        <v>366453</v>
      </c>
      <c r="K172" s="3">
        <v>366453</v>
      </c>
      <c r="L172" s="3">
        <v>21581</v>
      </c>
      <c r="M172" s="3">
        <v>110884</v>
      </c>
      <c r="N172" s="3">
        <v>2696</v>
      </c>
      <c r="O172" s="3">
        <v>11836</v>
      </c>
      <c r="P172" s="3">
        <v>55258</v>
      </c>
      <c r="Q172" s="3">
        <v>167958</v>
      </c>
      <c r="R172" s="3">
        <v>164198</v>
      </c>
      <c r="S172" s="3">
        <v>164198</v>
      </c>
      <c r="T172" s="3">
        <v>37021</v>
      </c>
      <c r="U172" s="3">
        <v>37021</v>
      </c>
      <c r="V172" s="3">
        <v>37021</v>
      </c>
      <c r="W172" s="3">
        <v>37021</v>
      </c>
      <c r="X172" s="3">
        <v>36395</v>
      </c>
      <c r="Y172" s="3">
        <v>36395</v>
      </c>
      <c r="Z172" s="4">
        <v>36395</v>
      </c>
      <c r="AA172" s="4">
        <v>36395</v>
      </c>
      <c r="AB172" s="4">
        <v>36395</v>
      </c>
      <c r="AC172" s="4">
        <v>36394</v>
      </c>
      <c r="AD172" s="4">
        <v>37021</v>
      </c>
      <c r="AE172" s="4">
        <v>74042</v>
      </c>
      <c r="AF172" s="4">
        <v>111063</v>
      </c>
      <c r="AG172" s="4">
        <v>148084</v>
      </c>
      <c r="AH172" s="4">
        <v>184479</v>
      </c>
      <c r="AI172" s="4">
        <v>220874</v>
      </c>
      <c r="AJ172" s="4">
        <v>257269</v>
      </c>
      <c r="AK172" s="4">
        <v>293664</v>
      </c>
      <c r="AL172" s="4">
        <v>330059</v>
      </c>
      <c r="AM172" s="4">
        <v>366453</v>
      </c>
      <c r="AN172" s="153">
        <v>72995</v>
      </c>
    </row>
    <row r="173" spans="1:40" x14ac:dyDescent="0.2">
      <c r="A173" s="1">
        <v>2022</v>
      </c>
      <c r="B173" s="2" t="s">
        <v>194</v>
      </c>
      <c r="C173" s="2" t="s">
        <v>194</v>
      </c>
      <c r="D173" s="1" t="s">
        <v>544</v>
      </c>
      <c r="E173" s="3">
        <v>2599180</v>
      </c>
      <c r="F173" s="1">
        <v>663</v>
      </c>
      <c r="G173" s="3">
        <v>10323</v>
      </c>
      <c r="H173" s="1">
        <v>0</v>
      </c>
      <c r="I173" s="3">
        <v>2598517</v>
      </c>
      <c r="J173" s="3">
        <v>2588194</v>
      </c>
      <c r="K173" s="3">
        <v>2588194</v>
      </c>
      <c r="L173" s="3">
        <v>143877</v>
      </c>
      <c r="M173" s="3">
        <v>279509</v>
      </c>
      <c r="N173" s="3">
        <v>28521</v>
      </c>
      <c r="O173" s="3">
        <v>28177</v>
      </c>
      <c r="P173" s="3">
        <v>154253</v>
      </c>
      <c r="Q173" s="3">
        <v>1964180</v>
      </c>
      <c r="R173" s="3">
        <v>1953857</v>
      </c>
      <c r="S173" s="3">
        <v>1953857</v>
      </c>
      <c r="T173" s="3">
        <v>259852</v>
      </c>
      <c r="U173" s="3">
        <v>259852</v>
      </c>
      <c r="V173" s="3">
        <v>259852</v>
      </c>
      <c r="W173" s="3">
        <v>259852</v>
      </c>
      <c r="X173" s="3">
        <v>258131</v>
      </c>
      <c r="Y173" s="3">
        <v>258131</v>
      </c>
      <c r="Z173" s="4">
        <v>258131</v>
      </c>
      <c r="AA173" s="4">
        <v>258131</v>
      </c>
      <c r="AB173" s="4">
        <v>258131</v>
      </c>
      <c r="AC173" s="4">
        <v>258131</v>
      </c>
      <c r="AD173" s="4">
        <v>259852</v>
      </c>
      <c r="AE173" s="4">
        <v>519704</v>
      </c>
      <c r="AF173" s="4">
        <v>779556</v>
      </c>
      <c r="AG173" s="4">
        <v>1039408</v>
      </c>
      <c r="AH173" s="4">
        <v>1297539</v>
      </c>
      <c r="AI173" s="4">
        <v>1555670</v>
      </c>
      <c r="AJ173" s="4">
        <v>1813801</v>
      </c>
      <c r="AK173" s="4">
        <v>2071932</v>
      </c>
      <c r="AL173" s="4">
        <v>2330063</v>
      </c>
      <c r="AM173" s="4">
        <v>2588194</v>
      </c>
      <c r="AN173" s="153">
        <v>205672</v>
      </c>
    </row>
    <row r="174" spans="1:40" x14ac:dyDescent="0.2">
      <c r="A174" s="1">
        <v>2022</v>
      </c>
      <c r="B174" s="2" t="s">
        <v>195</v>
      </c>
      <c r="C174" s="2" t="s">
        <v>195</v>
      </c>
      <c r="D174" s="1" t="s">
        <v>545</v>
      </c>
      <c r="E174" s="3">
        <v>5038348</v>
      </c>
      <c r="F174" s="1">
        <v>464</v>
      </c>
      <c r="G174" s="3">
        <v>16050</v>
      </c>
      <c r="H174" s="1">
        <v>0</v>
      </c>
      <c r="I174" s="3">
        <v>5037884</v>
      </c>
      <c r="J174" s="3">
        <v>5021834</v>
      </c>
      <c r="K174" s="3">
        <v>5021834</v>
      </c>
      <c r="L174" s="3">
        <v>100714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4192792</v>
      </c>
      <c r="R174" s="3">
        <v>4176742</v>
      </c>
      <c r="S174" s="3">
        <v>4176742</v>
      </c>
      <c r="T174" s="3">
        <v>503788</v>
      </c>
      <c r="U174" s="3">
        <v>503788</v>
      </c>
      <c r="V174" s="3">
        <v>503788</v>
      </c>
      <c r="W174" s="3">
        <v>503788</v>
      </c>
      <c r="X174" s="3">
        <v>501114</v>
      </c>
      <c r="Y174" s="3">
        <v>501114</v>
      </c>
      <c r="Z174" s="4">
        <v>501114</v>
      </c>
      <c r="AA174" s="4">
        <v>501114</v>
      </c>
      <c r="AB174" s="4">
        <v>501114</v>
      </c>
      <c r="AC174" s="4">
        <v>501112</v>
      </c>
      <c r="AD174" s="4">
        <v>503788</v>
      </c>
      <c r="AE174" s="4">
        <v>1007576</v>
      </c>
      <c r="AF174" s="4">
        <v>1511364</v>
      </c>
      <c r="AG174" s="4">
        <v>2015152</v>
      </c>
      <c r="AH174" s="4">
        <v>2516266</v>
      </c>
      <c r="AI174" s="4">
        <v>3017380</v>
      </c>
      <c r="AJ174" s="4">
        <v>3518494</v>
      </c>
      <c r="AK174" s="4">
        <v>4019608</v>
      </c>
      <c r="AL174" s="4">
        <v>4520722</v>
      </c>
      <c r="AM174" s="4">
        <v>5021834</v>
      </c>
      <c r="AN174" s="153">
        <v>313853</v>
      </c>
    </row>
    <row r="175" spans="1:40" x14ac:dyDescent="0.2">
      <c r="A175" s="1">
        <v>2022</v>
      </c>
      <c r="B175" s="2" t="s">
        <v>196</v>
      </c>
      <c r="C175" s="2" t="s">
        <v>196</v>
      </c>
      <c r="D175" s="1" t="s">
        <v>546</v>
      </c>
      <c r="E175" s="3">
        <v>3093889</v>
      </c>
      <c r="F175" s="1">
        <v>398</v>
      </c>
      <c r="G175" s="3">
        <v>12972</v>
      </c>
      <c r="H175" s="1">
        <v>0</v>
      </c>
      <c r="I175" s="3">
        <v>3093491</v>
      </c>
      <c r="J175" s="3">
        <v>3080519</v>
      </c>
      <c r="K175" s="3">
        <v>3080519</v>
      </c>
      <c r="L175" s="3">
        <v>86326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2368791</v>
      </c>
      <c r="R175" s="3">
        <v>2355819</v>
      </c>
      <c r="S175" s="3">
        <v>2355819</v>
      </c>
      <c r="T175" s="3">
        <v>309349</v>
      </c>
      <c r="U175" s="3">
        <v>309349</v>
      </c>
      <c r="V175" s="3">
        <v>309349</v>
      </c>
      <c r="W175" s="3">
        <v>309349</v>
      </c>
      <c r="X175" s="3">
        <v>307187</v>
      </c>
      <c r="Y175" s="3">
        <v>307187</v>
      </c>
      <c r="Z175" s="4">
        <v>307187</v>
      </c>
      <c r="AA175" s="4">
        <v>307187</v>
      </c>
      <c r="AB175" s="4">
        <v>307187</v>
      </c>
      <c r="AC175" s="4">
        <v>307188</v>
      </c>
      <c r="AD175" s="4">
        <v>309349</v>
      </c>
      <c r="AE175" s="4">
        <v>618698</v>
      </c>
      <c r="AF175" s="4">
        <v>928047</v>
      </c>
      <c r="AG175" s="4">
        <v>1237396</v>
      </c>
      <c r="AH175" s="4">
        <v>1544583</v>
      </c>
      <c r="AI175" s="4">
        <v>1851770</v>
      </c>
      <c r="AJ175" s="4">
        <v>2158957</v>
      </c>
      <c r="AK175" s="4">
        <v>2466144</v>
      </c>
      <c r="AL175" s="4">
        <v>2773331</v>
      </c>
      <c r="AM175" s="4">
        <v>3080519</v>
      </c>
      <c r="AN175" s="153">
        <v>263351</v>
      </c>
    </row>
    <row r="176" spans="1:40" x14ac:dyDescent="0.2">
      <c r="A176" s="1">
        <v>2022</v>
      </c>
      <c r="B176" s="2" t="s">
        <v>197</v>
      </c>
      <c r="C176" s="2" t="s">
        <v>197</v>
      </c>
      <c r="D176" s="1" t="s">
        <v>547</v>
      </c>
      <c r="E176" s="3">
        <v>3191644</v>
      </c>
      <c r="F176" s="3">
        <v>597</v>
      </c>
      <c r="G176" s="3">
        <v>15487</v>
      </c>
      <c r="H176" s="1">
        <v>0</v>
      </c>
      <c r="I176" s="3">
        <v>3191047</v>
      </c>
      <c r="J176" s="3">
        <v>3175560</v>
      </c>
      <c r="K176" s="3">
        <v>3175560</v>
      </c>
      <c r="L176" s="3">
        <v>133013</v>
      </c>
      <c r="M176" s="3">
        <v>425423</v>
      </c>
      <c r="N176" s="3">
        <v>38096</v>
      </c>
      <c r="O176" s="3">
        <v>46279</v>
      </c>
      <c r="P176" s="3">
        <v>227594</v>
      </c>
      <c r="Q176" s="3">
        <v>2320642</v>
      </c>
      <c r="R176" s="3">
        <v>2305155</v>
      </c>
      <c r="S176" s="3">
        <v>2305155</v>
      </c>
      <c r="T176" s="3">
        <v>319105</v>
      </c>
      <c r="U176" s="3">
        <v>319105</v>
      </c>
      <c r="V176" s="3">
        <v>319105</v>
      </c>
      <c r="W176" s="3">
        <v>319105</v>
      </c>
      <c r="X176" s="3">
        <v>316523</v>
      </c>
      <c r="Y176" s="3">
        <v>316523</v>
      </c>
      <c r="Z176" s="4">
        <v>316524</v>
      </c>
      <c r="AA176" s="4">
        <v>316524</v>
      </c>
      <c r="AB176" s="4">
        <v>316524</v>
      </c>
      <c r="AC176" s="4">
        <v>316522</v>
      </c>
      <c r="AD176" s="4">
        <v>319105</v>
      </c>
      <c r="AE176" s="4">
        <v>638210</v>
      </c>
      <c r="AF176" s="4">
        <v>957315</v>
      </c>
      <c r="AG176" s="4">
        <v>1276420</v>
      </c>
      <c r="AH176" s="4">
        <v>1592943</v>
      </c>
      <c r="AI176" s="4">
        <v>1909466</v>
      </c>
      <c r="AJ176" s="4">
        <v>2225990</v>
      </c>
      <c r="AK176" s="4">
        <v>2542514</v>
      </c>
      <c r="AL176" s="4">
        <v>2859038</v>
      </c>
      <c r="AM176" s="4">
        <v>3175560</v>
      </c>
      <c r="AN176" s="153">
        <v>310541</v>
      </c>
    </row>
    <row r="177" spans="1:40" x14ac:dyDescent="0.2">
      <c r="A177" s="1">
        <v>2022</v>
      </c>
      <c r="B177" s="2" t="s">
        <v>198</v>
      </c>
      <c r="C177" s="2" t="s">
        <v>198</v>
      </c>
      <c r="D177" s="1" t="s">
        <v>548</v>
      </c>
      <c r="E177" s="3">
        <v>2991485</v>
      </c>
      <c r="F177" s="3">
        <v>381</v>
      </c>
      <c r="G177" s="3">
        <v>14233</v>
      </c>
      <c r="H177" s="1">
        <v>0</v>
      </c>
      <c r="I177" s="3">
        <v>2991104</v>
      </c>
      <c r="J177" s="3">
        <v>2976871</v>
      </c>
      <c r="K177" s="3">
        <v>2976871</v>
      </c>
      <c r="L177" s="3">
        <v>82730</v>
      </c>
      <c r="M177" s="3">
        <v>378317</v>
      </c>
      <c r="N177" s="3">
        <v>38271</v>
      </c>
      <c r="O177" s="3">
        <v>39841</v>
      </c>
      <c r="P177" s="3">
        <v>209163</v>
      </c>
      <c r="Q177" s="3">
        <v>2242782</v>
      </c>
      <c r="R177" s="3">
        <v>2228549</v>
      </c>
      <c r="S177" s="3">
        <v>2228549</v>
      </c>
      <c r="T177" s="3">
        <v>299110</v>
      </c>
      <c r="U177" s="3">
        <v>299110</v>
      </c>
      <c r="V177" s="3">
        <v>299110</v>
      </c>
      <c r="W177" s="3">
        <v>299110</v>
      </c>
      <c r="X177" s="3">
        <v>296739</v>
      </c>
      <c r="Y177" s="3">
        <v>296739</v>
      </c>
      <c r="Z177" s="4">
        <v>296738</v>
      </c>
      <c r="AA177" s="4">
        <v>296738</v>
      </c>
      <c r="AB177" s="4">
        <v>296738</v>
      </c>
      <c r="AC177" s="4">
        <v>296739</v>
      </c>
      <c r="AD177" s="4">
        <v>299110</v>
      </c>
      <c r="AE177" s="4">
        <v>598220</v>
      </c>
      <c r="AF177" s="4">
        <v>897330</v>
      </c>
      <c r="AG177" s="4">
        <v>1196440</v>
      </c>
      <c r="AH177" s="4">
        <v>1493179</v>
      </c>
      <c r="AI177" s="4">
        <v>1789918</v>
      </c>
      <c r="AJ177" s="4">
        <v>2086656</v>
      </c>
      <c r="AK177" s="4">
        <v>2383394</v>
      </c>
      <c r="AL177" s="4">
        <v>2680132</v>
      </c>
      <c r="AM177" s="4">
        <v>2976871</v>
      </c>
      <c r="AN177" s="153">
        <v>296198</v>
      </c>
    </row>
    <row r="178" spans="1:40" x14ac:dyDescent="0.2">
      <c r="A178" s="1">
        <v>2022</v>
      </c>
      <c r="B178" s="2" t="s">
        <v>199</v>
      </c>
      <c r="C178" s="2" t="s">
        <v>199</v>
      </c>
      <c r="D178" s="1" t="s">
        <v>549</v>
      </c>
      <c r="E178" s="3">
        <v>9550179</v>
      </c>
      <c r="F178" s="3">
        <v>1244</v>
      </c>
      <c r="G178" s="3">
        <v>29937</v>
      </c>
      <c r="H178" s="1">
        <v>0</v>
      </c>
      <c r="I178" s="3">
        <v>9548935</v>
      </c>
      <c r="J178" s="3">
        <v>9518998</v>
      </c>
      <c r="K178" s="3">
        <v>9518998</v>
      </c>
      <c r="L178" s="3">
        <v>269769</v>
      </c>
      <c r="M178" s="3">
        <v>821098</v>
      </c>
      <c r="N178" s="3">
        <v>98694</v>
      </c>
      <c r="O178" s="3">
        <v>95770</v>
      </c>
      <c r="P178" s="3">
        <v>439933</v>
      </c>
      <c r="Q178" s="3">
        <v>7823671</v>
      </c>
      <c r="R178" s="3">
        <v>7793734</v>
      </c>
      <c r="S178" s="3">
        <v>7793734</v>
      </c>
      <c r="T178" s="3">
        <v>954894</v>
      </c>
      <c r="U178" s="3">
        <v>954894</v>
      </c>
      <c r="V178" s="3">
        <v>954894</v>
      </c>
      <c r="W178" s="3">
        <v>954894</v>
      </c>
      <c r="X178" s="3">
        <v>949904</v>
      </c>
      <c r="Y178" s="3">
        <v>949904</v>
      </c>
      <c r="Z178" s="4">
        <v>949904</v>
      </c>
      <c r="AA178" s="4">
        <v>949904</v>
      </c>
      <c r="AB178" s="4">
        <v>949904</v>
      </c>
      <c r="AC178" s="4">
        <v>949902</v>
      </c>
      <c r="AD178" s="4">
        <v>954894</v>
      </c>
      <c r="AE178" s="4">
        <v>1909788</v>
      </c>
      <c r="AF178" s="4">
        <v>2864682</v>
      </c>
      <c r="AG178" s="4">
        <v>3819576</v>
      </c>
      <c r="AH178" s="4">
        <v>4769480</v>
      </c>
      <c r="AI178" s="4">
        <v>5719384</v>
      </c>
      <c r="AJ178" s="4">
        <v>6669288</v>
      </c>
      <c r="AK178" s="4">
        <v>7619192</v>
      </c>
      <c r="AL178" s="4">
        <v>8569096</v>
      </c>
      <c r="AM178" s="4">
        <v>9518998</v>
      </c>
      <c r="AN178" s="153">
        <v>649539</v>
      </c>
    </row>
    <row r="179" spans="1:40" x14ac:dyDescent="0.2">
      <c r="A179" s="1">
        <v>2022</v>
      </c>
      <c r="B179" s="2" t="s">
        <v>200</v>
      </c>
      <c r="C179" s="2" t="s">
        <v>200</v>
      </c>
      <c r="D179" s="1" t="s">
        <v>550</v>
      </c>
      <c r="E179" s="3">
        <v>3576183</v>
      </c>
      <c r="F179" s="3">
        <v>663</v>
      </c>
      <c r="G179" s="3">
        <v>16072</v>
      </c>
      <c r="H179" s="3">
        <v>0</v>
      </c>
      <c r="I179" s="3">
        <v>3575520</v>
      </c>
      <c r="J179" s="3">
        <v>3559448</v>
      </c>
      <c r="K179" s="3">
        <v>3559448</v>
      </c>
      <c r="L179" s="3">
        <v>143877</v>
      </c>
      <c r="M179" s="3">
        <v>428234</v>
      </c>
      <c r="N179" s="3">
        <v>46435</v>
      </c>
      <c r="O179" s="3">
        <v>47301</v>
      </c>
      <c r="P179" s="3">
        <v>236181</v>
      </c>
      <c r="Q179" s="3">
        <v>2673492</v>
      </c>
      <c r="R179" s="3">
        <v>2657420</v>
      </c>
      <c r="S179" s="3">
        <v>2657420</v>
      </c>
      <c r="T179" s="3">
        <v>357552</v>
      </c>
      <c r="U179" s="3">
        <v>357552</v>
      </c>
      <c r="V179" s="3">
        <v>357552</v>
      </c>
      <c r="W179" s="3">
        <v>357552</v>
      </c>
      <c r="X179" s="3">
        <v>354873</v>
      </c>
      <c r="Y179" s="3">
        <v>354873</v>
      </c>
      <c r="Z179" s="4">
        <v>354874</v>
      </c>
      <c r="AA179" s="4">
        <v>354874</v>
      </c>
      <c r="AB179" s="4">
        <v>354874</v>
      </c>
      <c r="AC179" s="4">
        <v>354872</v>
      </c>
      <c r="AD179" s="4">
        <v>357552</v>
      </c>
      <c r="AE179" s="4">
        <v>715104</v>
      </c>
      <c r="AF179" s="4">
        <v>1072656</v>
      </c>
      <c r="AG179" s="4">
        <v>1430208</v>
      </c>
      <c r="AH179" s="4">
        <v>1785081</v>
      </c>
      <c r="AI179" s="4">
        <v>2139954</v>
      </c>
      <c r="AJ179" s="4">
        <v>2494828</v>
      </c>
      <c r="AK179" s="4">
        <v>2849702</v>
      </c>
      <c r="AL179" s="4">
        <v>3204576</v>
      </c>
      <c r="AM179" s="4">
        <v>3559448</v>
      </c>
      <c r="AN179" s="153">
        <v>311666</v>
      </c>
    </row>
    <row r="180" spans="1:40" x14ac:dyDescent="0.2">
      <c r="A180" s="1">
        <v>2022</v>
      </c>
      <c r="B180" s="2" t="s">
        <v>201</v>
      </c>
      <c r="C180" s="2" t="s">
        <v>201</v>
      </c>
      <c r="D180" s="1" t="s">
        <v>551</v>
      </c>
      <c r="E180" s="3">
        <v>1818965</v>
      </c>
      <c r="F180" s="1">
        <v>299</v>
      </c>
      <c r="G180" s="3">
        <v>10359</v>
      </c>
      <c r="H180" s="1">
        <v>0</v>
      </c>
      <c r="I180" s="3">
        <v>1818666</v>
      </c>
      <c r="J180" s="3">
        <v>1808307</v>
      </c>
      <c r="K180" s="3">
        <v>1808307</v>
      </c>
      <c r="L180" s="3">
        <v>64744</v>
      </c>
      <c r="M180" s="3">
        <v>287167</v>
      </c>
      <c r="N180" s="3">
        <v>24177</v>
      </c>
      <c r="O180" s="3">
        <v>30501</v>
      </c>
      <c r="P180" s="3">
        <v>152229</v>
      </c>
      <c r="Q180" s="3">
        <v>1259848</v>
      </c>
      <c r="R180" s="3">
        <v>1249489</v>
      </c>
      <c r="S180" s="3">
        <v>1249489</v>
      </c>
      <c r="T180" s="3">
        <v>181867</v>
      </c>
      <c r="U180" s="3">
        <v>181867</v>
      </c>
      <c r="V180" s="3">
        <v>181867</v>
      </c>
      <c r="W180" s="3">
        <v>181867</v>
      </c>
      <c r="X180" s="3">
        <v>180140</v>
      </c>
      <c r="Y180" s="3">
        <v>180140</v>
      </c>
      <c r="Z180" s="4">
        <v>180140</v>
      </c>
      <c r="AA180" s="4">
        <v>180140</v>
      </c>
      <c r="AB180" s="4">
        <v>180140</v>
      </c>
      <c r="AC180" s="4">
        <v>180139</v>
      </c>
      <c r="AD180" s="4">
        <v>181867</v>
      </c>
      <c r="AE180" s="4">
        <v>363734</v>
      </c>
      <c r="AF180" s="4">
        <v>545601</v>
      </c>
      <c r="AG180" s="4">
        <v>727468</v>
      </c>
      <c r="AH180" s="4">
        <v>907608</v>
      </c>
      <c r="AI180" s="4">
        <v>1087748</v>
      </c>
      <c r="AJ180" s="4">
        <v>1267888</v>
      </c>
      <c r="AK180" s="4">
        <v>1448028</v>
      </c>
      <c r="AL180" s="4">
        <v>1628168</v>
      </c>
      <c r="AM180" s="4">
        <v>1808307</v>
      </c>
      <c r="AN180" s="153">
        <v>203313</v>
      </c>
    </row>
    <row r="181" spans="1:40" x14ac:dyDescent="0.2">
      <c r="A181" s="1">
        <v>2022</v>
      </c>
      <c r="B181" s="2" t="s">
        <v>202</v>
      </c>
      <c r="C181" s="2" t="s">
        <v>202</v>
      </c>
      <c r="D181" s="1" t="s">
        <v>552</v>
      </c>
      <c r="E181" s="3">
        <v>14164962</v>
      </c>
      <c r="F181" s="3">
        <v>1576</v>
      </c>
      <c r="G181" s="3">
        <v>45419</v>
      </c>
      <c r="H181" s="1">
        <v>0</v>
      </c>
      <c r="I181" s="3">
        <v>14163386</v>
      </c>
      <c r="J181" s="3">
        <v>14117967</v>
      </c>
      <c r="K181" s="3">
        <v>14117967</v>
      </c>
      <c r="L181" s="3">
        <v>341707</v>
      </c>
      <c r="M181" s="3">
        <v>1222903</v>
      </c>
      <c r="N181" s="3">
        <v>149890</v>
      </c>
      <c r="O181" s="3">
        <v>146543</v>
      </c>
      <c r="P181" s="3">
        <v>667457</v>
      </c>
      <c r="Q181" s="3">
        <v>11634886</v>
      </c>
      <c r="R181" s="3">
        <v>11589467</v>
      </c>
      <c r="S181" s="3">
        <v>11589467</v>
      </c>
      <c r="T181" s="3">
        <v>1416339</v>
      </c>
      <c r="U181" s="3">
        <v>1416339</v>
      </c>
      <c r="V181" s="3">
        <v>1416339</v>
      </c>
      <c r="W181" s="3">
        <v>1416339</v>
      </c>
      <c r="X181" s="3">
        <v>1408769</v>
      </c>
      <c r="Y181" s="3">
        <v>1408769</v>
      </c>
      <c r="Z181" s="4">
        <v>1408768</v>
      </c>
      <c r="AA181" s="4">
        <v>1408768</v>
      </c>
      <c r="AB181" s="4">
        <v>1408768</v>
      </c>
      <c r="AC181" s="4">
        <v>1408769</v>
      </c>
      <c r="AD181" s="4">
        <v>1416339</v>
      </c>
      <c r="AE181" s="4">
        <v>2832678</v>
      </c>
      <c r="AF181" s="4">
        <v>4249017</v>
      </c>
      <c r="AG181" s="4">
        <v>5665356</v>
      </c>
      <c r="AH181" s="4">
        <v>7074125</v>
      </c>
      <c r="AI181" s="4">
        <v>8482894</v>
      </c>
      <c r="AJ181" s="4">
        <v>9891662</v>
      </c>
      <c r="AK181" s="4">
        <v>11300430</v>
      </c>
      <c r="AL181" s="4">
        <v>12709198</v>
      </c>
      <c r="AM181" s="4">
        <v>14117967</v>
      </c>
      <c r="AN181" s="153">
        <v>923715</v>
      </c>
    </row>
    <row r="182" spans="1:40" x14ac:dyDescent="0.2">
      <c r="A182" s="1">
        <v>2022</v>
      </c>
      <c r="B182" s="2" t="s">
        <v>203</v>
      </c>
      <c r="C182" s="2" t="s">
        <v>203</v>
      </c>
      <c r="D182" s="1" t="s">
        <v>553</v>
      </c>
      <c r="E182" s="3">
        <v>42277034</v>
      </c>
      <c r="F182" s="3">
        <v>3732</v>
      </c>
      <c r="G182" s="3">
        <v>126661</v>
      </c>
      <c r="H182" s="1">
        <v>0</v>
      </c>
      <c r="I182" s="3">
        <v>42273302</v>
      </c>
      <c r="J182" s="3">
        <v>42146641</v>
      </c>
      <c r="K182" s="3">
        <v>42146641</v>
      </c>
      <c r="L182" s="3">
        <v>809306</v>
      </c>
      <c r="M182" s="3">
        <v>3208498</v>
      </c>
      <c r="N182" s="3">
        <v>491158</v>
      </c>
      <c r="O182" s="3">
        <v>359557</v>
      </c>
      <c r="P182" s="3">
        <v>1861346</v>
      </c>
      <c r="Q182" s="3">
        <v>35543437</v>
      </c>
      <c r="R182" s="3">
        <v>35416776</v>
      </c>
      <c r="S182" s="3">
        <v>35416776</v>
      </c>
      <c r="T182" s="3">
        <v>4227330</v>
      </c>
      <c r="U182" s="3">
        <v>4227330</v>
      </c>
      <c r="V182" s="3">
        <v>4227330</v>
      </c>
      <c r="W182" s="3">
        <v>4227330</v>
      </c>
      <c r="X182" s="3">
        <v>4206220</v>
      </c>
      <c r="Y182" s="3">
        <v>4206220</v>
      </c>
      <c r="Z182" s="4">
        <v>4206220</v>
      </c>
      <c r="AA182" s="4">
        <v>4206220</v>
      </c>
      <c r="AB182" s="4">
        <v>4206220</v>
      </c>
      <c r="AC182" s="4">
        <v>4206221</v>
      </c>
      <c r="AD182" s="4">
        <v>4227330</v>
      </c>
      <c r="AE182" s="4">
        <v>8454660</v>
      </c>
      <c r="AF182" s="4">
        <v>12681990</v>
      </c>
      <c r="AG182" s="4">
        <v>16909320</v>
      </c>
      <c r="AH182" s="4">
        <v>21115540</v>
      </c>
      <c r="AI182" s="4">
        <v>25321760</v>
      </c>
      <c r="AJ182" s="4">
        <v>29527980</v>
      </c>
      <c r="AK182" s="4">
        <v>33734200</v>
      </c>
      <c r="AL182" s="4">
        <v>37940420</v>
      </c>
      <c r="AM182" s="4">
        <v>42146641</v>
      </c>
      <c r="AN182" s="153">
        <v>2664318</v>
      </c>
    </row>
    <row r="183" spans="1:40" x14ac:dyDescent="0.2">
      <c r="A183" s="1">
        <v>2022</v>
      </c>
      <c r="B183" s="2" t="s">
        <v>204</v>
      </c>
      <c r="C183" s="2" t="s">
        <v>204</v>
      </c>
      <c r="D183" s="1" t="s">
        <v>554</v>
      </c>
      <c r="E183" s="3">
        <v>3176184</v>
      </c>
      <c r="F183" s="3">
        <v>381</v>
      </c>
      <c r="G183" s="3">
        <v>12240</v>
      </c>
      <c r="H183" s="1">
        <v>0</v>
      </c>
      <c r="I183" s="3">
        <v>3175803</v>
      </c>
      <c r="J183" s="3">
        <v>3163563</v>
      </c>
      <c r="K183" s="3">
        <v>3163563</v>
      </c>
      <c r="L183" s="3">
        <v>82730</v>
      </c>
      <c r="M183" s="3">
        <v>318430</v>
      </c>
      <c r="N183" s="3">
        <v>34968</v>
      </c>
      <c r="O183" s="3">
        <v>30908</v>
      </c>
      <c r="P183" s="3">
        <v>179876</v>
      </c>
      <c r="Q183" s="3">
        <v>2528891</v>
      </c>
      <c r="R183" s="3">
        <v>2516651</v>
      </c>
      <c r="S183" s="3">
        <v>2516651</v>
      </c>
      <c r="T183" s="3">
        <v>317580</v>
      </c>
      <c r="U183" s="3">
        <v>317580</v>
      </c>
      <c r="V183" s="3">
        <v>317580</v>
      </c>
      <c r="W183" s="3">
        <v>317580</v>
      </c>
      <c r="X183" s="3">
        <v>315541</v>
      </c>
      <c r="Y183" s="3">
        <v>315541</v>
      </c>
      <c r="Z183" s="4">
        <v>315540</v>
      </c>
      <c r="AA183" s="4">
        <v>315540</v>
      </c>
      <c r="AB183" s="4">
        <v>315540</v>
      </c>
      <c r="AC183" s="4">
        <v>315541</v>
      </c>
      <c r="AD183" s="4">
        <v>317580</v>
      </c>
      <c r="AE183" s="4">
        <v>635160</v>
      </c>
      <c r="AF183" s="4">
        <v>952740</v>
      </c>
      <c r="AG183" s="4">
        <v>1270320</v>
      </c>
      <c r="AH183" s="4">
        <v>1585861</v>
      </c>
      <c r="AI183" s="4">
        <v>1901402</v>
      </c>
      <c r="AJ183" s="4">
        <v>2216942</v>
      </c>
      <c r="AK183" s="4">
        <v>2532482</v>
      </c>
      <c r="AL183" s="4">
        <v>2848022</v>
      </c>
      <c r="AM183" s="4">
        <v>3163563</v>
      </c>
      <c r="AN183" s="153">
        <v>233268</v>
      </c>
    </row>
    <row r="184" spans="1:40" x14ac:dyDescent="0.2">
      <c r="A184" s="1">
        <v>2022</v>
      </c>
      <c r="B184" s="2" t="s">
        <v>205</v>
      </c>
      <c r="C184" s="2" t="s">
        <v>205</v>
      </c>
      <c r="D184" s="1" t="s">
        <v>555</v>
      </c>
      <c r="E184" s="3">
        <v>23080152</v>
      </c>
      <c r="F184" s="3">
        <v>2222</v>
      </c>
      <c r="G184" s="3">
        <v>82992</v>
      </c>
      <c r="H184" s="1">
        <v>0</v>
      </c>
      <c r="I184" s="3">
        <v>23077930</v>
      </c>
      <c r="J184" s="3">
        <v>22994938</v>
      </c>
      <c r="K184" s="3">
        <v>22994938</v>
      </c>
      <c r="L184" s="3">
        <v>481987</v>
      </c>
      <c r="M184" s="3">
        <v>2148373</v>
      </c>
      <c r="N184" s="3">
        <v>287685</v>
      </c>
      <c r="O184" s="3">
        <v>254556</v>
      </c>
      <c r="P184" s="3">
        <v>1235590</v>
      </c>
      <c r="Q184" s="3">
        <v>18669739</v>
      </c>
      <c r="R184" s="3">
        <v>18586747</v>
      </c>
      <c r="S184" s="3">
        <v>18586747</v>
      </c>
      <c r="T184" s="3">
        <v>2307793</v>
      </c>
      <c r="U184" s="3">
        <v>2307793</v>
      </c>
      <c r="V184" s="3">
        <v>2307793</v>
      </c>
      <c r="W184" s="3">
        <v>2307793</v>
      </c>
      <c r="X184" s="3">
        <v>2293961</v>
      </c>
      <c r="Y184" s="3">
        <v>2293961</v>
      </c>
      <c r="Z184" s="4">
        <v>2293961</v>
      </c>
      <c r="AA184" s="4">
        <v>2293961</v>
      </c>
      <c r="AB184" s="4">
        <v>2293961</v>
      </c>
      <c r="AC184" s="4">
        <v>2293961</v>
      </c>
      <c r="AD184" s="4">
        <v>2307793</v>
      </c>
      <c r="AE184" s="4">
        <v>4615586</v>
      </c>
      <c r="AF184" s="4">
        <v>6923379</v>
      </c>
      <c r="AG184" s="4">
        <v>9231172</v>
      </c>
      <c r="AH184" s="4">
        <v>11525133</v>
      </c>
      <c r="AI184" s="4">
        <v>13819094</v>
      </c>
      <c r="AJ184" s="4">
        <v>16113055</v>
      </c>
      <c r="AK184" s="4">
        <v>18407016</v>
      </c>
      <c r="AL184" s="4">
        <v>20700977</v>
      </c>
      <c r="AM184" s="4">
        <v>22994938</v>
      </c>
      <c r="AN184" s="153">
        <v>1817567</v>
      </c>
    </row>
    <row r="185" spans="1:40" x14ac:dyDescent="0.2">
      <c r="A185" s="1">
        <v>2022</v>
      </c>
      <c r="B185" s="2" t="s">
        <v>206</v>
      </c>
      <c r="C185" s="2" t="s">
        <v>206</v>
      </c>
      <c r="D185" s="1" t="s">
        <v>556</v>
      </c>
      <c r="E185" s="3">
        <v>8800092</v>
      </c>
      <c r="F185" s="3">
        <v>912</v>
      </c>
      <c r="G185" s="3">
        <v>35583</v>
      </c>
      <c r="H185" s="1">
        <v>0</v>
      </c>
      <c r="I185" s="3">
        <v>8799180</v>
      </c>
      <c r="J185" s="3">
        <v>8763597</v>
      </c>
      <c r="K185" s="3">
        <v>8763597</v>
      </c>
      <c r="L185" s="3">
        <v>197831</v>
      </c>
      <c r="M185" s="3">
        <v>915293</v>
      </c>
      <c r="N185" s="3">
        <v>105984</v>
      </c>
      <c r="O185" s="3">
        <v>109069</v>
      </c>
      <c r="P185" s="3">
        <v>522907</v>
      </c>
      <c r="Q185" s="3">
        <v>6948096</v>
      </c>
      <c r="R185" s="3">
        <v>6912513</v>
      </c>
      <c r="S185" s="3">
        <v>6912513</v>
      </c>
      <c r="T185" s="3">
        <v>879918</v>
      </c>
      <c r="U185" s="3">
        <v>879918</v>
      </c>
      <c r="V185" s="3">
        <v>879918</v>
      </c>
      <c r="W185" s="3">
        <v>879918</v>
      </c>
      <c r="X185" s="3">
        <v>873988</v>
      </c>
      <c r="Y185" s="3">
        <v>873988</v>
      </c>
      <c r="Z185" s="4">
        <v>873987</v>
      </c>
      <c r="AA185" s="4">
        <v>873987</v>
      </c>
      <c r="AB185" s="4">
        <v>873987</v>
      </c>
      <c r="AC185" s="4">
        <v>873988</v>
      </c>
      <c r="AD185" s="4">
        <v>879918</v>
      </c>
      <c r="AE185" s="4">
        <v>1759836</v>
      </c>
      <c r="AF185" s="4">
        <v>2639754</v>
      </c>
      <c r="AG185" s="4">
        <v>3519672</v>
      </c>
      <c r="AH185" s="4">
        <v>4393660</v>
      </c>
      <c r="AI185" s="4">
        <v>5267648</v>
      </c>
      <c r="AJ185" s="4">
        <v>6141635</v>
      </c>
      <c r="AK185" s="4">
        <v>7015622</v>
      </c>
      <c r="AL185" s="4">
        <v>7889609</v>
      </c>
      <c r="AM185" s="4">
        <v>8763597</v>
      </c>
      <c r="AN185" s="153">
        <v>794345</v>
      </c>
    </row>
    <row r="186" spans="1:40" x14ac:dyDescent="0.2">
      <c r="A186" s="1">
        <v>2022</v>
      </c>
      <c r="B186" s="2" t="s">
        <v>207</v>
      </c>
      <c r="C186" s="2" t="s">
        <v>207</v>
      </c>
      <c r="D186" s="1" t="s">
        <v>557</v>
      </c>
      <c r="E186" s="3">
        <v>4720796</v>
      </c>
      <c r="F186" s="3">
        <v>0</v>
      </c>
      <c r="G186" s="3">
        <v>19561</v>
      </c>
      <c r="H186" s="3">
        <v>0</v>
      </c>
      <c r="I186" s="3">
        <v>4720796</v>
      </c>
      <c r="J186" s="3">
        <v>4701235</v>
      </c>
      <c r="K186" s="3">
        <v>4701235</v>
      </c>
      <c r="L186" s="3">
        <v>0</v>
      </c>
      <c r="M186" s="3">
        <v>517290</v>
      </c>
      <c r="N186" s="3">
        <v>54417</v>
      </c>
      <c r="O186" s="3">
        <v>51411</v>
      </c>
      <c r="P186" s="3">
        <v>287459</v>
      </c>
      <c r="Q186" s="3">
        <v>3810219</v>
      </c>
      <c r="R186" s="3">
        <v>3790658</v>
      </c>
      <c r="S186" s="3">
        <v>3790658</v>
      </c>
      <c r="T186" s="3">
        <v>472080</v>
      </c>
      <c r="U186" s="3">
        <v>472080</v>
      </c>
      <c r="V186" s="3">
        <v>472080</v>
      </c>
      <c r="W186" s="3">
        <v>472080</v>
      </c>
      <c r="X186" s="3">
        <v>468819</v>
      </c>
      <c r="Y186" s="3">
        <v>468819</v>
      </c>
      <c r="Z186" s="4">
        <v>468819</v>
      </c>
      <c r="AA186" s="4">
        <v>468819</v>
      </c>
      <c r="AB186" s="4">
        <v>468819</v>
      </c>
      <c r="AC186" s="4">
        <v>468820</v>
      </c>
      <c r="AD186" s="4">
        <v>472080</v>
      </c>
      <c r="AE186" s="4">
        <v>944160</v>
      </c>
      <c r="AF186" s="4">
        <v>1416240</v>
      </c>
      <c r="AG186" s="4">
        <v>1888320</v>
      </c>
      <c r="AH186" s="4">
        <v>2357139</v>
      </c>
      <c r="AI186" s="4">
        <v>2825958</v>
      </c>
      <c r="AJ186" s="4">
        <v>3294777</v>
      </c>
      <c r="AK186" s="4">
        <v>3763596</v>
      </c>
      <c r="AL186" s="4">
        <v>4232415</v>
      </c>
      <c r="AM186" s="4">
        <v>4701235</v>
      </c>
      <c r="AN186" s="153">
        <v>376970</v>
      </c>
    </row>
    <row r="187" spans="1:40" x14ac:dyDescent="0.2">
      <c r="A187" s="1">
        <v>2022</v>
      </c>
      <c r="B187" s="2" t="s">
        <v>208</v>
      </c>
      <c r="C187" s="2" t="s">
        <v>208</v>
      </c>
      <c r="D187" s="1" t="s">
        <v>558</v>
      </c>
      <c r="E187" s="3">
        <v>2588956</v>
      </c>
      <c r="F187" s="3">
        <v>381</v>
      </c>
      <c r="G187" s="3">
        <v>7791</v>
      </c>
      <c r="H187" s="3">
        <v>156466</v>
      </c>
      <c r="I187" s="3">
        <v>2588575</v>
      </c>
      <c r="J187" s="3">
        <v>2580784</v>
      </c>
      <c r="K187" s="3">
        <v>2424318</v>
      </c>
      <c r="L187" s="3">
        <v>82730</v>
      </c>
      <c r="M187" s="3">
        <v>232955</v>
      </c>
      <c r="N187" s="3">
        <v>28743</v>
      </c>
      <c r="O187" s="3">
        <v>24269</v>
      </c>
      <c r="P187" s="3">
        <v>114495</v>
      </c>
      <c r="Q187" s="3">
        <v>2105383</v>
      </c>
      <c r="R187" s="3">
        <v>2097592</v>
      </c>
      <c r="S187" s="3">
        <v>1941126</v>
      </c>
      <c r="T187" s="3">
        <v>258858</v>
      </c>
      <c r="U187" s="3">
        <v>258858</v>
      </c>
      <c r="V187" s="3">
        <v>258858</v>
      </c>
      <c r="W187" s="3">
        <v>258858</v>
      </c>
      <c r="X187" s="3">
        <v>257559</v>
      </c>
      <c r="Y187" s="3">
        <v>257559</v>
      </c>
      <c r="Z187" s="4">
        <v>218442</v>
      </c>
      <c r="AA187" s="4">
        <v>218442</v>
      </c>
      <c r="AB187" s="4">
        <v>218442</v>
      </c>
      <c r="AC187" s="4">
        <v>218442</v>
      </c>
      <c r="AD187" s="4">
        <v>258858</v>
      </c>
      <c r="AE187" s="4">
        <v>517716</v>
      </c>
      <c r="AF187" s="4">
        <v>776574</v>
      </c>
      <c r="AG187" s="4">
        <v>1035432</v>
      </c>
      <c r="AH187" s="4">
        <v>1292991</v>
      </c>
      <c r="AI187" s="4">
        <v>1550550</v>
      </c>
      <c r="AJ187" s="4">
        <v>1768992</v>
      </c>
      <c r="AK187" s="4">
        <v>1987434</v>
      </c>
      <c r="AL187" s="4">
        <v>2205876</v>
      </c>
      <c r="AM187" s="4">
        <v>2424318</v>
      </c>
      <c r="AN187" s="153">
        <v>147602</v>
      </c>
    </row>
    <row r="188" spans="1:40" x14ac:dyDescent="0.2">
      <c r="A188" s="1">
        <v>2022</v>
      </c>
      <c r="B188" s="2" t="s">
        <v>209</v>
      </c>
      <c r="C188" s="2" t="s">
        <v>209</v>
      </c>
      <c r="D188" s="1" t="s">
        <v>559</v>
      </c>
      <c r="E188" s="3">
        <v>2994171</v>
      </c>
      <c r="F188" s="3">
        <v>365</v>
      </c>
      <c r="G188" s="3">
        <v>12159</v>
      </c>
      <c r="H188" s="3">
        <v>0</v>
      </c>
      <c r="I188" s="3">
        <v>2993806</v>
      </c>
      <c r="J188" s="3">
        <v>2981647</v>
      </c>
      <c r="K188" s="3">
        <v>2981647</v>
      </c>
      <c r="L188" s="3">
        <v>79132</v>
      </c>
      <c r="M188" s="3">
        <v>341140</v>
      </c>
      <c r="N188" s="3">
        <v>36345</v>
      </c>
      <c r="O188" s="3">
        <v>34210</v>
      </c>
      <c r="P188" s="3">
        <v>178689</v>
      </c>
      <c r="Q188" s="3">
        <v>2324290</v>
      </c>
      <c r="R188" s="3">
        <v>2312131</v>
      </c>
      <c r="S188" s="3">
        <v>2312131</v>
      </c>
      <c r="T188" s="3">
        <v>299381</v>
      </c>
      <c r="U188" s="3">
        <v>299381</v>
      </c>
      <c r="V188" s="3">
        <v>299381</v>
      </c>
      <c r="W188" s="3">
        <v>299381</v>
      </c>
      <c r="X188" s="3">
        <v>297354</v>
      </c>
      <c r="Y188" s="3">
        <v>297354</v>
      </c>
      <c r="Z188" s="4">
        <v>297354</v>
      </c>
      <c r="AA188" s="4">
        <v>297354</v>
      </c>
      <c r="AB188" s="4">
        <v>297354</v>
      </c>
      <c r="AC188" s="4">
        <v>297353</v>
      </c>
      <c r="AD188" s="4">
        <v>299381</v>
      </c>
      <c r="AE188" s="4">
        <v>598762</v>
      </c>
      <c r="AF188" s="4">
        <v>898143</v>
      </c>
      <c r="AG188" s="4">
        <v>1197524</v>
      </c>
      <c r="AH188" s="4">
        <v>1494878</v>
      </c>
      <c r="AI188" s="4">
        <v>1792232</v>
      </c>
      <c r="AJ188" s="4">
        <v>2089586</v>
      </c>
      <c r="AK188" s="4">
        <v>2386940</v>
      </c>
      <c r="AL188" s="4">
        <v>2684294</v>
      </c>
      <c r="AM188" s="4">
        <v>2981647</v>
      </c>
      <c r="AN188" s="153">
        <v>233327</v>
      </c>
    </row>
    <row r="189" spans="1:40" x14ac:dyDescent="0.2">
      <c r="A189" s="1">
        <v>2022</v>
      </c>
      <c r="B189" s="2" t="s">
        <v>210</v>
      </c>
      <c r="C189" s="2" t="s">
        <v>210</v>
      </c>
      <c r="D189" s="1" t="s">
        <v>560</v>
      </c>
      <c r="E189" s="3">
        <v>8147189</v>
      </c>
      <c r="F189" s="3">
        <v>1045</v>
      </c>
      <c r="G189" s="3">
        <v>30290</v>
      </c>
      <c r="H189" s="1">
        <v>0</v>
      </c>
      <c r="I189" s="3">
        <v>8146144</v>
      </c>
      <c r="J189" s="3">
        <v>8115854</v>
      </c>
      <c r="K189" s="3">
        <v>8115854</v>
      </c>
      <c r="L189" s="3">
        <v>223082</v>
      </c>
      <c r="M189" s="3">
        <v>812443</v>
      </c>
      <c r="N189" s="3">
        <v>91585</v>
      </c>
      <c r="O189" s="3">
        <v>88677</v>
      </c>
      <c r="P189" s="3">
        <v>445134</v>
      </c>
      <c r="Q189" s="3">
        <v>6485223</v>
      </c>
      <c r="R189" s="3">
        <v>6454933</v>
      </c>
      <c r="S189" s="3">
        <v>6454933</v>
      </c>
      <c r="T189" s="3">
        <v>814614</v>
      </c>
      <c r="U189" s="3">
        <v>814614</v>
      </c>
      <c r="V189" s="3">
        <v>814614</v>
      </c>
      <c r="W189" s="3">
        <v>814614</v>
      </c>
      <c r="X189" s="3">
        <v>809566</v>
      </c>
      <c r="Y189" s="3">
        <v>809566</v>
      </c>
      <c r="Z189" s="4">
        <v>809567</v>
      </c>
      <c r="AA189" s="4">
        <v>809567</v>
      </c>
      <c r="AB189" s="4">
        <v>809567</v>
      </c>
      <c r="AC189" s="4">
        <v>809565</v>
      </c>
      <c r="AD189" s="4">
        <v>814614</v>
      </c>
      <c r="AE189" s="4">
        <v>1629228</v>
      </c>
      <c r="AF189" s="4">
        <v>2443842</v>
      </c>
      <c r="AG189" s="4">
        <v>3258456</v>
      </c>
      <c r="AH189" s="4">
        <v>4068022</v>
      </c>
      <c r="AI189" s="4">
        <v>4877588</v>
      </c>
      <c r="AJ189" s="4">
        <v>5687155</v>
      </c>
      <c r="AK189" s="4">
        <v>6496722</v>
      </c>
      <c r="AL189" s="4">
        <v>7306289</v>
      </c>
      <c r="AM189" s="4">
        <v>8115854</v>
      </c>
      <c r="AN189" s="153">
        <v>608095</v>
      </c>
    </row>
    <row r="190" spans="1:40" x14ac:dyDescent="0.2">
      <c r="A190" s="1">
        <v>2022</v>
      </c>
      <c r="B190" s="2" t="s">
        <v>211</v>
      </c>
      <c r="C190" s="2" t="s">
        <v>211</v>
      </c>
      <c r="D190" s="1" t="s">
        <v>561</v>
      </c>
      <c r="E190" s="3">
        <v>4940242</v>
      </c>
      <c r="F190" s="3">
        <v>697</v>
      </c>
      <c r="G190" s="3">
        <v>18331</v>
      </c>
      <c r="H190" s="1">
        <v>0</v>
      </c>
      <c r="I190" s="3">
        <v>4939545</v>
      </c>
      <c r="J190" s="3">
        <v>4921214</v>
      </c>
      <c r="K190" s="3">
        <v>4921214</v>
      </c>
      <c r="L190" s="3">
        <v>151070</v>
      </c>
      <c r="M190" s="3">
        <v>467396</v>
      </c>
      <c r="N190" s="3">
        <v>55088</v>
      </c>
      <c r="O190" s="3">
        <v>46892</v>
      </c>
      <c r="P190" s="3">
        <v>273905</v>
      </c>
      <c r="Q190" s="3">
        <v>3945194</v>
      </c>
      <c r="R190" s="3">
        <v>3926863</v>
      </c>
      <c r="S190" s="3">
        <v>3926863</v>
      </c>
      <c r="T190" s="3">
        <v>493955</v>
      </c>
      <c r="U190" s="3">
        <v>493955</v>
      </c>
      <c r="V190" s="3">
        <v>493955</v>
      </c>
      <c r="W190" s="3">
        <v>493955</v>
      </c>
      <c r="X190" s="3">
        <v>490899</v>
      </c>
      <c r="Y190" s="3">
        <v>490899</v>
      </c>
      <c r="Z190" s="4">
        <v>490899</v>
      </c>
      <c r="AA190" s="4">
        <v>490899</v>
      </c>
      <c r="AB190" s="4">
        <v>490899</v>
      </c>
      <c r="AC190" s="4">
        <v>490899</v>
      </c>
      <c r="AD190" s="4">
        <v>493955</v>
      </c>
      <c r="AE190" s="4">
        <v>987910</v>
      </c>
      <c r="AF190" s="4">
        <v>1481865</v>
      </c>
      <c r="AG190" s="4">
        <v>1975820</v>
      </c>
      <c r="AH190" s="4">
        <v>2466719</v>
      </c>
      <c r="AI190" s="4">
        <v>2957618</v>
      </c>
      <c r="AJ190" s="4">
        <v>3448517</v>
      </c>
      <c r="AK190" s="4">
        <v>3939416</v>
      </c>
      <c r="AL190" s="4">
        <v>4430315</v>
      </c>
      <c r="AM190" s="4">
        <v>4921214</v>
      </c>
      <c r="AN190" s="153">
        <v>373106</v>
      </c>
    </row>
    <row r="191" spans="1:40" x14ac:dyDescent="0.2">
      <c r="A191" s="1">
        <v>2022</v>
      </c>
      <c r="B191" s="2" t="s">
        <v>212</v>
      </c>
      <c r="C191" s="2" t="s">
        <v>212</v>
      </c>
      <c r="D191" s="1" t="s">
        <v>562</v>
      </c>
      <c r="E191" s="3">
        <v>5320516</v>
      </c>
      <c r="F191" s="1">
        <v>713</v>
      </c>
      <c r="G191" s="3">
        <v>18853</v>
      </c>
      <c r="H191" s="1">
        <v>0</v>
      </c>
      <c r="I191" s="3">
        <v>5319803</v>
      </c>
      <c r="J191" s="3">
        <v>5300950</v>
      </c>
      <c r="K191" s="3">
        <v>5300950</v>
      </c>
      <c r="L191" s="3">
        <v>154668</v>
      </c>
      <c r="M191" s="3">
        <v>505158</v>
      </c>
      <c r="N191" s="3">
        <v>62171</v>
      </c>
      <c r="O191" s="3">
        <v>61028</v>
      </c>
      <c r="P191" s="3">
        <v>277057</v>
      </c>
      <c r="Q191" s="3">
        <v>4259721</v>
      </c>
      <c r="R191" s="3">
        <v>4240868</v>
      </c>
      <c r="S191" s="3">
        <v>4240868</v>
      </c>
      <c r="T191" s="3">
        <v>531980</v>
      </c>
      <c r="U191" s="3">
        <v>531980</v>
      </c>
      <c r="V191" s="3">
        <v>531980</v>
      </c>
      <c r="W191" s="3">
        <v>531980</v>
      </c>
      <c r="X191" s="3">
        <v>528838</v>
      </c>
      <c r="Y191" s="3">
        <v>528838</v>
      </c>
      <c r="Z191" s="4">
        <v>528839</v>
      </c>
      <c r="AA191" s="4">
        <v>528839</v>
      </c>
      <c r="AB191" s="4">
        <v>528839</v>
      </c>
      <c r="AC191" s="4">
        <v>528837</v>
      </c>
      <c r="AD191" s="4">
        <v>531980</v>
      </c>
      <c r="AE191" s="4">
        <v>1063960</v>
      </c>
      <c r="AF191" s="4">
        <v>1595940</v>
      </c>
      <c r="AG191" s="4">
        <v>2127920</v>
      </c>
      <c r="AH191" s="4">
        <v>2656758</v>
      </c>
      <c r="AI191" s="4">
        <v>3185596</v>
      </c>
      <c r="AJ191" s="4">
        <v>3714435</v>
      </c>
      <c r="AK191" s="4">
        <v>4243274</v>
      </c>
      <c r="AL191" s="4">
        <v>4772113</v>
      </c>
      <c r="AM191" s="4">
        <v>5300950</v>
      </c>
      <c r="AN191" s="153">
        <v>379831</v>
      </c>
    </row>
    <row r="192" spans="1:40" x14ac:dyDescent="0.2">
      <c r="A192" s="1">
        <v>2022</v>
      </c>
      <c r="B192" s="2" t="s">
        <v>213</v>
      </c>
      <c r="C192" s="2" t="s">
        <v>213</v>
      </c>
      <c r="D192" s="1" t="s">
        <v>563</v>
      </c>
      <c r="E192" s="3">
        <v>2369231</v>
      </c>
      <c r="F192" s="3">
        <v>630</v>
      </c>
      <c r="G192" s="3">
        <v>11231</v>
      </c>
      <c r="H192" s="3">
        <v>1296</v>
      </c>
      <c r="I192" s="3">
        <v>2368601</v>
      </c>
      <c r="J192" s="3">
        <v>2357370</v>
      </c>
      <c r="K192" s="3">
        <v>2356074</v>
      </c>
      <c r="L192" s="3">
        <v>136683</v>
      </c>
      <c r="M192" s="3">
        <v>279192</v>
      </c>
      <c r="N192" s="3">
        <v>35849</v>
      </c>
      <c r="O192" s="3">
        <v>27508</v>
      </c>
      <c r="P192" s="3">
        <v>165502</v>
      </c>
      <c r="Q192" s="3">
        <v>1723867</v>
      </c>
      <c r="R192" s="3">
        <v>1712636</v>
      </c>
      <c r="S192" s="3">
        <v>1711340</v>
      </c>
      <c r="T192" s="3">
        <v>236860</v>
      </c>
      <c r="U192" s="3">
        <v>236860</v>
      </c>
      <c r="V192" s="3">
        <v>236860</v>
      </c>
      <c r="W192" s="3">
        <v>236860</v>
      </c>
      <c r="X192" s="3">
        <v>234988</v>
      </c>
      <c r="Y192" s="3">
        <v>234988</v>
      </c>
      <c r="Z192" s="4">
        <v>234665</v>
      </c>
      <c r="AA192" s="4">
        <v>234665</v>
      </c>
      <c r="AB192" s="4">
        <v>234665</v>
      </c>
      <c r="AC192" s="4">
        <v>234663</v>
      </c>
      <c r="AD192" s="4">
        <v>236860</v>
      </c>
      <c r="AE192" s="4">
        <v>473720</v>
      </c>
      <c r="AF192" s="4">
        <v>710580</v>
      </c>
      <c r="AG192" s="4">
        <v>947440</v>
      </c>
      <c r="AH192" s="4">
        <v>1182428</v>
      </c>
      <c r="AI192" s="4">
        <v>1417416</v>
      </c>
      <c r="AJ192" s="4">
        <v>1652081</v>
      </c>
      <c r="AK192" s="4">
        <v>1886746</v>
      </c>
      <c r="AL192" s="4">
        <v>2121411</v>
      </c>
      <c r="AM192" s="4">
        <v>2356074</v>
      </c>
      <c r="AN192" s="153">
        <v>232967</v>
      </c>
    </row>
    <row r="193" spans="1:40" x14ac:dyDescent="0.2">
      <c r="A193" s="1">
        <v>2022</v>
      </c>
      <c r="B193" s="2" t="s">
        <v>214</v>
      </c>
      <c r="C193" s="2" t="s">
        <v>214</v>
      </c>
      <c r="D193" s="1" t="s">
        <v>564</v>
      </c>
      <c r="E193" s="3">
        <v>6041456</v>
      </c>
      <c r="F193" s="1">
        <v>879</v>
      </c>
      <c r="G193" s="3">
        <v>22654</v>
      </c>
      <c r="H193" s="3">
        <v>0</v>
      </c>
      <c r="I193" s="3">
        <v>6040577</v>
      </c>
      <c r="J193" s="3">
        <v>6017923</v>
      </c>
      <c r="K193" s="3">
        <v>6017923</v>
      </c>
      <c r="L193" s="3">
        <v>190637</v>
      </c>
      <c r="M193" s="3">
        <v>597264</v>
      </c>
      <c r="N193" s="3">
        <v>63736</v>
      </c>
      <c r="O193" s="3">
        <v>58881</v>
      </c>
      <c r="P193" s="3">
        <v>332908</v>
      </c>
      <c r="Q193" s="3">
        <v>4797151</v>
      </c>
      <c r="R193" s="3">
        <v>4774497</v>
      </c>
      <c r="S193" s="3">
        <v>4774497</v>
      </c>
      <c r="T193" s="3">
        <v>604058</v>
      </c>
      <c r="U193" s="3">
        <v>604058</v>
      </c>
      <c r="V193" s="3">
        <v>604058</v>
      </c>
      <c r="W193" s="3">
        <v>604058</v>
      </c>
      <c r="X193" s="3">
        <v>600282</v>
      </c>
      <c r="Y193" s="3">
        <v>600282</v>
      </c>
      <c r="Z193" s="4">
        <v>600282</v>
      </c>
      <c r="AA193" s="4">
        <v>600282</v>
      </c>
      <c r="AB193" s="4">
        <v>600282</v>
      </c>
      <c r="AC193" s="4">
        <v>600281</v>
      </c>
      <c r="AD193" s="4">
        <v>604058</v>
      </c>
      <c r="AE193" s="4">
        <v>1208116</v>
      </c>
      <c r="AF193" s="4">
        <v>1812174</v>
      </c>
      <c r="AG193" s="4">
        <v>2416232</v>
      </c>
      <c r="AH193" s="4">
        <v>3016514</v>
      </c>
      <c r="AI193" s="4">
        <v>3616796</v>
      </c>
      <c r="AJ193" s="4">
        <v>4217078</v>
      </c>
      <c r="AK193" s="4">
        <v>4817360</v>
      </c>
      <c r="AL193" s="4">
        <v>5417642</v>
      </c>
      <c r="AM193" s="4">
        <v>6017923</v>
      </c>
      <c r="AN193" s="153">
        <v>462014</v>
      </c>
    </row>
    <row r="194" spans="1:40" x14ac:dyDescent="0.2">
      <c r="A194" s="1">
        <v>2022</v>
      </c>
      <c r="B194" s="2" t="s">
        <v>215</v>
      </c>
      <c r="C194" s="2" t="s">
        <v>215</v>
      </c>
      <c r="D194" s="1" t="s">
        <v>565</v>
      </c>
      <c r="E194" s="3">
        <v>2321474</v>
      </c>
      <c r="F194" s="3">
        <v>265</v>
      </c>
      <c r="G194" s="3">
        <v>8285</v>
      </c>
      <c r="H194" s="3">
        <v>0</v>
      </c>
      <c r="I194" s="3">
        <v>2321209</v>
      </c>
      <c r="J194" s="3">
        <v>2312924</v>
      </c>
      <c r="K194" s="3">
        <v>2312924</v>
      </c>
      <c r="L194" s="3">
        <v>57551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1835573</v>
      </c>
      <c r="R194" s="3">
        <v>1827288</v>
      </c>
      <c r="S194" s="3">
        <v>1827288</v>
      </c>
      <c r="T194" s="3">
        <v>232121</v>
      </c>
      <c r="U194" s="3">
        <v>232121</v>
      </c>
      <c r="V194" s="3">
        <v>232121</v>
      </c>
      <c r="W194" s="3">
        <v>232121</v>
      </c>
      <c r="X194" s="3">
        <v>230740</v>
      </c>
      <c r="Y194" s="3">
        <v>230740</v>
      </c>
      <c r="Z194" s="4">
        <v>230740</v>
      </c>
      <c r="AA194" s="4">
        <v>230740</v>
      </c>
      <c r="AB194" s="4">
        <v>230740</v>
      </c>
      <c r="AC194" s="4">
        <v>230740</v>
      </c>
      <c r="AD194" s="4">
        <v>232121</v>
      </c>
      <c r="AE194" s="4">
        <v>464242</v>
      </c>
      <c r="AF194" s="4">
        <v>696363</v>
      </c>
      <c r="AG194" s="4">
        <v>928484</v>
      </c>
      <c r="AH194" s="4">
        <v>1159224</v>
      </c>
      <c r="AI194" s="4">
        <v>1389964</v>
      </c>
      <c r="AJ194" s="4">
        <v>1620704</v>
      </c>
      <c r="AK194" s="4">
        <v>1851444</v>
      </c>
      <c r="AL194" s="4">
        <v>2082184</v>
      </c>
      <c r="AM194" s="4">
        <v>2312924</v>
      </c>
      <c r="AN194" s="153">
        <v>164765</v>
      </c>
    </row>
    <row r="195" spans="1:40" x14ac:dyDescent="0.2">
      <c r="A195" s="1">
        <v>2022</v>
      </c>
      <c r="B195" s="2" t="s">
        <v>216</v>
      </c>
      <c r="C195" s="2" t="s">
        <v>216</v>
      </c>
      <c r="D195" s="1" t="s">
        <v>566</v>
      </c>
      <c r="E195" s="3">
        <v>1586670</v>
      </c>
      <c r="F195" s="3">
        <v>116</v>
      </c>
      <c r="G195" s="3">
        <v>5297</v>
      </c>
      <c r="H195" s="3">
        <v>0</v>
      </c>
      <c r="I195" s="3">
        <v>1586554</v>
      </c>
      <c r="J195" s="3">
        <v>1581257</v>
      </c>
      <c r="K195" s="3">
        <v>1581257</v>
      </c>
      <c r="L195" s="3">
        <v>25179</v>
      </c>
      <c r="M195" s="3">
        <v>142853</v>
      </c>
      <c r="N195" s="3">
        <v>16699</v>
      </c>
      <c r="O195" s="3">
        <v>13192</v>
      </c>
      <c r="P195" s="3">
        <v>78302</v>
      </c>
      <c r="Q195" s="3">
        <v>1310329</v>
      </c>
      <c r="R195" s="3">
        <v>1305032</v>
      </c>
      <c r="S195" s="3">
        <v>1305032</v>
      </c>
      <c r="T195" s="3">
        <v>158655</v>
      </c>
      <c r="U195" s="3">
        <v>158655</v>
      </c>
      <c r="V195" s="3">
        <v>158655</v>
      </c>
      <c r="W195" s="3">
        <v>158655</v>
      </c>
      <c r="X195" s="3">
        <v>157773</v>
      </c>
      <c r="Y195" s="3">
        <v>157773</v>
      </c>
      <c r="Z195" s="4">
        <v>157773</v>
      </c>
      <c r="AA195" s="4">
        <v>157773</v>
      </c>
      <c r="AB195" s="4">
        <v>157773</v>
      </c>
      <c r="AC195" s="4">
        <v>157772</v>
      </c>
      <c r="AD195" s="4">
        <v>158655</v>
      </c>
      <c r="AE195" s="4">
        <v>317310</v>
      </c>
      <c r="AF195" s="4">
        <v>475965</v>
      </c>
      <c r="AG195" s="4">
        <v>634620</v>
      </c>
      <c r="AH195" s="4">
        <v>792393</v>
      </c>
      <c r="AI195" s="4">
        <v>950166</v>
      </c>
      <c r="AJ195" s="4">
        <v>1107939</v>
      </c>
      <c r="AK195" s="4">
        <v>1265712</v>
      </c>
      <c r="AL195" s="4">
        <v>1423485</v>
      </c>
      <c r="AM195" s="4">
        <v>1581257</v>
      </c>
      <c r="AN195" s="153">
        <v>115896</v>
      </c>
    </row>
    <row r="196" spans="1:40" x14ac:dyDescent="0.2">
      <c r="A196" s="1">
        <v>2022</v>
      </c>
      <c r="B196" s="2" t="s">
        <v>217</v>
      </c>
      <c r="C196" s="2" t="s">
        <v>217</v>
      </c>
      <c r="D196" s="1" t="s">
        <v>567</v>
      </c>
      <c r="E196" s="3">
        <v>1283505</v>
      </c>
      <c r="F196" s="1">
        <v>133</v>
      </c>
      <c r="G196" s="3">
        <v>4513</v>
      </c>
      <c r="H196" s="3">
        <v>0</v>
      </c>
      <c r="I196" s="3">
        <v>1283372</v>
      </c>
      <c r="J196" s="3">
        <v>1278859</v>
      </c>
      <c r="K196" s="3">
        <v>1278859</v>
      </c>
      <c r="L196" s="3">
        <v>28775</v>
      </c>
      <c r="M196" s="3">
        <v>130186</v>
      </c>
      <c r="N196" s="3">
        <v>18852</v>
      </c>
      <c r="O196" s="3">
        <v>14262</v>
      </c>
      <c r="P196" s="3">
        <v>71246</v>
      </c>
      <c r="Q196" s="3">
        <v>1020051</v>
      </c>
      <c r="R196" s="3">
        <v>1015538</v>
      </c>
      <c r="S196" s="3">
        <v>1015538</v>
      </c>
      <c r="T196" s="3">
        <v>128337</v>
      </c>
      <c r="U196" s="3">
        <v>128337</v>
      </c>
      <c r="V196" s="3">
        <v>128337</v>
      </c>
      <c r="W196" s="3">
        <v>128337</v>
      </c>
      <c r="X196" s="3">
        <v>127585</v>
      </c>
      <c r="Y196" s="3">
        <v>127585</v>
      </c>
      <c r="Z196" s="4">
        <v>127585</v>
      </c>
      <c r="AA196" s="4">
        <v>127585</v>
      </c>
      <c r="AB196" s="4">
        <v>127585</v>
      </c>
      <c r="AC196" s="4">
        <v>127586</v>
      </c>
      <c r="AD196" s="4">
        <v>128337</v>
      </c>
      <c r="AE196" s="4">
        <v>256674</v>
      </c>
      <c r="AF196" s="4">
        <v>385011</v>
      </c>
      <c r="AG196" s="4">
        <v>513348</v>
      </c>
      <c r="AH196" s="4">
        <v>640933</v>
      </c>
      <c r="AI196" s="4">
        <v>768518</v>
      </c>
      <c r="AJ196" s="4">
        <v>896103</v>
      </c>
      <c r="AK196" s="4">
        <v>1023688</v>
      </c>
      <c r="AL196" s="4">
        <v>1151273</v>
      </c>
      <c r="AM196" s="4">
        <v>1278859</v>
      </c>
      <c r="AN196" s="153">
        <v>89980</v>
      </c>
    </row>
    <row r="197" spans="1:40" x14ac:dyDescent="0.2">
      <c r="A197" s="1">
        <v>2022</v>
      </c>
      <c r="B197" s="2" t="s">
        <v>218</v>
      </c>
      <c r="C197" s="2" t="s">
        <v>218</v>
      </c>
      <c r="D197" s="1" t="s">
        <v>568</v>
      </c>
      <c r="E197" s="3">
        <v>1349542</v>
      </c>
      <c r="F197" s="3">
        <v>282</v>
      </c>
      <c r="G197" s="3">
        <v>4900</v>
      </c>
      <c r="H197" s="3">
        <v>67233</v>
      </c>
      <c r="I197" s="3">
        <v>1349260</v>
      </c>
      <c r="J197" s="3">
        <v>1344360</v>
      </c>
      <c r="K197" s="3">
        <v>1277127</v>
      </c>
      <c r="L197" s="3">
        <v>61148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1042957</v>
      </c>
      <c r="R197" s="3">
        <v>1038057</v>
      </c>
      <c r="S197" s="3">
        <v>970824</v>
      </c>
      <c r="T197" s="3">
        <v>134926</v>
      </c>
      <c r="U197" s="3">
        <v>134926</v>
      </c>
      <c r="V197" s="3">
        <v>134926</v>
      </c>
      <c r="W197" s="3">
        <v>134926</v>
      </c>
      <c r="X197" s="3">
        <v>134109</v>
      </c>
      <c r="Y197" s="3">
        <v>134109</v>
      </c>
      <c r="Z197" s="4">
        <v>117301</v>
      </c>
      <c r="AA197" s="4">
        <v>117301</v>
      </c>
      <c r="AB197" s="4">
        <v>117301</v>
      </c>
      <c r="AC197" s="4">
        <v>117302</v>
      </c>
      <c r="AD197" s="4">
        <v>134926</v>
      </c>
      <c r="AE197" s="4">
        <v>269852</v>
      </c>
      <c r="AF197" s="4">
        <v>404778</v>
      </c>
      <c r="AG197" s="4">
        <v>539704</v>
      </c>
      <c r="AH197" s="4">
        <v>673813</v>
      </c>
      <c r="AI197" s="4">
        <v>807922</v>
      </c>
      <c r="AJ197" s="4">
        <v>925223</v>
      </c>
      <c r="AK197" s="4">
        <v>1042524</v>
      </c>
      <c r="AL197" s="4">
        <v>1159825</v>
      </c>
      <c r="AM197" s="4">
        <v>1277127</v>
      </c>
      <c r="AN197" s="153">
        <v>94863</v>
      </c>
    </row>
    <row r="198" spans="1:40" x14ac:dyDescent="0.2">
      <c r="A198" s="1">
        <v>2022</v>
      </c>
      <c r="B198" s="2" t="s">
        <v>219</v>
      </c>
      <c r="C198" s="2" t="s">
        <v>219</v>
      </c>
      <c r="D198" s="1" t="s">
        <v>569</v>
      </c>
      <c r="E198" s="3">
        <v>3329946</v>
      </c>
      <c r="F198" s="1">
        <v>730</v>
      </c>
      <c r="G198" s="3">
        <v>13692</v>
      </c>
      <c r="H198" s="3">
        <v>0</v>
      </c>
      <c r="I198" s="3">
        <v>3329216</v>
      </c>
      <c r="J198" s="3">
        <v>3315524</v>
      </c>
      <c r="K198" s="3">
        <v>3315524</v>
      </c>
      <c r="L198" s="3">
        <v>158264</v>
      </c>
      <c r="M198" s="3">
        <v>415680</v>
      </c>
      <c r="N198" s="3">
        <v>48208</v>
      </c>
      <c r="O198" s="3">
        <v>51516</v>
      </c>
      <c r="P198" s="3">
        <v>206920</v>
      </c>
      <c r="Q198" s="3">
        <v>2448628</v>
      </c>
      <c r="R198" s="3">
        <v>2434936</v>
      </c>
      <c r="S198" s="3">
        <v>2434936</v>
      </c>
      <c r="T198" s="3">
        <v>332922</v>
      </c>
      <c r="U198" s="3">
        <v>332922</v>
      </c>
      <c r="V198" s="3">
        <v>332922</v>
      </c>
      <c r="W198" s="3">
        <v>332922</v>
      </c>
      <c r="X198" s="3">
        <v>330639</v>
      </c>
      <c r="Y198" s="3">
        <v>330639</v>
      </c>
      <c r="Z198" s="4">
        <v>330640</v>
      </c>
      <c r="AA198" s="4">
        <v>330640</v>
      </c>
      <c r="AB198" s="4">
        <v>330640</v>
      </c>
      <c r="AC198" s="4">
        <v>330638</v>
      </c>
      <c r="AD198" s="4">
        <v>332922</v>
      </c>
      <c r="AE198" s="4">
        <v>665844</v>
      </c>
      <c r="AF198" s="4">
        <v>998766</v>
      </c>
      <c r="AG198" s="4">
        <v>1331688</v>
      </c>
      <c r="AH198" s="4">
        <v>1662327</v>
      </c>
      <c r="AI198" s="4">
        <v>1992966</v>
      </c>
      <c r="AJ198" s="4">
        <v>2323606</v>
      </c>
      <c r="AK198" s="4">
        <v>2654246</v>
      </c>
      <c r="AL198" s="4">
        <v>2984886</v>
      </c>
      <c r="AM198" s="4">
        <v>3315524</v>
      </c>
      <c r="AN198" s="153">
        <v>273489</v>
      </c>
    </row>
    <row r="199" spans="1:40" x14ac:dyDescent="0.2">
      <c r="A199" s="1">
        <v>2022</v>
      </c>
      <c r="B199" s="2" t="s">
        <v>220</v>
      </c>
      <c r="C199" s="2" t="s">
        <v>220</v>
      </c>
      <c r="D199" s="1" t="s">
        <v>570</v>
      </c>
      <c r="E199" s="3">
        <v>12579737</v>
      </c>
      <c r="F199" s="3">
        <v>1244</v>
      </c>
      <c r="G199" s="3">
        <v>44144</v>
      </c>
      <c r="H199" s="1">
        <v>0</v>
      </c>
      <c r="I199" s="3">
        <v>12578493</v>
      </c>
      <c r="J199" s="3">
        <v>12534349</v>
      </c>
      <c r="K199" s="3">
        <v>12534349</v>
      </c>
      <c r="L199" s="3">
        <v>269769</v>
      </c>
      <c r="M199" s="3">
        <v>1134628</v>
      </c>
      <c r="N199" s="3">
        <v>150626</v>
      </c>
      <c r="O199" s="3">
        <v>135080</v>
      </c>
      <c r="P199" s="3">
        <v>648712</v>
      </c>
      <c r="Q199" s="3">
        <v>10239678</v>
      </c>
      <c r="R199" s="3">
        <v>10195534</v>
      </c>
      <c r="S199" s="3">
        <v>10195534</v>
      </c>
      <c r="T199" s="3">
        <v>1257849</v>
      </c>
      <c r="U199" s="3">
        <v>1257849</v>
      </c>
      <c r="V199" s="3">
        <v>1257849</v>
      </c>
      <c r="W199" s="3">
        <v>1257849</v>
      </c>
      <c r="X199" s="3">
        <v>1250492</v>
      </c>
      <c r="Y199" s="3">
        <v>1250492</v>
      </c>
      <c r="Z199" s="4">
        <v>1250492</v>
      </c>
      <c r="AA199" s="4">
        <v>1250492</v>
      </c>
      <c r="AB199" s="4">
        <v>1250492</v>
      </c>
      <c r="AC199" s="4">
        <v>1250493</v>
      </c>
      <c r="AD199" s="4">
        <v>1257849</v>
      </c>
      <c r="AE199" s="4">
        <v>2515698</v>
      </c>
      <c r="AF199" s="4">
        <v>3773547</v>
      </c>
      <c r="AG199" s="4">
        <v>5031396</v>
      </c>
      <c r="AH199" s="4">
        <v>6281888</v>
      </c>
      <c r="AI199" s="4">
        <v>7532380</v>
      </c>
      <c r="AJ199" s="4">
        <v>8782872</v>
      </c>
      <c r="AK199" s="4">
        <v>10033364</v>
      </c>
      <c r="AL199" s="4">
        <v>11283856</v>
      </c>
      <c r="AM199" s="4">
        <v>12534349</v>
      </c>
      <c r="AN199" s="153">
        <v>876791</v>
      </c>
    </row>
    <row r="200" spans="1:40" x14ac:dyDescent="0.2">
      <c r="A200" s="1">
        <v>2022</v>
      </c>
      <c r="B200" s="2" t="s">
        <v>221</v>
      </c>
      <c r="C200" s="2" t="s">
        <v>221</v>
      </c>
      <c r="D200" s="1" t="s">
        <v>571</v>
      </c>
      <c r="E200" s="3">
        <v>7348272</v>
      </c>
      <c r="F200" s="3">
        <v>779</v>
      </c>
      <c r="G200" s="3">
        <v>26661</v>
      </c>
      <c r="H200" s="3">
        <v>0</v>
      </c>
      <c r="I200" s="3">
        <v>7347493</v>
      </c>
      <c r="J200" s="3">
        <v>7320832</v>
      </c>
      <c r="K200" s="3">
        <v>7320832</v>
      </c>
      <c r="L200" s="3">
        <v>169056</v>
      </c>
      <c r="M200" s="3">
        <v>702600</v>
      </c>
      <c r="N200" s="3">
        <v>86256</v>
      </c>
      <c r="O200" s="3">
        <v>79365</v>
      </c>
      <c r="P200" s="3">
        <v>391796</v>
      </c>
      <c r="Q200" s="3">
        <v>5918420</v>
      </c>
      <c r="R200" s="3">
        <v>5891759</v>
      </c>
      <c r="S200" s="3">
        <v>5891759</v>
      </c>
      <c r="T200" s="3">
        <v>734749</v>
      </c>
      <c r="U200" s="3">
        <v>734749</v>
      </c>
      <c r="V200" s="3">
        <v>734749</v>
      </c>
      <c r="W200" s="3">
        <v>734749</v>
      </c>
      <c r="X200" s="3">
        <v>730306</v>
      </c>
      <c r="Y200" s="3">
        <v>730306</v>
      </c>
      <c r="Z200" s="4">
        <v>730306</v>
      </c>
      <c r="AA200" s="4">
        <v>730306</v>
      </c>
      <c r="AB200" s="4">
        <v>730306</v>
      </c>
      <c r="AC200" s="4">
        <v>730306</v>
      </c>
      <c r="AD200" s="4">
        <v>734749</v>
      </c>
      <c r="AE200" s="4">
        <v>1469498</v>
      </c>
      <c r="AF200" s="4">
        <v>2204247</v>
      </c>
      <c r="AG200" s="4">
        <v>2938996</v>
      </c>
      <c r="AH200" s="4">
        <v>3669302</v>
      </c>
      <c r="AI200" s="4">
        <v>4399608</v>
      </c>
      <c r="AJ200" s="4">
        <v>5129914</v>
      </c>
      <c r="AK200" s="4">
        <v>5860220</v>
      </c>
      <c r="AL200" s="4">
        <v>6590526</v>
      </c>
      <c r="AM200" s="4">
        <v>7320832</v>
      </c>
      <c r="AN200" s="153">
        <v>515911</v>
      </c>
    </row>
    <row r="201" spans="1:40" x14ac:dyDescent="0.2">
      <c r="A201" s="1">
        <v>2022</v>
      </c>
      <c r="B201" s="2" t="s">
        <v>222</v>
      </c>
      <c r="C201" s="2" t="s">
        <v>222</v>
      </c>
      <c r="D201" s="1" t="s">
        <v>572</v>
      </c>
      <c r="E201" s="3">
        <v>1631814</v>
      </c>
      <c r="F201" s="3">
        <v>199</v>
      </c>
      <c r="G201" s="3">
        <v>5254</v>
      </c>
      <c r="H201" s="3">
        <v>56459</v>
      </c>
      <c r="I201" s="3">
        <v>1631615</v>
      </c>
      <c r="J201" s="3">
        <v>1626361</v>
      </c>
      <c r="K201" s="3">
        <v>1569902</v>
      </c>
      <c r="L201" s="3">
        <v>43163</v>
      </c>
      <c r="M201" s="3">
        <v>163862</v>
      </c>
      <c r="N201" s="3">
        <v>20028</v>
      </c>
      <c r="O201" s="3">
        <v>16428</v>
      </c>
      <c r="P201" s="3">
        <v>78575</v>
      </c>
      <c r="Q201" s="3">
        <v>1309559</v>
      </c>
      <c r="R201" s="3">
        <v>1304305</v>
      </c>
      <c r="S201" s="3">
        <v>1247846</v>
      </c>
      <c r="T201" s="3">
        <v>163162</v>
      </c>
      <c r="U201" s="3">
        <v>163162</v>
      </c>
      <c r="V201" s="3">
        <v>163162</v>
      </c>
      <c r="W201" s="3">
        <v>163162</v>
      </c>
      <c r="X201" s="3">
        <v>162286</v>
      </c>
      <c r="Y201" s="3">
        <v>162286</v>
      </c>
      <c r="Z201" s="4">
        <v>148171</v>
      </c>
      <c r="AA201" s="4">
        <v>148171</v>
      </c>
      <c r="AB201" s="4">
        <v>148171</v>
      </c>
      <c r="AC201" s="4">
        <v>148169</v>
      </c>
      <c r="AD201" s="4">
        <v>163162</v>
      </c>
      <c r="AE201" s="4">
        <v>326324</v>
      </c>
      <c r="AF201" s="4">
        <v>489486</v>
      </c>
      <c r="AG201" s="4">
        <v>652648</v>
      </c>
      <c r="AH201" s="4">
        <v>814934</v>
      </c>
      <c r="AI201" s="4">
        <v>977220</v>
      </c>
      <c r="AJ201" s="4">
        <v>1125391</v>
      </c>
      <c r="AK201" s="4">
        <v>1273562</v>
      </c>
      <c r="AL201" s="4">
        <v>1421733</v>
      </c>
      <c r="AM201" s="4">
        <v>1569902</v>
      </c>
      <c r="AN201" s="153">
        <v>110101</v>
      </c>
    </row>
    <row r="202" spans="1:40" x14ac:dyDescent="0.2">
      <c r="A202" s="1">
        <v>2022</v>
      </c>
      <c r="B202" s="2" t="s">
        <v>223</v>
      </c>
      <c r="C202" s="2" t="s">
        <v>223</v>
      </c>
      <c r="D202" s="1" t="s">
        <v>573</v>
      </c>
      <c r="E202" s="3">
        <v>33243568</v>
      </c>
      <c r="F202" s="3">
        <v>4262</v>
      </c>
      <c r="G202" s="3">
        <v>111404</v>
      </c>
      <c r="H202" s="1">
        <v>0</v>
      </c>
      <c r="I202" s="3">
        <v>33239306</v>
      </c>
      <c r="J202" s="3">
        <v>33127902</v>
      </c>
      <c r="K202" s="3">
        <v>33127902</v>
      </c>
      <c r="L202" s="3">
        <v>931456</v>
      </c>
      <c r="M202" s="3">
        <v>2854264</v>
      </c>
      <c r="N202" s="3">
        <v>381287</v>
      </c>
      <c r="O202" s="3">
        <v>312430</v>
      </c>
      <c r="P202" s="3">
        <v>1640295</v>
      </c>
      <c r="Q202" s="3">
        <v>27119574</v>
      </c>
      <c r="R202" s="3">
        <v>27008170</v>
      </c>
      <c r="S202" s="3">
        <v>27008170</v>
      </c>
      <c r="T202" s="3">
        <v>3323931</v>
      </c>
      <c r="U202" s="3">
        <v>3323931</v>
      </c>
      <c r="V202" s="3">
        <v>3323931</v>
      </c>
      <c r="W202" s="3">
        <v>3323931</v>
      </c>
      <c r="X202" s="3">
        <v>3305363</v>
      </c>
      <c r="Y202" s="3">
        <v>3305363</v>
      </c>
      <c r="Z202" s="4">
        <v>3305363</v>
      </c>
      <c r="AA202" s="4">
        <v>3305363</v>
      </c>
      <c r="AB202" s="4">
        <v>3305363</v>
      </c>
      <c r="AC202" s="4">
        <v>3305363</v>
      </c>
      <c r="AD202" s="4">
        <v>3323931</v>
      </c>
      <c r="AE202" s="4">
        <v>6647862</v>
      </c>
      <c r="AF202" s="4">
        <v>9971793</v>
      </c>
      <c r="AG202" s="4">
        <v>13295724</v>
      </c>
      <c r="AH202" s="4">
        <v>16601087</v>
      </c>
      <c r="AI202" s="4">
        <v>19906450</v>
      </c>
      <c r="AJ202" s="4">
        <v>23211813</v>
      </c>
      <c r="AK202" s="4">
        <v>26517176</v>
      </c>
      <c r="AL202" s="4">
        <v>29822539</v>
      </c>
      <c r="AM202" s="4">
        <v>33127902</v>
      </c>
      <c r="AN202" s="153">
        <v>2247029</v>
      </c>
    </row>
    <row r="203" spans="1:40" x14ac:dyDescent="0.2">
      <c r="A203" s="1">
        <v>2022</v>
      </c>
      <c r="B203" s="2" t="s">
        <v>224</v>
      </c>
      <c r="C203" s="2" t="s">
        <v>224</v>
      </c>
      <c r="D203" s="1" t="s">
        <v>574</v>
      </c>
      <c r="E203" s="3">
        <v>3778493</v>
      </c>
      <c r="F203" s="3">
        <v>630</v>
      </c>
      <c r="G203" s="3">
        <v>14148</v>
      </c>
      <c r="H203" s="3">
        <v>0</v>
      </c>
      <c r="I203" s="3">
        <v>3777863</v>
      </c>
      <c r="J203" s="3">
        <v>3763715</v>
      </c>
      <c r="K203" s="3">
        <v>3763715</v>
      </c>
      <c r="L203" s="3">
        <v>136683</v>
      </c>
      <c r="M203" s="3">
        <v>361678</v>
      </c>
      <c r="N203" s="3">
        <v>36647</v>
      </c>
      <c r="O203" s="3">
        <v>41073</v>
      </c>
      <c r="P203" s="3">
        <v>207906</v>
      </c>
      <c r="Q203" s="3">
        <v>2993876</v>
      </c>
      <c r="R203" s="3">
        <v>2979728</v>
      </c>
      <c r="S203" s="3">
        <v>2979728</v>
      </c>
      <c r="T203" s="3">
        <v>377786</v>
      </c>
      <c r="U203" s="3">
        <v>377786</v>
      </c>
      <c r="V203" s="3">
        <v>377786</v>
      </c>
      <c r="W203" s="3">
        <v>377786</v>
      </c>
      <c r="X203" s="3">
        <v>375429</v>
      </c>
      <c r="Y203" s="3">
        <v>375429</v>
      </c>
      <c r="Z203" s="4">
        <v>375428</v>
      </c>
      <c r="AA203" s="4">
        <v>375428</v>
      </c>
      <c r="AB203" s="4">
        <v>375428</v>
      </c>
      <c r="AC203" s="4">
        <v>375429</v>
      </c>
      <c r="AD203" s="4">
        <v>377786</v>
      </c>
      <c r="AE203" s="4">
        <v>755572</v>
      </c>
      <c r="AF203" s="4">
        <v>1133358</v>
      </c>
      <c r="AG203" s="4">
        <v>1511144</v>
      </c>
      <c r="AH203" s="4">
        <v>1886573</v>
      </c>
      <c r="AI203" s="4">
        <v>2262002</v>
      </c>
      <c r="AJ203" s="4">
        <v>2637430</v>
      </c>
      <c r="AK203" s="4">
        <v>3012858</v>
      </c>
      <c r="AL203" s="4">
        <v>3388286</v>
      </c>
      <c r="AM203" s="4">
        <v>3763715</v>
      </c>
      <c r="AN203" s="153">
        <v>283499</v>
      </c>
    </row>
    <row r="204" spans="1:40" x14ac:dyDescent="0.2">
      <c r="A204" s="1">
        <v>2022</v>
      </c>
      <c r="B204" s="2" t="s">
        <v>225</v>
      </c>
      <c r="C204" s="2" t="s">
        <v>225</v>
      </c>
      <c r="D204" s="1" t="s">
        <v>575</v>
      </c>
      <c r="E204" s="3">
        <v>9760595</v>
      </c>
      <c r="F204" s="3">
        <v>1144</v>
      </c>
      <c r="G204" s="3">
        <v>34939</v>
      </c>
      <c r="H204" s="1">
        <v>0</v>
      </c>
      <c r="I204" s="3">
        <v>9759451</v>
      </c>
      <c r="J204" s="3">
        <v>9724512</v>
      </c>
      <c r="K204" s="3">
        <v>9724512</v>
      </c>
      <c r="L204" s="3">
        <v>248188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7857942</v>
      </c>
      <c r="R204" s="3">
        <v>7823003</v>
      </c>
      <c r="S204" s="3">
        <v>7823003</v>
      </c>
      <c r="T204" s="3">
        <v>975945</v>
      </c>
      <c r="U204" s="3">
        <v>975945</v>
      </c>
      <c r="V204" s="3">
        <v>975945</v>
      </c>
      <c r="W204" s="3">
        <v>975945</v>
      </c>
      <c r="X204" s="3">
        <v>970122</v>
      </c>
      <c r="Y204" s="3">
        <v>970122</v>
      </c>
      <c r="Z204" s="4">
        <v>970122</v>
      </c>
      <c r="AA204" s="4">
        <v>970122</v>
      </c>
      <c r="AB204" s="4">
        <v>970122</v>
      </c>
      <c r="AC204" s="4">
        <v>970122</v>
      </c>
      <c r="AD204" s="4">
        <v>975945</v>
      </c>
      <c r="AE204" s="4">
        <v>1951890</v>
      </c>
      <c r="AF204" s="4">
        <v>2927835</v>
      </c>
      <c r="AG204" s="4">
        <v>3903780</v>
      </c>
      <c r="AH204" s="4">
        <v>4873902</v>
      </c>
      <c r="AI204" s="4">
        <v>5844024</v>
      </c>
      <c r="AJ204" s="4">
        <v>6814146</v>
      </c>
      <c r="AK204" s="4">
        <v>7784268</v>
      </c>
      <c r="AL204" s="4">
        <v>8754390</v>
      </c>
      <c r="AM204" s="4">
        <v>9724512</v>
      </c>
      <c r="AN204" s="153">
        <v>666339</v>
      </c>
    </row>
    <row r="205" spans="1:40" x14ac:dyDescent="0.2">
      <c r="A205" s="1">
        <v>2022</v>
      </c>
      <c r="B205" s="2" t="s">
        <v>226</v>
      </c>
      <c r="C205" s="2" t="s">
        <v>226</v>
      </c>
      <c r="D205" s="1" t="s">
        <v>576</v>
      </c>
      <c r="E205" s="3">
        <v>2388758</v>
      </c>
      <c r="F205" s="3">
        <v>630</v>
      </c>
      <c r="G205" s="3">
        <v>11145</v>
      </c>
      <c r="H205" s="3">
        <v>0</v>
      </c>
      <c r="I205" s="3">
        <v>2388128</v>
      </c>
      <c r="J205" s="3">
        <v>2376983</v>
      </c>
      <c r="K205" s="3">
        <v>2376983</v>
      </c>
      <c r="L205" s="3">
        <v>136683</v>
      </c>
      <c r="M205" s="3">
        <v>295741</v>
      </c>
      <c r="N205" s="3">
        <v>37925</v>
      </c>
      <c r="O205" s="3">
        <v>31718</v>
      </c>
      <c r="P205" s="3">
        <v>163784</v>
      </c>
      <c r="Q205" s="3">
        <v>1722277</v>
      </c>
      <c r="R205" s="3">
        <v>1711132</v>
      </c>
      <c r="S205" s="3">
        <v>1711132</v>
      </c>
      <c r="T205" s="3">
        <v>238813</v>
      </c>
      <c r="U205" s="3">
        <v>238813</v>
      </c>
      <c r="V205" s="3">
        <v>238813</v>
      </c>
      <c r="W205" s="3">
        <v>238813</v>
      </c>
      <c r="X205" s="3">
        <v>236955</v>
      </c>
      <c r="Y205" s="3">
        <v>236955</v>
      </c>
      <c r="Z205" s="4">
        <v>236955</v>
      </c>
      <c r="AA205" s="4">
        <v>236955</v>
      </c>
      <c r="AB205" s="4">
        <v>236955</v>
      </c>
      <c r="AC205" s="4">
        <v>236956</v>
      </c>
      <c r="AD205" s="4">
        <v>238813</v>
      </c>
      <c r="AE205" s="4">
        <v>477626</v>
      </c>
      <c r="AF205" s="4">
        <v>716439</v>
      </c>
      <c r="AG205" s="4">
        <v>955252</v>
      </c>
      <c r="AH205" s="4">
        <v>1192207</v>
      </c>
      <c r="AI205" s="4">
        <v>1429162</v>
      </c>
      <c r="AJ205" s="4">
        <v>1666117</v>
      </c>
      <c r="AK205" s="4">
        <v>1903072</v>
      </c>
      <c r="AL205" s="4">
        <v>2140027</v>
      </c>
      <c r="AM205" s="4">
        <v>2376983</v>
      </c>
      <c r="AN205" s="153">
        <v>221638</v>
      </c>
    </row>
    <row r="206" spans="1:40" x14ac:dyDescent="0.2">
      <c r="A206" s="1">
        <v>2022</v>
      </c>
      <c r="B206" s="2" t="s">
        <v>227</v>
      </c>
      <c r="C206" s="2" t="s">
        <v>227</v>
      </c>
      <c r="D206" s="1" t="s">
        <v>577</v>
      </c>
      <c r="E206" s="3">
        <v>5029228</v>
      </c>
      <c r="F206" s="3">
        <v>779</v>
      </c>
      <c r="G206" s="3">
        <v>22046</v>
      </c>
      <c r="H206" s="1">
        <v>0</v>
      </c>
      <c r="I206" s="3">
        <v>5028449</v>
      </c>
      <c r="J206" s="3">
        <v>5006403</v>
      </c>
      <c r="K206" s="3">
        <v>5006403</v>
      </c>
      <c r="L206" s="3">
        <v>169056</v>
      </c>
      <c r="M206" s="3">
        <v>580192</v>
      </c>
      <c r="N206" s="3">
        <v>53858</v>
      </c>
      <c r="O206" s="3">
        <v>64419</v>
      </c>
      <c r="P206" s="3">
        <v>323972</v>
      </c>
      <c r="Q206" s="3">
        <v>3836952</v>
      </c>
      <c r="R206" s="3">
        <v>3814906</v>
      </c>
      <c r="S206" s="3">
        <v>3814906</v>
      </c>
      <c r="T206" s="3">
        <v>502845</v>
      </c>
      <c r="U206" s="3">
        <v>502845</v>
      </c>
      <c r="V206" s="3">
        <v>502845</v>
      </c>
      <c r="W206" s="3">
        <v>502845</v>
      </c>
      <c r="X206" s="3">
        <v>499171</v>
      </c>
      <c r="Y206" s="3">
        <v>499171</v>
      </c>
      <c r="Z206" s="4">
        <v>499170</v>
      </c>
      <c r="AA206" s="4">
        <v>499170</v>
      </c>
      <c r="AB206" s="4">
        <v>499170</v>
      </c>
      <c r="AC206" s="4">
        <v>499171</v>
      </c>
      <c r="AD206" s="4">
        <v>502845</v>
      </c>
      <c r="AE206" s="4">
        <v>1005690</v>
      </c>
      <c r="AF206" s="4">
        <v>1508535</v>
      </c>
      <c r="AG206" s="4">
        <v>2011380</v>
      </c>
      <c r="AH206" s="4">
        <v>2510551</v>
      </c>
      <c r="AI206" s="4">
        <v>3009722</v>
      </c>
      <c r="AJ206" s="4">
        <v>3508892</v>
      </c>
      <c r="AK206" s="4">
        <v>4008062</v>
      </c>
      <c r="AL206" s="4">
        <v>4507232</v>
      </c>
      <c r="AM206" s="4">
        <v>5006403</v>
      </c>
      <c r="AN206" s="153">
        <v>450324</v>
      </c>
    </row>
    <row r="207" spans="1:40" x14ac:dyDescent="0.2">
      <c r="A207" s="1">
        <v>2022</v>
      </c>
      <c r="B207" s="2" t="s">
        <v>228</v>
      </c>
      <c r="C207" s="2" t="s">
        <v>228</v>
      </c>
      <c r="D207" s="1" t="s">
        <v>578</v>
      </c>
      <c r="E207" s="3">
        <v>3609769</v>
      </c>
      <c r="F207" s="3">
        <v>332</v>
      </c>
      <c r="G207" s="3">
        <v>11927</v>
      </c>
      <c r="H207" s="1">
        <v>0</v>
      </c>
      <c r="I207" s="3">
        <v>3609437</v>
      </c>
      <c r="J207" s="3">
        <v>3597510</v>
      </c>
      <c r="K207" s="3">
        <v>3597510</v>
      </c>
      <c r="L207" s="3">
        <v>71938</v>
      </c>
      <c r="M207" s="3">
        <v>321952</v>
      </c>
      <c r="N207" s="3">
        <v>38451</v>
      </c>
      <c r="O207" s="3">
        <v>34052</v>
      </c>
      <c r="P207" s="3">
        <v>175268</v>
      </c>
      <c r="Q207" s="3">
        <v>2967776</v>
      </c>
      <c r="R207" s="3">
        <v>2955849</v>
      </c>
      <c r="S207" s="3">
        <v>2955849</v>
      </c>
      <c r="T207" s="3">
        <v>360944</v>
      </c>
      <c r="U207" s="3">
        <v>360944</v>
      </c>
      <c r="V207" s="3">
        <v>360944</v>
      </c>
      <c r="W207" s="3">
        <v>360944</v>
      </c>
      <c r="X207" s="3">
        <v>358956</v>
      </c>
      <c r="Y207" s="3">
        <v>358956</v>
      </c>
      <c r="Z207" s="4">
        <v>358956</v>
      </c>
      <c r="AA207" s="4">
        <v>358956</v>
      </c>
      <c r="AB207" s="4">
        <v>358956</v>
      </c>
      <c r="AC207" s="4">
        <v>358954</v>
      </c>
      <c r="AD207" s="4">
        <v>360944</v>
      </c>
      <c r="AE207" s="4">
        <v>721888</v>
      </c>
      <c r="AF207" s="4">
        <v>1082832</v>
      </c>
      <c r="AG207" s="4">
        <v>1443776</v>
      </c>
      <c r="AH207" s="4">
        <v>1802732</v>
      </c>
      <c r="AI207" s="4">
        <v>2161688</v>
      </c>
      <c r="AJ207" s="4">
        <v>2520644</v>
      </c>
      <c r="AK207" s="4">
        <v>2879600</v>
      </c>
      <c r="AL207" s="4">
        <v>3238556</v>
      </c>
      <c r="AM207" s="4">
        <v>3597510</v>
      </c>
      <c r="AN207" s="153">
        <v>231434</v>
      </c>
    </row>
    <row r="208" spans="1:40" x14ac:dyDescent="0.2">
      <c r="A208" s="1">
        <v>2022</v>
      </c>
      <c r="B208" s="2" t="s">
        <v>229</v>
      </c>
      <c r="C208" s="2" t="s">
        <v>229</v>
      </c>
      <c r="D208" s="1" t="s">
        <v>579</v>
      </c>
      <c r="E208" s="3">
        <v>21298780</v>
      </c>
      <c r="F208" s="3">
        <v>1194</v>
      </c>
      <c r="G208" s="3">
        <v>70023</v>
      </c>
      <c r="H208" s="3">
        <v>0</v>
      </c>
      <c r="I208" s="3">
        <v>21297586</v>
      </c>
      <c r="J208" s="3">
        <v>21227563</v>
      </c>
      <c r="K208" s="3">
        <v>21227563</v>
      </c>
      <c r="L208" s="3">
        <v>258978</v>
      </c>
      <c r="M208" s="3">
        <v>1796185</v>
      </c>
      <c r="N208" s="3">
        <v>233120</v>
      </c>
      <c r="O208" s="3">
        <v>200074</v>
      </c>
      <c r="P208" s="3">
        <v>1029023</v>
      </c>
      <c r="Q208" s="3">
        <v>17780206</v>
      </c>
      <c r="R208" s="3">
        <v>17710183</v>
      </c>
      <c r="S208" s="3">
        <v>17710183</v>
      </c>
      <c r="T208" s="3">
        <v>2129759</v>
      </c>
      <c r="U208" s="3">
        <v>2129759</v>
      </c>
      <c r="V208" s="3">
        <v>2129759</v>
      </c>
      <c r="W208" s="3">
        <v>2129759</v>
      </c>
      <c r="X208" s="3">
        <v>2118088</v>
      </c>
      <c r="Y208" s="3">
        <v>2118088</v>
      </c>
      <c r="Z208" s="4">
        <v>2118088</v>
      </c>
      <c r="AA208" s="4">
        <v>2118088</v>
      </c>
      <c r="AB208" s="4">
        <v>2118088</v>
      </c>
      <c r="AC208" s="4">
        <v>2118087</v>
      </c>
      <c r="AD208" s="4">
        <v>2129759</v>
      </c>
      <c r="AE208" s="4">
        <v>4259518</v>
      </c>
      <c r="AF208" s="4">
        <v>6389277</v>
      </c>
      <c r="AG208" s="4">
        <v>8519036</v>
      </c>
      <c r="AH208" s="4">
        <v>10637124</v>
      </c>
      <c r="AI208" s="4">
        <v>12755212</v>
      </c>
      <c r="AJ208" s="4">
        <v>14873300</v>
      </c>
      <c r="AK208" s="4">
        <v>16991388</v>
      </c>
      <c r="AL208" s="4">
        <v>19109476</v>
      </c>
      <c r="AM208" s="4">
        <v>21227563</v>
      </c>
      <c r="AN208" s="153">
        <v>1372711</v>
      </c>
    </row>
    <row r="209" spans="1:40" x14ac:dyDescent="0.2">
      <c r="A209" s="1">
        <v>2022</v>
      </c>
      <c r="B209" s="2" t="s">
        <v>230</v>
      </c>
      <c r="C209" s="2" t="s">
        <v>230</v>
      </c>
      <c r="D209" s="1" t="s">
        <v>580</v>
      </c>
      <c r="E209" s="3">
        <v>4630792</v>
      </c>
      <c r="F209" s="3">
        <v>896</v>
      </c>
      <c r="G209" s="3">
        <v>18316</v>
      </c>
      <c r="H209" s="1">
        <v>0</v>
      </c>
      <c r="I209" s="3">
        <v>4629896</v>
      </c>
      <c r="J209" s="3">
        <v>4611580</v>
      </c>
      <c r="K209" s="3">
        <v>4611580</v>
      </c>
      <c r="L209" s="3">
        <v>194233</v>
      </c>
      <c r="M209" s="3">
        <v>503417</v>
      </c>
      <c r="N209" s="3">
        <v>52149</v>
      </c>
      <c r="O209" s="3">
        <v>56523</v>
      </c>
      <c r="P209" s="3">
        <v>269712</v>
      </c>
      <c r="Q209" s="3">
        <v>3553862</v>
      </c>
      <c r="R209" s="3">
        <v>3535546</v>
      </c>
      <c r="S209" s="3">
        <v>3535546</v>
      </c>
      <c r="T209" s="3">
        <v>462990</v>
      </c>
      <c r="U209" s="3">
        <v>462990</v>
      </c>
      <c r="V209" s="3">
        <v>462990</v>
      </c>
      <c r="W209" s="3">
        <v>462990</v>
      </c>
      <c r="X209" s="3">
        <v>459937</v>
      </c>
      <c r="Y209" s="3">
        <v>459937</v>
      </c>
      <c r="Z209" s="4">
        <v>459937</v>
      </c>
      <c r="AA209" s="4">
        <v>459937</v>
      </c>
      <c r="AB209" s="4">
        <v>459937</v>
      </c>
      <c r="AC209" s="4">
        <v>459935</v>
      </c>
      <c r="AD209" s="4">
        <v>462990</v>
      </c>
      <c r="AE209" s="4">
        <v>925980</v>
      </c>
      <c r="AF209" s="4">
        <v>1388970</v>
      </c>
      <c r="AG209" s="4">
        <v>1851960</v>
      </c>
      <c r="AH209" s="4">
        <v>2311897</v>
      </c>
      <c r="AI209" s="4">
        <v>2771834</v>
      </c>
      <c r="AJ209" s="4">
        <v>3231771</v>
      </c>
      <c r="AK209" s="4">
        <v>3691708</v>
      </c>
      <c r="AL209" s="4">
        <v>4151645</v>
      </c>
      <c r="AM209" s="4">
        <v>4611580</v>
      </c>
      <c r="AN209" s="153">
        <v>376994</v>
      </c>
    </row>
    <row r="210" spans="1:40" x14ac:dyDescent="0.2">
      <c r="A210" s="1">
        <v>2022</v>
      </c>
      <c r="B210" s="2" t="s">
        <v>231</v>
      </c>
      <c r="C210" s="2" t="s">
        <v>231</v>
      </c>
      <c r="D210" s="1" t="s">
        <v>581</v>
      </c>
      <c r="E210" s="3">
        <v>3272307</v>
      </c>
      <c r="F210" s="1">
        <v>763</v>
      </c>
      <c r="G210" s="3">
        <v>12435</v>
      </c>
      <c r="H210" s="3">
        <v>0</v>
      </c>
      <c r="I210" s="3">
        <v>3271544</v>
      </c>
      <c r="J210" s="3">
        <v>3259109</v>
      </c>
      <c r="K210" s="3">
        <v>3259109</v>
      </c>
      <c r="L210" s="3">
        <v>165458</v>
      </c>
      <c r="M210" s="3">
        <v>350096</v>
      </c>
      <c r="N210" s="3">
        <v>42362</v>
      </c>
      <c r="O210" s="3">
        <v>39482</v>
      </c>
      <c r="P210" s="3">
        <v>182738</v>
      </c>
      <c r="Q210" s="3">
        <v>2491408</v>
      </c>
      <c r="R210" s="3">
        <v>2478973</v>
      </c>
      <c r="S210" s="3">
        <v>2478973</v>
      </c>
      <c r="T210" s="3">
        <v>327154</v>
      </c>
      <c r="U210" s="3">
        <v>327154</v>
      </c>
      <c r="V210" s="3">
        <v>327154</v>
      </c>
      <c r="W210" s="3">
        <v>327154</v>
      </c>
      <c r="X210" s="3">
        <v>325082</v>
      </c>
      <c r="Y210" s="3">
        <v>325082</v>
      </c>
      <c r="Z210" s="4">
        <v>325082</v>
      </c>
      <c r="AA210" s="4">
        <v>325082</v>
      </c>
      <c r="AB210" s="4">
        <v>325082</v>
      </c>
      <c r="AC210" s="4">
        <v>325083</v>
      </c>
      <c r="AD210" s="4">
        <v>327154</v>
      </c>
      <c r="AE210" s="4">
        <v>654308</v>
      </c>
      <c r="AF210" s="4">
        <v>981462</v>
      </c>
      <c r="AG210" s="4">
        <v>1308616</v>
      </c>
      <c r="AH210" s="4">
        <v>1633698</v>
      </c>
      <c r="AI210" s="4">
        <v>1958780</v>
      </c>
      <c r="AJ210" s="4">
        <v>2283862</v>
      </c>
      <c r="AK210" s="4">
        <v>2608944</v>
      </c>
      <c r="AL210" s="4">
        <v>2934026</v>
      </c>
      <c r="AM210" s="4">
        <v>3259109</v>
      </c>
      <c r="AN210" s="153">
        <v>237795</v>
      </c>
    </row>
    <row r="211" spans="1:40" x14ac:dyDescent="0.2">
      <c r="A211" s="1">
        <v>2022</v>
      </c>
      <c r="B211" s="2" t="s">
        <v>232</v>
      </c>
      <c r="C211" s="2" t="s">
        <v>232</v>
      </c>
      <c r="D211" s="1" t="s">
        <v>801</v>
      </c>
      <c r="E211" s="3">
        <v>7530592</v>
      </c>
      <c r="F211" s="3">
        <v>763</v>
      </c>
      <c r="G211" s="3">
        <v>26091</v>
      </c>
      <c r="H211" s="1">
        <v>0</v>
      </c>
      <c r="I211" s="3">
        <v>7529829</v>
      </c>
      <c r="J211" s="3">
        <v>7503738</v>
      </c>
      <c r="K211" s="3">
        <v>7503738</v>
      </c>
      <c r="L211" s="3">
        <v>197174</v>
      </c>
      <c r="M211" s="3">
        <v>692673</v>
      </c>
      <c r="N211" s="3">
        <v>76141</v>
      </c>
      <c r="O211" s="3">
        <v>75888</v>
      </c>
      <c r="P211" s="3">
        <v>383418</v>
      </c>
      <c r="Q211" s="3">
        <v>6104535</v>
      </c>
      <c r="R211" s="3">
        <v>6078444</v>
      </c>
      <c r="S211" s="3">
        <v>6078444</v>
      </c>
      <c r="T211" s="3">
        <v>752983</v>
      </c>
      <c r="U211" s="3">
        <v>752983</v>
      </c>
      <c r="V211" s="3">
        <v>752983</v>
      </c>
      <c r="W211" s="3">
        <v>752983</v>
      </c>
      <c r="X211" s="3">
        <v>748634</v>
      </c>
      <c r="Y211" s="3">
        <v>748634</v>
      </c>
      <c r="Z211" s="4">
        <v>748635</v>
      </c>
      <c r="AA211" s="4">
        <v>748635</v>
      </c>
      <c r="AB211" s="4">
        <v>748635</v>
      </c>
      <c r="AC211" s="4">
        <v>748633</v>
      </c>
      <c r="AD211" s="4">
        <v>752983</v>
      </c>
      <c r="AE211" s="4">
        <v>1505966</v>
      </c>
      <c r="AF211" s="4">
        <v>2258949</v>
      </c>
      <c r="AG211" s="4">
        <v>3011932</v>
      </c>
      <c r="AH211" s="4">
        <v>3760566</v>
      </c>
      <c r="AI211" s="4">
        <v>4509200</v>
      </c>
      <c r="AJ211" s="4">
        <v>5257835</v>
      </c>
      <c r="AK211" s="4">
        <v>6006470</v>
      </c>
      <c r="AL211" s="4">
        <v>6755105</v>
      </c>
      <c r="AM211" s="4">
        <v>7503738</v>
      </c>
      <c r="AN211" s="153">
        <v>541722</v>
      </c>
    </row>
    <row r="212" spans="1:40" x14ac:dyDescent="0.2">
      <c r="A212" s="1">
        <v>2022</v>
      </c>
      <c r="B212" s="2" t="s">
        <v>234</v>
      </c>
      <c r="C212" s="2" t="s">
        <v>234</v>
      </c>
      <c r="D212" s="1" t="s">
        <v>582</v>
      </c>
      <c r="E212" s="3">
        <v>2775739</v>
      </c>
      <c r="F212" s="3">
        <v>514</v>
      </c>
      <c r="G212" s="3">
        <v>11563</v>
      </c>
      <c r="H212" s="1">
        <v>0</v>
      </c>
      <c r="I212" s="3">
        <v>2775225</v>
      </c>
      <c r="J212" s="3">
        <v>2763662</v>
      </c>
      <c r="K212" s="3">
        <v>2763662</v>
      </c>
      <c r="L212" s="3">
        <v>111505</v>
      </c>
      <c r="M212" s="3">
        <v>316186</v>
      </c>
      <c r="N212" s="3">
        <v>39708</v>
      </c>
      <c r="O212" s="3">
        <v>34071</v>
      </c>
      <c r="P212" s="3">
        <v>169927</v>
      </c>
      <c r="Q212" s="3">
        <v>2103828</v>
      </c>
      <c r="R212" s="3">
        <v>2092265</v>
      </c>
      <c r="S212" s="3">
        <v>2092265</v>
      </c>
      <c r="T212" s="3">
        <v>277523</v>
      </c>
      <c r="U212" s="3">
        <v>277523</v>
      </c>
      <c r="V212" s="3">
        <v>277523</v>
      </c>
      <c r="W212" s="3">
        <v>277523</v>
      </c>
      <c r="X212" s="3">
        <v>275595</v>
      </c>
      <c r="Y212" s="3">
        <v>275595</v>
      </c>
      <c r="Z212" s="4">
        <v>275595</v>
      </c>
      <c r="AA212" s="4">
        <v>275595</v>
      </c>
      <c r="AB212" s="4">
        <v>275595</v>
      </c>
      <c r="AC212" s="4">
        <v>275595</v>
      </c>
      <c r="AD212" s="4">
        <v>277523</v>
      </c>
      <c r="AE212" s="4">
        <v>555046</v>
      </c>
      <c r="AF212" s="4">
        <v>832569</v>
      </c>
      <c r="AG212" s="4">
        <v>1110092</v>
      </c>
      <c r="AH212" s="4">
        <v>1385687</v>
      </c>
      <c r="AI212" s="4">
        <v>1661282</v>
      </c>
      <c r="AJ212" s="4">
        <v>1936877</v>
      </c>
      <c r="AK212" s="4">
        <v>2212472</v>
      </c>
      <c r="AL212" s="4">
        <v>2488067</v>
      </c>
      <c r="AM212" s="4">
        <v>2763662</v>
      </c>
      <c r="AN212" s="153">
        <v>229501</v>
      </c>
    </row>
    <row r="213" spans="1:40" x14ac:dyDescent="0.2">
      <c r="A213" s="1">
        <v>2022</v>
      </c>
      <c r="B213" s="2" t="s">
        <v>235</v>
      </c>
      <c r="C213" s="2" t="s">
        <v>235</v>
      </c>
      <c r="D213" s="1" t="s">
        <v>583</v>
      </c>
      <c r="E213" s="3">
        <v>3549017</v>
      </c>
      <c r="F213" s="3">
        <v>531</v>
      </c>
      <c r="G213" s="3">
        <v>13903</v>
      </c>
      <c r="H213" s="1">
        <v>0</v>
      </c>
      <c r="I213" s="3">
        <v>3548486</v>
      </c>
      <c r="J213" s="3">
        <v>3534583</v>
      </c>
      <c r="K213" s="3">
        <v>3534583</v>
      </c>
      <c r="L213" s="3">
        <v>115101</v>
      </c>
      <c r="M213" s="3">
        <v>358163</v>
      </c>
      <c r="N213" s="3">
        <v>37635</v>
      </c>
      <c r="O213" s="3">
        <v>37524</v>
      </c>
      <c r="P213" s="3">
        <v>204670</v>
      </c>
      <c r="Q213" s="3">
        <v>2795393</v>
      </c>
      <c r="R213" s="3">
        <v>2781490</v>
      </c>
      <c r="S213" s="3">
        <v>2781490</v>
      </c>
      <c r="T213" s="3">
        <v>354849</v>
      </c>
      <c r="U213" s="3">
        <v>354849</v>
      </c>
      <c r="V213" s="3">
        <v>354849</v>
      </c>
      <c r="W213" s="3">
        <v>354849</v>
      </c>
      <c r="X213" s="3">
        <v>352531</v>
      </c>
      <c r="Y213" s="3">
        <v>352531</v>
      </c>
      <c r="Z213" s="4">
        <v>352531</v>
      </c>
      <c r="AA213" s="4">
        <v>352531</v>
      </c>
      <c r="AB213" s="4">
        <v>352531</v>
      </c>
      <c r="AC213" s="4">
        <v>352532</v>
      </c>
      <c r="AD213" s="4">
        <v>354849</v>
      </c>
      <c r="AE213" s="4">
        <v>709698</v>
      </c>
      <c r="AF213" s="4">
        <v>1064547</v>
      </c>
      <c r="AG213" s="4">
        <v>1419396</v>
      </c>
      <c r="AH213" s="4">
        <v>1771927</v>
      </c>
      <c r="AI213" s="4">
        <v>2124458</v>
      </c>
      <c r="AJ213" s="4">
        <v>2476989</v>
      </c>
      <c r="AK213" s="4">
        <v>2829520</v>
      </c>
      <c r="AL213" s="4">
        <v>3182051</v>
      </c>
      <c r="AM213" s="4">
        <v>3534583</v>
      </c>
      <c r="AN213" s="153">
        <v>274766</v>
      </c>
    </row>
    <row r="214" spans="1:40" x14ac:dyDescent="0.2">
      <c r="A214" s="1">
        <v>2022</v>
      </c>
      <c r="B214" s="2" t="s">
        <v>236</v>
      </c>
      <c r="C214" s="2" t="s">
        <v>236</v>
      </c>
      <c r="D214" s="1" t="s">
        <v>584</v>
      </c>
      <c r="E214" s="3">
        <v>973467</v>
      </c>
      <c r="F214" s="1">
        <v>365</v>
      </c>
      <c r="G214" s="3">
        <v>6314</v>
      </c>
      <c r="H214" s="1">
        <v>0</v>
      </c>
      <c r="I214" s="3">
        <v>973102</v>
      </c>
      <c r="J214" s="3">
        <v>966788</v>
      </c>
      <c r="K214" s="3">
        <v>966788</v>
      </c>
      <c r="L214" s="3">
        <v>79132</v>
      </c>
      <c r="M214" s="3">
        <v>169676</v>
      </c>
      <c r="N214" s="3">
        <v>17189</v>
      </c>
      <c r="O214" s="3">
        <v>18990</v>
      </c>
      <c r="P214" s="3">
        <v>92783</v>
      </c>
      <c r="Q214" s="3">
        <v>595332</v>
      </c>
      <c r="R214" s="3">
        <v>589018</v>
      </c>
      <c r="S214" s="3">
        <v>589018</v>
      </c>
      <c r="T214" s="3">
        <v>97310</v>
      </c>
      <c r="U214" s="3">
        <v>97310</v>
      </c>
      <c r="V214" s="3">
        <v>97310</v>
      </c>
      <c r="W214" s="3">
        <v>97310</v>
      </c>
      <c r="X214" s="3">
        <v>96258</v>
      </c>
      <c r="Y214" s="3">
        <v>96258</v>
      </c>
      <c r="Z214" s="4">
        <v>96258</v>
      </c>
      <c r="AA214" s="4">
        <v>96258</v>
      </c>
      <c r="AB214" s="4">
        <v>96258</v>
      </c>
      <c r="AC214" s="4">
        <v>96258</v>
      </c>
      <c r="AD214" s="4">
        <v>97310</v>
      </c>
      <c r="AE214" s="4">
        <v>194620</v>
      </c>
      <c r="AF214" s="4">
        <v>291930</v>
      </c>
      <c r="AG214" s="4">
        <v>389240</v>
      </c>
      <c r="AH214" s="4">
        <v>485498</v>
      </c>
      <c r="AI214" s="4">
        <v>581756</v>
      </c>
      <c r="AJ214" s="4">
        <v>678014</v>
      </c>
      <c r="AK214" s="4">
        <v>774272</v>
      </c>
      <c r="AL214" s="4">
        <v>870530</v>
      </c>
      <c r="AM214" s="4">
        <v>966788</v>
      </c>
      <c r="AN214" s="153">
        <v>137810</v>
      </c>
    </row>
    <row r="215" spans="1:40" x14ac:dyDescent="0.2">
      <c r="A215" s="1">
        <v>2022</v>
      </c>
      <c r="B215" s="2" t="s">
        <v>237</v>
      </c>
      <c r="C215" s="2" t="s">
        <v>237</v>
      </c>
      <c r="D215" s="1" t="s">
        <v>585</v>
      </c>
      <c r="E215" s="3">
        <v>12649162</v>
      </c>
      <c r="F215" s="3">
        <v>1509</v>
      </c>
      <c r="G215" s="3">
        <v>45058</v>
      </c>
      <c r="H215" s="1">
        <v>0</v>
      </c>
      <c r="I215" s="3">
        <v>12647653</v>
      </c>
      <c r="J215" s="3">
        <v>12602595</v>
      </c>
      <c r="K215" s="3">
        <v>12602595</v>
      </c>
      <c r="L215" s="3">
        <v>327320</v>
      </c>
      <c r="M215" s="3">
        <v>1100164</v>
      </c>
      <c r="N215" s="3">
        <v>114288</v>
      </c>
      <c r="O215" s="3">
        <v>115085</v>
      </c>
      <c r="P215" s="3">
        <v>662151</v>
      </c>
      <c r="Q215" s="3">
        <v>10328645</v>
      </c>
      <c r="R215" s="3">
        <v>10283587</v>
      </c>
      <c r="S215" s="3">
        <v>10283587</v>
      </c>
      <c r="T215" s="3">
        <v>1264765</v>
      </c>
      <c r="U215" s="3">
        <v>1264765</v>
      </c>
      <c r="V215" s="3">
        <v>1264765</v>
      </c>
      <c r="W215" s="3">
        <v>1264765</v>
      </c>
      <c r="X215" s="3">
        <v>1257256</v>
      </c>
      <c r="Y215" s="3">
        <v>1257256</v>
      </c>
      <c r="Z215" s="4">
        <v>1257256</v>
      </c>
      <c r="AA215" s="4">
        <v>1257256</v>
      </c>
      <c r="AB215" s="4">
        <v>1257256</v>
      </c>
      <c r="AC215" s="4">
        <v>1257255</v>
      </c>
      <c r="AD215" s="4">
        <v>1264765</v>
      </c>
      <c r="AE215" s="4">
        <v>2529530</v>
      </c>
      <c r="AF215" s="4">
        <v>3794295</v>
      </c>
      <c r="AG215" s="4">
        <v>5059060</v>
      </c>
      <c r="AH215" s="4">
        <v>6316316</v>
      </c>
      <c r="AI215" s="4">
        <v>7573572</v>
      </c>
      <c r="AJ215" s="4">
        <v>8830828</v>
      </c>
      <c r="AK215" s="4">
        <v>10088084</v>
      </c>
      <c r="AL215" s="4">
        <v>11345340</v>
      </c>
      <c r="AM215" s="4">
        <v>12602595</v>
      </c>
      <c r="AN215" s="153">
        <v>880638</v>
      </c>
    </row>
    <row r="216" spans="1:40" x14ac:dyDescent="0.2">
      <c r="A216" s="1">
        <v>2022</v>
      </c>
      <c r="B216" s="2" t="s">
        <v>238</v>
      </c>
      <c r="C216" s="2" t="s">
        <v>238</v>
      </c>
      <c r="D216" s="1" t="s">
        <v>586</v>
      </c>
      <c r="E216" s="3">
        <v>18706731</v>
      </c>
      <c r="F216" s="3">
        <v>2504</v>
      </c>
      <c r="G216" s="3">
        <v>72947</v>
      </c>
      <c r="H216" s="1">
        <v>0</v>
      </c>
      <c r="I216" s="3">
        <v>18704227</v>
      </c>
      <c r="J216" s="3">
        <v>18631280</v>
      </c>
      <c r="K216" s="3">
        <v>18631280</v>
      </c>
      <c r="L216" s="3">
        <v>550183</v>
      </c>
      <c r="M216" s="3">
        <v>1875798</v>
      </c>
      <c r="N216" s="3">
        <v>204621</v>
      </c>
      <c r="O216" s="3">
        <v>210456</v>
      </c>
      <c r="P216" s="3">
        <v>1071994</v>
      </c>
      <c r="Q216" s="3">
        <v>14791175</v>
      </c>
      <c r="R216" s="3">
        <v>14718228</v>
      </c>
      <c r="S216" s="3">
        <v>14718228</v>
      </c>
      <c r="T216" s="3">
        <v>1870423</v>
      </c>
      <c r="U216" s="3">
        <v>1870423</v>
      </c>
      <c r="V216" s="3">
        <v>1870423</v>
      </c>
      <c r="W216" s="3">
        <v>1870423</v>
      </c>
      <c r="X216" s="3">
        <v>1858265</v>
      </c>
      <c r="Y216" s="3">
        <v>1858265</v>
      </c>
      <c r="Z216" s="4">
        <v>1858265</v>
      </c>
      <c r="AA216" s="4">
        <v>1858265</v>
      </c>
      <c r="AB216" s="4">
        <v>1858265</v>
      </c>
      <c r="AC216" s="4">
        <v>1858263</v>
      </c>
      <c r="AD216" s="4">
        <v>1870423</v>
      </c>
      <c r="AE216" s="4">
        <v>3740846</v>
      </c>
      <c r="AF216" s="4">
        <v>5611269</v>
      </c>
      <c r="AG216" s="4">
        <v>7481692</v>
      </c>
      <c r="AH216" s="4">
        <v>9339957</v>
      </c>
      <c r="AI216" s="4">
        <v>11198222</v>
      </c>
      <c r="AJ216" s="4">
        <v>13056487</v>
      </c>
      <c r="AK216" s="4">
        <v>14914752</v>
      </c>
      <c r="AL216" s="4">
        <v>16773017</v>
      </c>
      <c r="AM216" s="4">
        <v>18631280</v>
      </c>
      <c r="AN216" s="153">
        <v>1433468</v>
      </c>
    </row>
    <row r="217" spans="1:40" x14ac:dyDescent="0.2">
      <c r="A217" s="1">
        <v>2022</v>
      </c>
      <c r="B217" s="2" t="s">
        <v>239</v>
      </c>
      <c r="C217" s="2" t="s">
        <v>239</v>
      </c>
      <c r="D217" s="1" t="s">
        <v>587</v>
      </c>
      <c r="E217" s="3">
        <v>2563040</v>
      </c>
      <c r="F217" s="3">
        <v>564</v>
      </c>
      <c r="G217" s="3">
        <v>10335</v>
      </c>
      <c r="H217" s="1">
        <v>0</v>
      </c>
      <c r="I217" s="3">
        <v>2562476</v>
      </c>
      <c r="J217" s="3">
        <v>2552141</v>
      </c>
      <c r="K217" s="3">
        <v>2552141</v>
      </c>
      <c r="L217" s="3">
        <v>122295</v>
      </c>
      <c r="M217" s="3">
        <v>297959</v>
      </c>
      <c r="N217" s="3">
        <v>30422</v>
      </c>
      <c r="O217" s="3">
        <v>31929</v>
      </c>
      <c r="P217" s="3">
        <v>152037</v>
      </c>
      <c r="Q217" s="3">
        <v>1927834</v>
      </c>
      <c r="R217" s="3">
        <v>1917499</v>
      </c>
      <c r="S217" s="3">
        <v>1917499</v>
      </c>
      <c r="T217" s="3">
        <v>256248</v>
      </c>
      <c r="U217" s="3">
        <v>256248</v>
      </c>
      <c r="V217" s="3">
        <v>256248</v>
      </c>
      <c r="W217" s="3">
        <v>256248</v>
      </c>
      <c r="X217" s="3">
        <v>254525</v>
      </c>
      <c r="Y217" s="3">
        <v>254525</v>
      </c>
      <c r="Z217" s="4">
        <v>254525</v>
      </c>
      <c r="AA217" s="4">
        <v>254525</v>
      </c>
      <c r="AB217" s="4">
        <v>254525</v>
      </c>
      <c r="AC217" s="4">
        <v>254524</v>
      </c>
      <c r="AD217" s="4">
        <v>256248</v>
      </c>
      <c r="AE217" s="4">
        <v>512496</v>
      </c>
      <c r="AF217" s="4">
        <v>768744</v>
      </c>
      <c r="AG217" s="4">
        <v>1024992</v>
      </c>
      <c r="AH217" s="4">
        <v>1279517</v>
      </c>
      <c r="AI217" s="4">
        <v>1534042</v>
      </c>
      <c r="AJ217" s="4">
        <v>1788567</v>
      </c>
      <c r="AK217" s="4">
        <v>2043092</v>
      </c>
      <c r="AL217" s="4">
        <v>2297617</v>
      </c>
      <c r="AM217" s="4">
        <v>2552141</v>
      </c>
      <c r="AN217" s="153">
        <v>214059</v>
      </c>
    </row>
    <row r="218" spans="1:40" x14ac:dyDescent="0.2">
      <c r="A218" s="1">
        <v>2022</v>
      </c>
      <c r="B218" s="2" t="s">
        <v>241</v>
      </c>
      <c r="C218" s="2" t="s">
        <v>241</v>
      </c>
      <c r="D218" s="1" t="s">
        <v>588</v>
      </c>
      <c r="E218" s="3">
        <v>3016544</v>
      </c>
      <c r="F218" s="3">
        <v>680</v>
      </c>
      <c r="G218" s="3">
        <v>11967</v>
      </c>
      <c r="H218" s="3">
        <v>57016</v>
      </c>
      <c r="I218" s="3">
        <v>3015864</v>
      </c>
      <c r="J218" s="3">
        <v>3003897</v>
      </c>
      <c r="K218" s="3">
        <v>2946881</v>
      </c>
      <c r="L218" s="3">
        <v>147474</v>
      </c>
      <c r="M218" s="3">
        <v>309822</v>
      </c>
      <c r="N218" s="3">
        <v>31089</v>
      </c>
      <c r="O218" s="3">
        <v>35468</v>
      </c>
      <c r="P218" s="3">
        <v>175861</v>
      </c>
      <c r="Q218" s="3">
        <v>2316150</v>
      </c>
      <c r="R218" s="3">
        <v>2304183</v>
      </c>
      <c r="S218" s="3">
        <v>2247167</v>
      </c>
      <c r="T218" s="3">
        <v>301586</v>
      </c>
      <c r="U218" s="3">
        <v>301586</v>
      </c>
      <c r="V218" s="3">
        <v>301586</v>
      </c>
      <c r="W218" s="3">
        <v>301586</v>
      </c>
      <c r="X218" s="3">
        <v>299592</v>
      </c>
      <c r="Y218" s="3">
        <v>299592</v>
      </c>
      <c r="Z218" s="4">
        <v>285338</v>
      </c>
      <c r="AA218" s="4">
        <v>285338</v>
      </c>
      <c r="AB218" s="4">
        <v>285338</v>
      </c>
      <c r="AC218" s="4">
        <v>285339</v>
      </c>
      <c r="AD218" s="4">
        <v>301586</v>
      </c>
      <c r="AE218" s="4">
        <v>603172</v>
      </c>
      <c r="AF218" s="4">
        <v>904758</v>
      </c>
      <c r="AG218" s="4">
        <v>1206344</v>
      </c>
      <c r="AH218" s="4">
        <v>1505936</v>
      </c>
      <c r="AI218" s="4">
        <v>1805528</v>
      </c>
      <c r="AJ218" s="4">
        <v>2090866</v>
      </c>
      <c r="AK218" s="4">
        <v>2376204</v>
      </c>
      <c r="AL218" s="4">
        <v>2661542</v>
      </c>
      <c r="AM218" s="4">
        <v>2946881</v>
      </c>
      <c r="AN218" s="153">
        <v>244406</v>
      </c>
    </row>
    <row r="219" spans="1:40" x14ac:dyDescent="0.2">
      <c r="A219" s="1">
        <v>2022</v>
      </c>
      <c r="B219" s="2" t="s">
        <v>242</v>
      </c>
      <c r="C219" s="2" t="s">
        <v>242</v>
      </c>
      <c r="D219" s="1" t="s">
        <v>589</v>
      </c>
      <c r="E219" s="3">
        <v>23710816</v>
      </c>
      <c r="F219" s="3">
        <v>2057</v>
      </c>
      <c r="G219" s="3">
        <v>75774</v>
      </c>
      <c r="H219" s="1">
        <v>0</v>
      </c>
      <c r="I219" s="3">
        <v>23708759</v>
      </c>
      <c r="J219" s="3">
        <v>23632985</v>
      </c>
      <c r="K219" s="3">
        <v>23632985</v>
      </c>
      <c r="L219" s="3">
        <v>446017</v>
      </c>
      <c r="M219" s="3">
        <v>1996079</v>
      </c>
      <c r="N219" s="3">
        <v>210923</v>
      </c>
      <c r="O219" s="3">
        <v>210125</v>
      </c>
      <c r="P219" s="3">
        <v>1113533</v>
      </c>
      <c r="Q219" s="3">
        <v>19732082</v>
      </c>
      <c r="R219" s="3">
        <v>19656308</v>
      </c>
      <c r="S219" s="3">
        <v>19656308</v>
      </c>
      <c r="T219" s="3">
        <v>2370876</v>
      </c>
      <c r="U219" s="3">
        <v>2370876</v>
      </c>
      <c r="V219" s="3">
        <v>2370876</v>
      </c>
      <c r="W219" s="3">
        <v>2370876</v>
      </c>
      <c r="X219" s="3">
        <v>2358247</v>
      </c>
      <c r="Y219" s="3">
        <v>2358247</v>
      </c>
      <c r="Z219" s="4">
        <v>2358247</v>
      </c>
      <c r="AA219" s="4">
        <v>2358247</v>
      </c>
      <c r="AB219" s="4">
        <v>2358247</v>
      </c>
      <c r="AC219" s="4">
        <v>2358246</v>
      </c>
      <c r="AD219" s="4">
        <v>2370876</v>
      </c>
      <c r="AE219" s="4">
        <v>4741752</v>
      </c>
      <c r="AF219" s="4">
        <v>7112628</v>
      </c>
      <c r="AG219" s="4">
        <v>9483504</v>
      </c>
      <c r="AH219" s="4">
        <v>11841751</v>
      </c>
      <c r="AI219" s="4">
        <v>14199998</v>
      </c>
      <c r="AJ219" s="4">
        <v>16558245</v>
      </c>
      <c r="AK219" s="4">
        <v>18916492</v>
      </c>
      <c r="AL219" s="4">
        <v>21274739</v>
      </c>
      <c r="AM219" s="4">
        <v>23632985</v>
      </c>
      <c r="AN219" s="153">
        <v>1496750</v>
      </c>
    </row>
    <row r="220" spans="1:40" x14ac:dyDescent="0.2">
      <c r="A220" s="1">
        <v>2022</v>
      </c>
      <c r="B220" s="2" t="s">
        <v>243</v>
      </c>
      <c r="C220" s="2" t="s">
        <v>698</v>
      </c>
      <c r="D220" s="1" t="s">
        <v>590</v>
      </c>
      <c r="E220" s="3">
        <v>3914337</v>
      </c>
      <c r="F220" s="3">
        <v>614</v>
      </c>
      <c r="G220" s="3">
        <v>16276</v>
      </c>
      <c r="H220" s="1">
        <v>0</v>
      </c>
      <c r="I220" s="3">
        <v>3913723</v>
      </c>
      <c r="J220" s="3">
        <v>3897447</v>
      </c>
      <c r="K220" s="3">
        <v>3897447</v>
      </c>
      <c r="L220" s="3">
        <v>133086</v>
      </c>
      <c r="M220" s="3">
        <v>428436</v>
      </c>
      <c r="N220" s="3">
        <v>43992</v>
      </c>
      <c r="O220" s="3">
        <v>46481</v>
      </c>
      <c r="P220" s="3">
        <v>240327</v>
      </c>
      <c r="Q220" s="3">
        <v>3021401</v>
      </c>
      <c r="R220" s="3">
        <v>3005125</v>
      </c>
      <c r="S220" s="3">
        <v>3005125</v>
      </c>
      <c r="T220" s="3">
        <v>391372</v>
      </c>
      <c r="U220" s="3">
        <v>391372</v>
      </c>
      <c r="V220" s="3">
        <v>391372</v>
      </c>
      <c r="W220" s="3">
        <v>391372</v>
      </c>
      <c r="X220" s="3">
        <v>388660</v>
      </c>
      <c r="Y220" s="3">
        <v>388660</v>
      </c>
      <c r="Z220" s="4">
        <v>388660</v>
      </c>
      <c r="AA220" s="4">
        <v>388660</v>
      </c>
      <c r="AB220" s="4">
        <v>388660</v>
      </c>
      <c r="AC220" s="4">
        <v>388659</v>
      </c>
      <c r="AD220" s="4">
        <v>391372</v>
      </c>
      <c r="AE220" s="4">
        <v>782744</v>
      </c>
      <c r="AF220" s="4">
        <v>1174116</v>
      </c>
      <c r="AG220" s="4">
        <v>1565488</v>
      </c>
      <c r="AH220" s="4">
        <v>1954148</v>
      </c>
      <c r="AI220" s="4">
        <v>2342808</v>
      </c>
      <c r="AJ220" s="4">
        <v>2731468</v>
      </c>
      <c r="AK220" s="4">
        <v>3120128</v>
      </c>
      <c r="AL220" s="4">
        <v>3508788</v>
      </c>
      <c r="AM220" s="4">
        <v>3897447</v>
      </c>
      <c r="AN220" s="153">
        <v>324857</v>
      </c>
    </row>
    <row r="221" spans="1:40" x14ac:dyDescent="0.2">
      <c r="A221" s="1">
        <v>2022</v>
      </c>
      <c r="B221" s="2" t="s">
        <v>244</v>
      </c>
      <c r="C221" s="2" t="s">
        <v>244</v>
      </c>
      <c r="D221" s="1" t="s">
        <v>802</v>
      </c>
      <c r="E221" s="3">
        <v>5565775</v>
      </c>
      <c r="F221" s="3">
        <v>663</v>
      </c>
      <c r="G221" s="3">
        <v>22960</v>
      </c>
      <c r="H221" s="1">
        <v>0</v>
      </c>
      <c r="I221" s="3">
        <v>5565112</v>
      </c>
      <c r="J221" s="3">
        <v>5542152</v>
      </c>
      <c r="K221" s="3">
        <v>5542152</v>
      </c>
      <c r="L221" s="3">
        <v>143877</v>
      </c>
      <c r="M221" s="3">
        <v>642531</v>
      </c>
      <c r="N221" s="3">
        <v>69059</v>
      </c>
      <c r="O221" s="3">
        <v>74371</v>
      </c>
      <c r="P221" s="3">
        <v>339117</v>
      </c>
      <c r="Q221" s="3">
        <v>4296157</v>
      </c>
      <c r="R221" s="3">
        <v>4273197</v>
      </c>
      <c r="S221" s="3">
        <v>4273197</v>
      </c>
      <c r="T221" s="3">
        <v>556511</v>
      </c>
      <c r="U221" s="3">
        <v>556511</v>
      </c>
      <c r="V221" s="3">
        <v>556511</v>
      </c>
      <c r="W221" s="3">
        <v>556511</v>
      </c>
      <c r="X221" s="3">
        <v>552685</v>
      </c>
      <c r="Y221" s="3">
        <v>552685</v>
      </c>
      <c r="Z221" s="4">
        <v>552685</v>
      </c>
      <c r="AA221" s="4">
        <v>552685</v>
      </c>
      <c r="AB221" s="4">
        <v>552685</v>
      </c>
      <c r="AC221" s="4">
        <v>552683</v>
      </c>
      <c r="AD221" s="4">
        <v>556511</v>
      </c>
      <c r="AE221" s="4">
        <v>1113022</v>
      </c>
      <c r="AF221" s="4">
        <v>1669533</v>
      </c>
      <c r="AG221" s="4">
        <v>2226044</v>
      </c>
      <c r="AH221" s="4">
        <v>2778729</v>
      </c>
      <c r="AI221" s="4">
        <v>3331414</v>
      </c>
      <c r="AJ221" s="4">
        <v>3884099</v>
      </c>
      <c r="AK221" s="4">
        <v>4436784</v>
      </c>
      <c r="AL221" s="4">
        <v>4989469</v>
      </c>
      <c r="AM221" s="4">
        <v>5542152</v>
      </c>
      <c r="AN221" s="153">
        <v>455277</v>
      </c>
    </row>
    <row r="222" spans="1:40" x14ac:dyDescent="0.2">
      <c r="A222" s="1">
        <v>2022</v>
      </c>
      <c r="B222" s="2" t="s">
        <v>245</v>
      </c>
      <c r="C222" s="2" t="s">
        <v>245</v>
      </c>
      <c r="D222" s="1" t="s">
        <v>591</v>
      </c>
      <c r="E222" s="3">
        <v>10017979</v>
      </c>
      <c r="F222" s="3">
        <v>481</v>
      </c>
      <c r="G222" s="3">
        <v>31509</v>
      </c>
      <c r="H222" s="1">
        <v>0</v>
      </c>
      <c r="I222" s="3">
        <v>10017498</v>
      </c>
      <c r="J222" s="3">
        <v>9985989</v>
      </c>
      <c r="K222" s="3">
        <v>9985989</v>
      </c>
      <c r="L222" s="3">
        <v>104311</v>
      </c>
      <c r="M222" s="3">
        <v>833772</v>
      </c>
      <c r="N222" s="3">
        <v>97644</v>
      </c>
      <c r="O222" s="3">
        <v>95667</v>
      </c>
      <c r="P222" s="3">
        <v>463041</v>
      </c>
      <c r="Q222" s="3">
        <v>8423063</v>
      </c>
      <c r="R222" s="3">
        <v>8391554</v>
      </c>
      <c r="S222" s="3">
        <v>8391554</v>
      </c>
      <c r="T222" s="3">
        <v>1001750</v>
      </c>
      <c r="U222" s="3">
        <v>1001750</v>
      </c>
      <c r="V222" s="3">
        <v>1001750</v>
      </c>
      <c r="W222" s="3">
        <v>1001750</v>
      </c>
      <c r="X222" s="3">
        <v>996498</v>
      </c>
      <c r="Y222" s="3">
        <v>996498</v>
      </c>
      <c r="Z222" s="4">
        <v>996498</v>
      </c>
      <c r="AA222" s="4">
        <v>996498</v>
      </c>
      <c r="AB222" s="4">
        <v>996498</v>
      </c>
      <c r="AC222" s="4">
        <v>996499</v>
      </c>
      <c r="AD222" s="4">
        <v>1001750</v>
      </c>
      <c r="AE222" s="4">
        <v>2003500</v>
      </c>
      <c r="AF222" s="4">
        <v>3005250</v>
      </c>
      <c r="AG222" s="4">
        <v>4007000</v>
      </c>
      <c r="AH222" s="4">
        <v>5003498</v>
      </c>
      <c r="AI222" s="4">
        <v>5999996</v>
      </c>
      <c r="AJ222" s="4">
        <v>6996494</v>
      </c>
      <c r="AK222" s="4">
        <v>7992992</v>
      </c>
      <c r="AL222" s="4">
        <v>8989490</v>
      </c>
      <c r="AM222" s="4">
        <v>9985989</v>
      </c>
      <c r="AN222" s="153">
        <v>668797</v>
      </c>
    </row>
    <row r="223" spans="1:40" x14ac:dyDescent="0.2">
      <c r="A223" s="1">
        <v>2022</v>
      </c>
      <c r="B223" s="2" t="s">
        <v>246</v>
      </c>
      <c r="C223" s="2" t="s">
        <v>246</v>
      </c>
      <c r="D223" s="1" t="s">
        <v>592</v>
      </c>
      <c r="E223" s="3">
        <v>3369393</v>
      </c>
      <c r="F223" s="1">
        <v>597</v>
      </c>
      <c r="G223" s="3">
        <v>14437</v>
      </c>
      <c r="H223" s="1">
        <v>0</v>
      </c>
      <c r="I223" s="3">
        <v>3368796</v>
      </c>
      <c r="J223" s="3">
        <v>3354359</v>
      </c>
      <c r="K223" s="3">
        <v>3354359</v>
      </c>
      <c r="L223" s="3">
        <v>129489</v>
      </c>
      <c r="M223" s="3">
        <v>393755</v>
      </c>
      <c r="N223" s="3">
        <v>42394</v>
      </c>
      <c r="O223" s="3">
        <v>42864</v>
      </c>
      <c r="P223" s="3">
        <v>213499</v>
      </c>
      <c r="Q223" s="3">
        <v>2546795</v>
      </c>
      <c r="R223" s="3">
        <v>2532358</v>
      </c>
      <c r="S223" s="3">
        <v>2532358</v>
      </c>
      <c r="T223" s="3">
        <v>336880</v>
      </c>
      <c r="U223" s="3">
        <v>336880</v>
      </c>
      <c r="V223" s="3">
        <v>336880</v>
      </c>
      <c r="W223" s="3">
        <v>336880</v>
      </c>
      <c r="X223" s="3">
        <v>334473</v>
      </c>
      <c r="Y223" s="3">
        <v>334473</v>
      </c>
      <c r="Z223" s="4">
        <v>334473</v>
      </c>
      <c r="AA223" s="4">
        <v>334473</v>
      </c>
      <c r="AB223" s="4">
        <v>334473</v>
      </c>
      <c r="AC223" s="4">
        <v>334474</v>
      </c>
      <c r="AD223" s="4">
        <v>336880</v>
      </c>
      <c r="AE223" s="4">
        <v>673760</v>
      </c>
      <c r="AF223" s="4">
        <v>1010640</v>
      </c>
      <c r="AG223" s="4">
        <v>1347520</v>
      </c>
      <c r="AH223" s="4">
        <v>1681993</v>
      </c>
      <c r="AI223" s="4">
        <v>2016466</v>
      </c>
      <c r="AJ223" s="4">
        <v>2350939</v>
      </c>
      <c r="AK223" s="4">
        <v>2685412</v>
      </c>
      <c r="AL223" s="4">
        <v>3019885</v>
      </c>
      <c r="AM223" s="4">
        <v>3354359</v>
      </c>
      <c r="AN223" s="153">
        <v>267844</v>
      </c>
    </row>
    <row r="224" spans="1:40" x14ac:dyDescent="0.2">
      <c r="A224" s="1">
        <v>2022</v>
      </c>
      <c r="B224" s="2" t="s">
        <v>247</v>
      </c>
      <c r="C224" s="2" t="s">
        <v>247</v>
      </c>
      <c r="D224" s="1" t="s">
        <v>593</v>
      </c>
      <c r="E224" s="3">
        <v>370104</v>
      </c>
      <c r="F224" s="3">
        <v>1078</v>
      </c>
      <c r="G224" s="3">
        <v>24537</v>
      </c>
      <c r="H224" s="1">
        <v>0</v>
      </c>
      <c r="I224" s="3">
        <v>369026</v>
      </c>
      <c r="J224" s="3">
        <v>344489</v>
      </c>
      <c r="K224" s="3">
        <v>344489</v>
      </c>
      <c r="L224" s="3">
        <v>261992</v>
      </c>
      <c r="M224" s="3">
        <v>651916</v>
      </c>
      <c r="N224" s="3">
        <v>72672</v>
      </c>
      <c r="O224" s="3">
        <v>74200</v>
      </c>
      <c r="P224" s="3">
        <v>360589</v>
      </c>
      <c r="Q224" s="3">
        <v>-1052343</v>
      </c>
      <c r="R224" s="3">
        <v>-1076880</v>
      </c>
      <c r="S224" s="3">
        <v>-1076880</v>
      </c>
      <c r="T224" s="3">
        <v>36903</v>
      </c>
      <c r="U224" s="3">
        <v>36903</v>
      </c>
      <c r="V224" s="3">
        <v>36903</v>
      </c>
      <c r="W224" s="3">
        <v>36903</v>
      </c>
      <c r="X224" s="3">
        <v>32813</v>
      </c>
      <c r="Y224" s="3">
        <v>32813</v>
      </c>
      <c r="Z224" s="4">
        <v>32813</v>
      </c>
      <c r="AA224" s="4">
        <v>32813</v>
      </c>
      <c r="AB224" s="4">
        <v>32813</v>
      </c>
      <c r="AC224" s="4">
        <v>32812</v>
      </c>
      <c r="AD224" s="4">
        <v>36903</v>
      </c>
      <c r="AE224" s="4">
        <v>73806</v>
      </c>
      <c r="AF224" s="4">
        <v>110709</v>
      </c>
      <c r="AG224" s="4">
        <v>147612</v>
      </c>
      <c r="AH224" s="4">
        <v>180425</v>
      </c>
      <c r="AI224" s="4">
        <v>213238</v>
      </c>
      <c r="AJ224" s="4">
        <v>246051</v>
      </c>
      <c r="AK224" s="4">
        <v>278864</v>
      </c>
      <c r="AL224" s="4">
        <v>311677</v>
      </c>
      <c r="AM224" s="4">
        <v>344489</v>
      </c>
      <c r="AN224" s="153">
        <v>504376</v>
      </c>
    </row>
    <row r="225" spans="1:40" x14ac:dyDescent="0.2">
      <c r="A225" s="1">
        <v>2022</v>
      </c>
      <c r="B225" s="2" t="s">
        <v>248</v>
      </c>
      <c r="C225" s="2" t="s">
        <v>248</v>
      </c>
      <c r="D225" s="1" t="s">
        <v>594</v>
      </c>
      <c r="E225" s="3">
        <v>1425794</v>
      </c>
      <c r="F225" s="1">
        <v>216</v>
      </c>
      <c r="G225" s="3">
        <v>5178</v>
      </c>
      <c r="H225" s="1">
        <v>0</v>
      </c>
      <c r="I225" s="3">
        <v>1425578</v>
      </c>
      <c r="J225" s="3">
        <v>1420400</v>
      </c>
      <c r="K225" s="3">
        <v>1420400</v>
      </c>
      <c r="L225" s="3">
        <v>46760</v>
      </c>
      <c r="M225" s="3">
        <v>166640</v>
      </c>
      <c r="N225" s="3">
        <v>16846</v>
      </c>
      <c r="O225" s="3">
        <v>17206</v>
      </c>
      <c r="P225" s="3">
        <v>76700</v>
      </c>
      <c r="Q225" s="3">
        <v>1101426</v>
      </c>
      <c r="R225" s="3">
        <v>1096248</v>
      </c>
      <c r="S225" s="3">
        <v>1096248</v>
      </c>
      <c r="T225" s="3">
        <v>142558</v>
      </c>
      <c r="U225" s="3">
        <v>142558</v>
      </c>
      <c r="V225" s="3">
        <v>142558</v>
      </c>
      <c r="W225" s="3">
        <v>142558</v>
      </c>
      <c r="X225" s="3">
        <v>141695</v>
      </c>
      <c r="Y225" s="3">
        <v>141695</v>
      </c>
      <c r="Z225" s="4">
        <v>141695</v>
      </c>
      <c r="AA225" s="4">
        <v>141695</v>
      </c>
      <c r="AB225" s="4">
        <v>141695</v>
      </c>
      <c r="AC225" s="4">
        <v>141693</v>
      </c>
      <c r="AD225" s="4">
        <v>142558</v>
      </c>
      <c r="AE225" s="4">
        <v>285116</v>
      </c>
      <c r="AF225" s="4">
        <v>427674</v>
      </c>
      <c r="AG225" s="4">
        <v>570232</v>
      </c>
      <c r="AH225" s="4">
        <v>711927</v>
      </c>
      <c r="AI225" s="4">
        <v>853622</v>
      </c>
      <c r="AJ225" s="4">
        <v>995317</v>
      </c>
      <c r="AK225" s="4">
        <v>1137012</v>
      </c>
      <c r="AL225" s="4">
        <v>1278707</v>
      </c>
      <c r="AM225" s="4">
        <v>1420400</v>
      </c>
      <c r="AN225" s="153">
        <v>99777</v>
      </c>
    </row>
    <row r="226" spans="1:40" x14ac:dyDescent="0.2">
      <c r="A226" s="1">
        <v>2022</v>
      </c>
      <c r="B226" s="2" t="s">
        <v>249</v>
      </c>
      <c r="C226" s="2" t="s">
        <v>249</v>
      </c>
      <c r="D226" s="1" t="s">
        <v>595</v>
      </c>
      <c r="E226" s="3">
        <v>816732</v>
      </c>
      <c r="F226" s="1">
        <v>232</v>
      </c>
      <c r="G226" s="3">
        <v>4040</v>
      </c>
      <c r="H226" s="3">
        <v>0</v>
      </c>
      <c r="I226" s="3">
        <v>816500</v>
      </c>
      <c r="J226" s="3">
        <v>812460</v>
      </c>
      <c r="K226" s="3">
        <v>812460</v>
      </c>
      <c r="L226" s="3">
        <v>46833</v>
      </c>
      <c r="M226" s="3">
        <v>130639</v>
      </c>
      <c r="N226" s="3">
        <v>10260</v>
      </c>
      <c r="O226" s="3">
        <v>14544</v>
      </c>
      <c r="P226" s="3">
        <v>59377</v>
      </c>
      <c r="Q226" s="3">
        <v>554847</v>
      </c>
      <c r="R226" s="3">
        <v>550807</v>
      </c>
      <c r="S226" s="3">
        <v>550807</v>
      </c>
      <c r="T226" s="3">
        <v>81650</v>
      </c>
      <c r="U226" s="3">
        <v>81650</v>
      </c>
      <c r="V226" s="3">
        <v>81650</v>
      </c>
      <c r="W226" s="3">
        <v>81650</v>
      </c>
      <c r="X226" s="3">
        <v>80977</v>
      </c>
      <c r="Y226" s="3">
        <v>80977</v>
      </c>
      <c r="Z226" s="4">
        <v>80977</v>
      </c>
      <c r="AA226" s="4">
        <v>80977</v>
      </c>
      <c r="AB226" s="4">
        <v>80977</v>
      </c>
      <c r="AC226" s="4">
        <v>80975</v>
      </c>
      <c r="AD226" s="4">
        <v>81650</v>
      </c>
      <c r="AE226" s="4">
        <v>163300</v>
      </c>
      <c r="AF226" s="4">
        <v>244950</v>
      </c>
      <c r="AG226" s="4">
        <v>326600</v>
      </c>
      <c r="AH226" s="4">
        <v>407577</v>
      </c>
      <c r="AI226" s="4">
        <v>488554</v>
      </c>
      <c r="AJ226" s="4">
        <v>569531</v>
      </c>
      <c r="AK226" s="4">
        <v>650508</v>
      </c>
      <c r="AL226" s="4">
        <v>731485</v>
      </c>
      <c r="AM226" s="4">
        <v>812460</v>
      </c>
      <c r="AN226" s="153">
        <v>87441</v>
      </c>
    </row>
    <row r="227" spans="1:40" x14ac:dyDescent="0.2">
      <c r="A227" s="1">
        <v>2022</v>
      </c>
      <c r="B227" s="2" t="s">
        <v>250</v>
      </c>
      <c r="C227" s="2" t="s">
        <v>250</v>
      </c>
      <c r="D227" s="1" t="s">
        <v>596</v>
      </c>
      <c r="E227" s="3">
        <v>5504180</v>
      </c>
      <c r="F227" s="3">
        <v>1061</v>
      </c>
      <c r="G227" s="3">
        <v>21072</v>
      </c>
      <c r="H227" s="1">
        <v>0</v>
      </c>
      <c r="I227" s="3">
        <v>5503119</v>
      </c>
      <c r="J227" s="3">
        <v>5482047</v>
      </c>
      <c r="K227" s="3">
        <v>5482047</v>
      </c>
      <c r="L227" s="3">
        <v>230203</v>
      </c>
      <c r="M227" s="3">
        <v>550428</v>
      </c>
      <c r="N227" s="3">
        <v>59303</v>
      </c>
      <c r="O227" s="3">
        <v>62549</v>
      </c>
      <c r="P227" s="3">
        <v>309660</v>
      </c>
      <c r="Q227" s="3">
        <v>4290976</v>
      </c>
      <c r="R227" s="3">
        <v>4269904</v>
      </c>
      <c r="S227" s="3">
        <v>4269904</v>
      </c>
      <c r="T227" s="3">
        <v>550312</v>
      </c>
      <c r="U227" s="3">
        <v>550312</v>
      </c>
      <c r="V227" s="3">
        <v>550312</v>
      </c>
      <c r="W227" s="3">
        <v>550312</v>
      </c>
      <c r="X227" s="3">
        <v>546800</v>
      </c>
      <c r="Y227" s="3">
        <v>546800</v>
      </c>
      <c r="Z227" s="4">
        <v>546800</v>
      </c>
      <c r="AA227" s="4">
        <v>546800</v>
      </c>
      <c r="AB227" s="4">
        <v>546800</v>
      </c>
      <c r="AC227" s="4">
        <v>546799</v>
      </c>
      <c r="AD227" s="4">
        <v>550312</v>
      </c>
      <c r="AE227" s="4">
        <v>1100624</v>
      </c>
      <c r="AF227" s="4">
        <v>1650936</v>
      </c>
      <c r="AG227" s="4">
        <v>2201248</v>
      </c>
      <c r="AH227" s="4">
        <v>2748048</v>
      </c>
      <c r="AI227" s="4">
        <v>3294848</v>
      </c>
      <c r="AJ227" s="4">
        <v>3841648</v>
      </c>
      <c r="AK227" s="4">
        <v>4388448</v>
      </c>
      <c r="AL227" s="4">
        <v>4935248</v>
      </c>
      <c r="AM227" s="4">
        <v>5482047</v>
      </c>
      <c r="AN227" s="153">
        <v>418904</v>
      </c>
    </row>
    <row r="228" spans="1:40" x14ac:dyDescent="0.2">
      <c r="A228" s="1">
        <v>2022</v>
      </c>
      <c r="B228" s="2" t="s">
        <v>251</v>
      </c>
      <c r="C228" s="2" t="s">
        <v>251</v>
      </c>
      <c r="D228" s="1" t="s">
        <v>597</v>
      </c>
      <c r="E228" s="3">
        <v>15616153</v>
      </c>
      <c r="F228" s="3">
        <v>2123</v>
      </c>
      <c r="G228" s="3">
        <v>53327</v>
      </c>
      <c r="H228" s="1">
        <v>0</v>
      </c>
      <c r="I228" s="3">
        <v>15614030</v>
      </c>
      <c r="J228" s="3">
        <v>15560703</v>
      </c>
      <c r="K228" s="3">
        <v>15560703</v>
      </c>
      <c r="L228" s="3">
        <v>460405</v>
      </c>
      <c r="M228" s="3">
        <v>1363254</v>
      </c>
      <c r="N228" s="3">
        <v>177467</v>
      </c>
      <c r="O228" s="3">
        <v>159687</v>
      </c>
      <c r="P228" s="3">
        <v>783662</v>
      </c>
      <c r="Q228" s="3">
        <v>12669555</v>
      </c>
      <c r="R228" s="3">
        <v>12616228</v>
      </c>
      <c r="S228" s="3">
        <v>12616228</v>
      </c>
      <c r="T228" s="3">
        <v>1561403</v>
      </c>
      <c r="U228" s="3">
        <v>1561403</v>
      </c>
      <c r="V228" s="3">
        <v>1561403</v>
      </c>
      <c r="W228" s="3">
        <v>1561403</v>
      </c>
      <c r="X228" s="3">
        <v>1552515</v>
      </c>
      <c r="Y228" s="3">
        <v>1552515</v>
      </c>
      <c r="Z228" s="4">
        <v>1552515</v>
      </c>
      <c r="AA228" s="4">
        <v>1552515</v>
      </c>
      <c r="AB228" s="4">
        <v>1552515</v>
      </c>
      <c r="AC228" s="4">
        <v>1552516</v>
      </c>
      <c r="AD228" s="4">
        <v>1561403</v>
      </c>
      <c r="AE228" s="4">
        <v>3122806</v>
      </c>
      <c r="AF228" s="4">
        <v>4684209</v>
      </c>
      <c r="AG228" s="4">
        <v>6245612</v>
      </c>
      <c r="AH228" s="4">
        <v>7798127</v>
      </c>
      <c r="AI228" s="4">
        <v>9350642</v>
      </c>
      <c r="AJ228" s="4">
        <v>10903157</v>
      </c>
      <c r="AK228" s="4">
        <v>12455672</v>
      </c>
      <c r="AL228" s="4">
        <v>14008187</v>
      </c>
      <c r="AM228" s="4">
        <v>15560703</v>
      </c>
      <c r="AN228" s="153">
        <v>1064409</v>
      </c>
    </row>
    <row r="229" spans="1:40" x14ac:dyDescent="0.2">
      <c r="A229" s="1">
        <v>2022</v>
      </c>
      <c r="B229" s="2" t="s">
        <v>252</v>
      </c>
      <c r="C229" s="2" t="s">
        <v>252</v>
      </c>
      <c r="D229" s="1" t="s">
        <v>598</v>
      </c>
      <c r="E229" s="3">
        <v>38721175</v>
      </c>
      <c r="F229" s="3">
        <v>3815</v>
      </c>
      <c r="G229" s="3">
        <v>113637</v>
      </c>
      <c r="H229" s="3">
        <v>413338</v>
      </c>
      <c r="I229" s="3">
        <v>38717360</v>
      </c>
      <c r="J229" s="3">
        <v>38603723</v>
      </c>
      <c r="K229" s="3">
        <v>38190385</v>
      </c>
      <c r="L229" s="3">
        <v>827290</v>
      </c>
      <c r="M229" s="3">
        <v>2870352</v>
      </c>
      <c r="N229" s="3">
        <v>409367</v>
      </c>
      <c r="O229" s="3">
        <v>325408</v>
      </c>
      <c r="P229" s="3">
        <v>1669951</v>
      </c>
      <c r="Q229" s="3">
        <v>32614992</v>
      </c>
      <c r="R229" s="3">
        <v>32501355</v>
      </c>
      <c r="S229" s="3">
        <v>32088017</v>
      </c>
      <c r="T229" s="3">
        <v>3871736</v>
      </c>
      <c r="U229" s="3">
        <v>3871736</v>
      </c>
      <c r="V229" s="3">
        <v>3871736</v>
      </c>
      <c r="W229" s="3">
        <v>3871736</v>
      </c>
      <c r="X229" s="3">
        <v>3852797</v>
      </c>
      <c r="Y229" s="3">
        <v>3852797</v>
      </c>
      <c r="Z229" s="4">
        <v>3749462</v>
      </c>
      <c r="AA229" s="4">
        <v>3749462</v>
      </c>
      <c r="AB229" s="4">
        <v>3749462</v>
      </c>
      <c r="AC229" s="4">
        <v>3749461</v>
      </c>
      <c r="AD229" s="4">
        <v>3871736</v>
      </c>
      <c r="AE229" s="4">
        <v>7743472</v>
      </c>
      <c r="AF229" s="4">
        <v>11615208</v>
      </c>
      <c r="AG229" s="4">
        <v>15486944</v>
      </c>
      <c r="AH229" s="4">
        <v>19339741</v>
      </c>
      <c r="AI229" s="4">
        <v>23192538</v>
      </c>
      <c r="AJ229" s="4">
        <v>26942000</v>
      </c>
      <c r="AK229" s="4">
        <v>30691462</v>
      </c>
      <c r="AL229" s="4">
        <v>34440924</v>
      </c>
      <c r="AM229" s="4">
        <v>38190385</v>
      </c>
      <c r="AN229" s="153">
        <v>2271718</v>
      </c>
    </row>
    <row r="230" spans="1:40" x14ac:dyDescent="0.2">
      <c r="A230" s="1">
        <v>2022</v>
      </c>
      <c r="B230" s="2" t="s">
        <v>253</v>
      </c>
      <c r="C230" s="2" t="s">
        <v>253</v>
      </c>
      <c r="D230" s="1" t="s">
        <v>599</v>
      </c>
      <c r="E230" s="3">
        <v>3603910</v>
      </c>
      <c r="F230" s="3">
        <v>697</v>
      </c>
      <c r="G230" s="3">
        <v>16445</v>
      </c>
      <c r="H230" s="1">
        <v>0</v>
      </c>
      <c r="I230" s="3">
        <v>3603213</v>
      </c>
      <c r="J230" s="3">
        <v>3586768</v>
      </c>
      <c r="K230" s="3">
        <v>3586768</v>
      </c>
      <c r="L230" s="3">
        <v>151070</v>
      </c>
      <c r="M230" s="3">
        <v>420150</v>
      </c>
      <c r="N230" s="3">
        <v>44446</v>
      </c>
      <c r="O230" s="3">
        <v>41933</v>
      </c>
      <c r="P230" s="3">
        <v>241661</v>
      </c>
      <c r="Q230" s="3">
        <v>2703953</v>
      </c>
      <c r="R230" s="3">
        <v>2687508</v>
      </c>
      <c r="S230" s="3">
        <v>2687508</v>
      </c>
      <c r="T230" s="3">
        <v>360321</v>
      </c>
      <c r="U230" s="3">
        <v>360321</v>
      </c>
      <c r="V230" s="3">
        <v>360321</v>
      </c>
      <c r="W230" s="3">
        <v>360321</v>
      </c>
      <c r="X230" s="3">
        <v>357581</v>
      </c>
      <c r="Y230" s="3">
        <v>357581</v>
      </c>
      <c r="Z230" s="4">
        <v>357581</v>
      </c>
      <c r="AA230" s="4">
        <v>357581</v>
      </c>
      <c r="AB230" s="4">
        <v>357581</v>
      </c>
      <c r="AC230" s="4">
        <v>357579</v>
      </c>
      <c r="AD230" s="4">
        <v>360321</v>
      </c>
      <c r="AE230" s="4">
        <v>720642</v>
      </c>
      <c r="AF230" s="4">
        <v>1080963</v>
      </c>
      <c r="AG230" s="4">
        <v>1441284</v>
      </c>
      <c r="AH230" s="4">
        <v>1798865</v>
      </c>
      <c r="AI230" s="4">
        <v>2156446</v>
      </c>
      <c r="AJ230" s="4">
        <v>2514027</v>
      </c>
      <c r="AK230" s="4">
        <v>2871608</v>
      </c>
      <c r="AL230" s="4">
        <v>3229189</v>
      </c>
      <c r="AM230" s="4">
        <v>3586768</v>
      </c>
      <c r="AN230" s="153">
        <v>314261</v>
      </c>
    </row>
    <row r="231" spans="1:40" x14ac:dyDescent="0.2">
      <c r="A231" s="1">
        <v>2022</v>
      </c>
      <c r="B231" s="2" t="s">
        <v>254</v>
      </c>
      <c r="C231" s="2" t="s">
        <v>254</v>
      </c>
      <c r="D231" s="1" t="s">
        <v>600</v>
      </c>
      <c r="E231" s="3">
        <v>1149159</v>
      </c>
      <c r="F231" s="3">
        <v>166</v>
      </c>
      <c r="G231" s="3">
        <v>4846</v>
      </c>
      <c r="H231" s="3">
        <v>0</v>
      </c>
      <c r="I231" s="3">
        <v>1148993</v>
      </c>
      <c r="J231" s="3">
        <v>1144147</v>
      </c>
      <c r="K231" s="3">
        <v>1144147</v>
      </c>
      <c r="L231" s="3">
        <v>35969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884145</v>
      </c>
      <c r="R231" s="3">
        <v>879299</v>
      </c>
      <c r="S231" s="3">
        <v>879299</v>
      </c>
      <c r="T231" s="3">
        <v>114899</v>
      </c>
      <c r="U231" s="3">
        <v>114899</v>
      </c>
      <c r="V231" s="3">
        <v>114899</v>
      </c>
      <c r="W231" s="3">
        <v>114899</v>
      </c>
      <c r="X231" s="3">
        <v>114092</v>
      </c>
      <c r="Y231" s="3">
        <v>114092</v>
      </c>
      <c r="Z231" s="4">
        <v>114092</v>
      </c>
      <c r="AA231" s="4">
        <v>114092</v>
      </c>
      <c r="AB231" s="4">
        <v>114092</v>
      </c>
      <c r="AC231" s="4">
        <v>114091</v>
      </c>
      <c r="AD231" s="4">
        <v>114899</v>
      </c>
      <c r="AE231" s="4">
        <v>229798</v>
      </c>
      <c r="AF231" s="4">
        <v>344697</v>
      </c>
      <c r="AG231" s="4">
        <v>459596</v>
      </c>
      <c r="AH231" s="4">
        <v>573688</v>
      </c>
      <c r="AI231" s="4">
        <v>687780</v>
      </c>
      <c r="AJ231" s="4">
        <v>801872</v>
      </c>
      <c r="AK231" s="4">
        <v>915964</v>
      </c>
      <c r="AL231" s="4">
        <v>1030056</v>
      </c>
      <c r="AM231" s="4">
        <v>1144147</v>
      </c>
      <c r="AN231" s="153">
        <v>95932</v>
      </c>
    </row>
    <row r="232" spans="1:40" x14ac:dyDescent="0.2">
      <c r="A232" s="1">
        <v>2022</v>
      </c>
      <c r="B232" s="2" t="s">
        <v>255</v>
      </c>
      <c r="C232" s="2" t="s">
        <v>699</v>
      </c>
      <c r="D232" s="1" t="s">
        <v>601</v>
      </c>
      <c r="E232" s="3">
        <v>1871202</v>
      </c>
      <c r="F232" s="3">
        <v>464</v>
      </c>
      <c r="G232" s="3">
        <v>13874</v>
      </c>
      <c r="H232" s="1">
        <v>0</v>
      </c>
      <c r="I232" s="3">
        <v>1870738</v>
      </c>
      <c r="J232" s="3">
        <v>1856864</v>
      </c>
      <c r="K232" s="3">
        <v>1856864</v>
      </c>
      <c r="L232" s="3">
        <v>100714</v>
      </c>
      <c r="M232" s="3">
        <v>377522</v>
      </c>
      <c r="N232" s="3">
        <v>38215</v>
      </c>
      <c r="O232" s="3">
        <v>44342</v>
      </c>
      <c r="P232" s="3">
        <v>206613</v>
      </c>
      <c r="Q232" s="3">
        <v>1103332</v>
      </c>
      <c r="R232" s="3">
        <v>1089458</v>
      </c>
      <c r="S232" s="3">
        <v>1089458</v>
      </c>
      <c r="T232" s="3">
        <v>187074</v>
      </c>
      <c r="U232" s="3">
        <v>187074</v>
      </c>
      <c r="V232" s="3">
        <v>187074</v>
      </c>
      <c r="W232" s="3">
        <v>187074</v>
      </c>
      <c r="X232" s="3">
        <v>184761</v>
      </c>
      <c r="Y232" s="3">
        <v>184761</v>
      </c>
      <c r="Z232" s="4">
        <v>184762</v>
      </c>
      <c r="AA232" s="4">
        <v>184762</v>
      </c>
      <c r="AB232" s="4">
        <v>184762</v>
      </c>
      <c r="AC232" s="4">
        <v>184760</v>
      </c>
      <c r="AD232" s="4">
        <v>187074</v>
      </c>
      <c r="AE232" s="4">
        <v>374148</v>
      </c>
      <c r="AF232" s="4">
        <v>561222</v>
      </c>
      <c r="AG232" s="4">
        <v>748296</v>
      </c>
      <c r="AH232" s="4">
        <v>933057</v>
      </c>
      <c r="AI232" s="4">
        <v>1117818</v>
      </c>
      <c r="AJ232" s="4">
        <v>1302580</v>
      </c>
      <c r="AK232" s="4">
        <v>1487342</v>
      </c>
      <c r="AL232" s="4">
        <v>1672104</v>
      </c>
      <c r="AM232" s="4">
        <v>1856864</v>
      </c>
      <c r="AN232" s="153">
        <v>289402</v>
      </c>
    </row>
    <row r="233" spans="1:40" x14ac:dyDescent="0.2">
      <c r="A233" s="1">
        <v>2022</v>
      </c>
      <c r="B233" s="2" t="s">
        <v>256</v>
      </c>
      <c r="C233" s="2" t="s">
        <v>256</v>
      </c>
      <c r="D233" s="1" t="s">
        <v>602</v>
      </c>
      <c r="E233" s="3">
        <v>3445252</v>
      </c>
      <c r="F233" s="3">
        <v>630</v>
      </c>
      <c r="G233" s="3">
        <v>14022</v>
      </c>
      <c r="H233" s="1">
        <v>0</v>
      </c>
      <c r="I233" s="3">
        <v>3444622</v>
      </c>
      <c r="J233" s="3">
        <v>3430600</v>
      </c>
      <c r="K233" s="3">
        <v>3430600</v>
      </c>
      <c r="L233" s="3">
        <v>136683</v>
      </c>
      <c r="M233" s="3">
        <v>368400</v>
      </c>
      <c r="N233" s="3">
        <v>42814</v>
      </c>
      <c r="O233" s="3">
        <v>41416</v>
      </c>
      <c r="P233" s="3">
        <v>208113</v>
      </c>
      <c r="Q233" s="3">
        <v>2647196</v>
      </c>
      <c r="R233" s="3">
        <v>2633174</v>
      </c>
      <c r="S233" s="3">
        <v>2633174</v>
      </c>
      <c r="T233" s="3">
        <v>344462</v>
      </c>
      <c r="U233" s="3">
        <v>344462</v>
      </c>
      <c r="V233" s="3">
        <v>344462</v>
      </c>
      <c r="W233" s="3">
        <v>344462</v>
      </c>
      <c r="X233" s="3">
        <v>342125</v>
      </c>
      <c r="Y233" s="3">
        <v>342125</v>
      </c>
      <c r="Z233" s="4">
        <v>342126</v>
      </c>
      <c r="AA233" s="4">
        <v>342126</v>
      </c>
      <c r="AB233" s="4">
        <v>342126</v>
      </c>
      <c r="AC233" s="4">
        <v>342124</v>
      </c>
      <c r="AD233" s="4">
        <v>344462</v>
      </c>
      <c r="AE233" s="4">
        <v>688924</v>
      </c>
      <c r="AF233" s="4">
        <v>1033386</v>
      </c>
      <c r="AG233" s="4">
        <v>1377848</v>
      </c>
      <c r="AH233" s="4">
        <v>1719973</v>
      </c>
      <c r="AI233" s="4">
        <v>2062098</v>
      </c>
      <c r="AJ233" s="4">
        <v>2404224</v>
      </c>
      <c r="AK233" s="4">
        <v>2746350</v>
      </c>
      <c r="AL233" s="4">
        <v>3088476</v>
      </c>
      <c r="AM233" s="4">
        <v>3430600</v>
      </c>
      <c r="AN233" s="153">
        <v>273432</v>
      </c>
    </row>
    <row r="234" spans="1:40" x14ac:dyDescent="0.2">
      <c r="A234" s="1">
        <v>2022</v>
      </c>
      <c r="B234" s="2" t="s">
        <v>257</v>
      </c>
      <c r="C234" s="2" t="s">
        <v>257</v>
      </c>
      <c r="D234" s="1" t="s">
        <v>603</v>
      </c>
      <c r="E234" s="3">
        <v>12401725</v>
      </c>
      <c r="F234" s="3">
        <v>1974</v>
      </c>
      <c r="G234" s="3">
        <v>50814</v>
      </c>
      <c r="H234" s="1">
        <v>0</v>
      </c>
      <c r="I234" s="3">
        <v>12399751</v>
      </c>
      <c r="J234" s="3">
        <v>12348937</v>
      </c>
      <c r="K234" s="3">
        <v>12348937</v>
      </c>
      <c r="L234" s="3">
        <v>424509</v>
      </c>
      <c r="M234" s="3">
        <v>1265529</v>
      </c>
      <c r="N234" s="3">
        <v>147049</v>
      </c>
      <c r="O234" s="3">
        <v>136502</v>
      </c>
      <c r="P234" s="3">
        <v>746731</v>
      </c>
      <c r="Q234" s="3">
        <v>9679431</v>
      </c>
      <c r="R234" s="3">
        <v>9628617</v>
      </c>
      <c r="S234" s="3">
        <v>9628617</v>
      </c>
      <c r="T234" s="3">
        <v>1239975</v>
      </c>
      <c r="U234" s="3">
        <v>1239975</v>
      </c>
      <c r="V234" s="3">
        <v>1239975</v>
      </c>
      <c r="W234" s="3">
        <v>1239975</v>
      </c>
      <c r="X234" s="3">
        <v>1231506</v>
      </c>
      <c r="Y234" s="3">
        <v>1231506</v>
      </c>
      <c r="Z234" s="4">
        <v>1231506</v>
      </c>
      <c r="AA234" s="4">
        <v>1231506</v>
      </c>
      <c r="AB234" s="4">
        <v>1231506</v>
      </c>
      <c r="AC234" s="4">
        <v>1231507</v>
      </c>
      <c r="AD234" s="4">
        <v>1239975</v>
      </c>
      <c r="AE234" s="4">
        <v>2479950</v>
      </c>
      <c r="AF234" s="4">
        <v>3719925</v>
      </c>
      <c r="AG234" s="4">
        <v>4959900</v>
      </c>
      <c r="AH234" s="4">
        <v>6191406</v>
      </c>
      <c r="AI234" s="4">
        <v>7422912</v>
      </c>
      <c r="AJ234" s="4">
        <v>8654418</v>
      </c>
      <c r="AK234" s="4">
        <v>9885924</v>
      </c>
      <c r="AL234" s="4">
        <v>11117430</v>
      </c>
      <c r="AM234" s="4">
        <v>12348937</v>
      </c>
      <c r="AN234" s="153">
        <v>1038057</v>
      </c>
    </row>
    <row r="235" spans="1:40" x14ac:dyDescent="0.2">
      <c r="A235" s="1">
        <v>2022</v>
      </c>
      <c r="B235" s="2" t="s">
        <v>258</v>
      </c>
      <c r="C235" s="2" t="s">
        <v>258</v>
      </c>
      <c r="D235" s="1" t="s">
        <v>604</v>
      </c>
      <c r="E235" s="3">
        <v>14362941</v>
      </c>
      <c r="F235" s="3">
        <v>1377</v>
      </c>
      <c r="G235" s="3">
        <v>43193</v>
      </c>
      <c r="H235" s="1">
        <v>0</v>
      </c>
      <c r="I235" s="3">
        <v>14361564</v>
      </c>
      <c r="J235" s="3">
        <v>14318371</v>
      </c>
      <c r="K235" s="3">
        <v>14318371</v>
      </c>
      <c r="L235" s="3">
        <v>298544</v>
      </c>
      <c r="M235" s="3">
        <v>1149320</v>
      </c>
      <c r="N235" s="3">
        <v>168511</v>
      </c>
      <c r="O235" s="3">
        <v>125360</v>
      </c>
      <c r="P235" s="3">
        <v>634749</v>
      </c>
      <c r="Q235" s="3">
        <v>11985080</v>
      </c>
      <c r="R235" s="3">
        <v>11941887</v>
      </c>
      <c r="S235" s="3">
        <v>11941887</v>
      </c>
      <c r="T235" s="3">
        <v>1436156</v>
      </c>
      <c r="U235" s="3">
        <v>1436156</v>
      </c>
      <c r="V235" s="3">
        <v>1436156</v>
      </c>
      <c r="W235" s="3">
        <v>1436156</v>
      </c>
      <c r="X235" s="3">
        <v>1428958</v>
      </c>
      <c r="Y235" s="3">
        <v>1428958</v>
      </c>
      <c r="Z235" s="4">
        <v>1428958</v>
      </c>
      <c r="AA235" s="4">
        <v>1428958</v>
      </c>
      <c r="AB235" s="4">
        <v>1428958</v>
      </c>
      <c r="AC235" s="4">
        <v>1428957</v>
      </c>
      <c r="AD235" s="4">
        <v>1436156</v>
      </c>
      <c r="AE235" s="4">
        <v>2872312</v>
      </c>
      <c r="AF235" s="4">
        <v>4308468</v>
      </c>
      <c r="AG235" s="4">
        <v>5744624</v>
      </c>
      <c r="AH235" s="4">
        <v>7173582</v>
      </c>
      <c r="AI235" s="4">
        <v>8602540</v>
      </c>
      <c r="AJ235" s="4">
        <v>10031498</v>
      </c>
      <c r="AK235" s="4">
        <v>11460456</v>
      </c>
      <c r="AL235" s="4">
        <v>12889414</v>
      </c>
      <c r="AM235" s="4">
        <v>14318371</v>
      </c>
      <c r="AN235" s="153">
        <v>845908</v>
      </c>
    </row>
    <row r="236" spans="1:40" x14ac:dyDescent="0.2">
      <c r="A236" s="1">
        <v>2022</v>
      </c>
      <c r="B236" s="2" t="s">
        <v>259</v>
      </c>
      <c r="C236" s="2" t="s">
        <v>259</v>
      </c>
      <c r="D236" s="1" t="s">
        <v>605</v>
      </c>
      <c r="E236" s="3">
        <v>31742637</v>
      </c>
      <c r="F236" s="3">
        <v>2952</v>
      </c>
      <c r="G236" s="3">
        <v>124568</v>
      </c>
      <c r="H236" s="1">
        <v>0</v>
      </c>
      <c r="I236" s="3">
        <v>31739685</v>
      </c>
      <c r="J236" s="3">
        <v>31615117</v>
      </c>
      <c r="K236" s="3">
        <v>31615117</v>
      </c>
      <c r="L236" s="3">
        <v>643775</v>
      </c>
      <c r="M236" s="3">
        <v>3044730</v>
      </c>
      <c r="N236" s="3">
        <v>323620</v>
      </c>
      <c r="O236" s="3">
        <v>350889</v>
      </c>
      <c r="P236" s="3">
        <v>1830593</v>
      </c>
      <c r="Q236" s="3">
        <v>25546078</v>
      </c>
      <c r="R236" s="3">
        <v>25421510</v>
      </c>
      <c r="S236" s="3">
        <v>25421510</v>
      </c>
      <c r="T236" s="3">
        <v>3173969</v>
      </c>
      <c r="U236" s="3">
        <v>3173969</v>
      </c>
      <c r="V236" s="3">
        <v>3173969</v>
      </c>
      <c r="W236" s="3">
        <v>3173969</v>
      </c>
      <c r="X236" s="3">
        <v>3153207</v>
      </c>
      <c r="Y236" s="3">
        <v>3153207</v>
      </c>
      <c r="Z236" s="4">
        <v>3153207</v>
      </c>
      <c r="AA236" s="4">
        <v>3153207</v>
      </c>
      <c r="AB236" s="4">
        <v>3153207</v>
      </c>
      <c r="AC236" s="4">
        <v>3153206</v>
      </c>
      <c r="AD236" s="4">
        <v>3173969</v>
      </c>
      <c r="AE236" s="4">
        <v>6347938</v>
      </c>
      <c r="AF236" s="4">
        <v>9521907</v>
      </c>
      <c r="AG236" s="4">
        <v>12695876</v>
      </c>
      <c r="AH236" s="4">
        <v>15849083</v>
      </c>
      <c r="AI236" s="4">
        <v>19002290</v>
      </c>
      <c r="AJ236" s="4">
        <v>22155497</v>
      </c>
      <c r="AK236" s="4">
        <v>25308704</v>
      </c>
      <c r="AL236" s="4">
        <v>28461911</v>
      </c>
      <c r="AM236" s="4">
        <v>31615117</v>
      </c>
      <c r="AN236" s="153">
        <v>2486311</v>
      </c>
    </row>
    <row r="237" spans="1:40" x14ac:dyDescent="0.2">
      <c r="A237" s="1">
        <v>2022</v>
      </c>
      <c r="B237" s="2" t="s">
        <v>260</v>
      </c>
      <c r="C237" s="2" t="s">
        <v>260</v>
      </c>
      <c r="D237" s="1" t="s">
        <v>606</v>
      </c>
      <c r="E237" s="3">
        <v>4467919</v>
      </c>
      <c r="F237" s="3">
        <v>498</v>
      </c>
      <c r="G237" s="3">
        <v>15440</v>
      </c>
      <c r="H237" s="1">
        <v>0</v>
      </c>
      <c r="I237" s="3">
        <v>4467421</v>
      </c>
      <c r="J237" s="3">
        <v>4451981</v>
      </c>
      <c r="K237" s="3">
        <v>4451981</v>
      </c>
      <c r="L237" s="3">
        <v>107907</v>
      </c>
      <c r="M237" s="3">
        <v>404645</v>
      </c>
      <c r="N237" s="3">
        <v>53299</v>
      </c>
      <c r="O237" s="3">
        <v>42696</v>
      </c>
      <c r="P237" s="3">
        <v>228055</v>
      </c>
      <c r="Q237" s="3">
        <v>3630819</v>
      </c>
      <c r="R237" s="3">
        <v>3615379</v>
      </c>
      <c r="S237" s="3">
        <v>3615379</v>
      </c>
      <c r="T237" s="3">
        <v>446742</v>
      </c>
      <c r="U237" s="3">
        <v>446742</v>
      </c>
      <c r="V237" s="3">
        <v>446742</v>
      </c>
      <c r="W237" s="3">
        <v>446742</v>
      </c>
      <c r="X237" s="3">
        <v>444169</v>
      </c>
      <c r="Y237" s="3">
        <v>444169</v>
      </c>
      <c r="Z237" s="4">
        <v>444169</v>
      </c>
      <c r="AA237" s="4">
        <v>444169</v>
      </c>
      <c r="AB237" s="4">
        <v>444169</v>
      </c>
      <c r="AC237" s="4">
        <v>444168</v>
      </c>
      <c r="AD237" s="4">
        <v>446742</v>
      </c>
      <c r="AE237" s="4">
        <v>893484</v>
      </c>
      <c r="AF237" s="4">
        <v>1340226</v>
      </c>
      <c r="AG237" s="4">
        <v>1786968</v>
      </c>
      <c r="AH237" s="4">
        <v>2231137</v>
      </c>
      <c r="AI237" s="4">
        <v>2675306</v>
      </c>
      <c r="AJ237" s="4">
        <v>3119475</v>
      </c>
      <c r="AK237" s="4">
        <v>3563644</v>
      </c>
      <c r="AL237" s="4">
        <v>4007813</v>
      </c>
      <c r="AM237" s="4">
        <v>4451981</v>
      </c>
      <c r="AN237" s="153">
        <v>301094</v>
      </c>
    </row>
    <row r="238" spans="1:40" x14ac:dyDescent="0.2">
      <c r="A238" s="1">
        <v>2022</v>
      </c>
      <c r="B238" s="2" t="s">
        <v>261</v>
      </c>
      <c r="C238" s="2" t="s">
        <v>261</v>
      </c>
      <c r="D238" s="1" t="s">
        <v>607</v>
      </c>
      <c r="E238" s="3">
        <v>2267128</v>
      </c>
      <c r="F238" s="3">
        <v>697</v>
      </c>
      <c r="G238" s="3">
        <v>15680</v>
      </c>
      <c r="H238" s="1">
        <v>0</v>
      </c>
      <c r="I238" s="3">
        <v>2266431</v>
      </c>
      <c r="J238" s="3">
        <v>2250751</v>
      </c>
      <c r="K238" s="3">
        <v>2250751</v>
      </c>
      <c r="L238" s="3">
        <v>151070</v>
      </c>
      <c r="M238" s="3">
        <v>476850</v>
      </c>
      <c r="N238" s="3">
        <v>44656</v>
      </c>
      <c r="O238" s="3">
        <v>59383</v>
      </c>
      <c r="P238" s="3">
        <v>230421</v>
      </c>
      <c r="Q238" s="3">
        <v>1304051</v>
      </c>
      <c r="R238" s="3">
        <v>1288371</v>
      </c>
      <c r="S238" s="3">
        <v>1288371</v>
      </c>
      <c r="T238" s="3">
        <v>226643</v>
      </c>
      <c r="U238" s="3">
        <v>226643</v>
      </c>
      <c r="V238" s="3">
        <v>226643</v>
      </c>
      <c r="W238" s="3">
        <v>226643</v>
      </c>
      <c r="X238" s="3">
        <v>224030</v>
      </c>
      <c r="Y238" s="3">
        <v>224030</v>
      </c>
      <c r="Z238" s="4">
        <v>224030</v>
      </c>
      <c r="AA238" s="4">
        <v>224030</v>
      </c>
      <c r="AB238" s="4">
        <v>224030</v>
      </c>
      <c r="AC238" s="4">
        <v>224029</v>
      </c>
      <c r="AD238" s="4">
        <v>226643</v>
      </c>
      <c r="AE238" s="4">
        <v>453286</v>
      </c>
      <c r="AF238" s="4">
        <v>679929</v>
      </c>
      <c r="AG238" s="4">
        <v>906572</v>
      </c>
      <c r="AH238" s="4">
        <v>1130602</v>
      </c>
      <c r="AI238" s="4">
        <v>1354632</v>
      </c>
      <c r="AJ238" s="4">
        <v>1578662</v>
      </c>
      <c r="AK238" s="4">
        <v>1802692</v>
      </c>
      <c r="AL238" s="4">
        <v>2026722</v>
      </c>
      <c r="AM238" s="4">
        <v>2250751</v>
      </c>
      <c r="AN238" s="153">
        <v>333979</v>
      </c>
    </row>
    <row r="239" spans="1:40" x14ac:dyDescent="0.2">
      <c r="A239" s="1">
        <v>2022</v>
      </c>
      <c r="B239" s="2" t="s">
        <v>262</v>
      </c>
      <c r="C239" s="2" t="s">
        <v>262</v>
      </c>
      <c r="D239" s="1" t="s">
        <v>608</v>
      </c>
      <c r="E239" s="3">
        <v>5521367</v>
      </c>
      <c r="F239" s="3">
        <v>282</v>
      </c>
      <c r="G239" s="3">
        <v>17288</v>
      </c>
      <c r="H239" s="1">
        <v>0</v>
      </c>
      <c r="I239" s="3">
        <v>5521085</v>
      </c>
      <c r="J239" s="3">
        <v>5503797</v>
      </c>
      <c r="K239" s="3">
        <v>5503797</v>
      </c>
      <c r="L239" s="3">
        <v>61148</v>
      </c>
      <c r="M239" s="3">
        <v>473416</v>
      </c>
      <c r="N239" s="3">
        <v>71995</v>
      </c>
      <c r="O239" s="3">
        <v>46905</v>
      </c>
      <c r="P239" s="3">
        <v>258395</v>
      </c>
      <c r="Q239" s="3">
        <v>4609226</v>
      </c>
      <c r="R239" s="3">
        <v>4591938</v>
      </c>
      <c r="S239" s="3">
        <v>4591938</v>
      </c>
      <c r="T239" s="3">
        <v>552109</v>
      </c>
      <c r="U239" s="3">
        <v>552109</v>
      </c>
      <c r="V239" s="3">
        <v>552109</v>
      </c>
      <c r="W239" s="3">
        <v>552109</v>
      </c>
      <c r="X239" s="3">
        <v>549227</v>
      </c>
      <c r="Y239" s="3">
        <v>549227</v>
      </c>
      <c r="Z239" s="4">
        <v>549227</v>
      </c>
      <c r="AA239" s="4">
        <v>549227</v>
      </c>
      <c r="AB239" s="4">
        <v>549227</v>
      </c>
      <c r="AC239" s="4">
        <v>549226</v>
      </c>
      <c r="AD239" s="4">
        <v>552109</v>
      </c>
      <c r="AE239" s="4">
        <v>1104218</v>
      </c>
      <c r="AF239" s="4">
        <v>1656327</v>
      </c>
      <c r="AG239" s="4">
        <v>2208436</v>
      </c>
      <c r="AH239" s="4">
        <v>2757663</v>
      </c>
      <c r="AI239" s="4">
        <v>3306890</v>
      </c>
      <c r="AJ239" s="4">
        <v>3856117</v>
      </c>
      <c r="AK239" s="4">
        <v>4405344</v>
      </c>
      <c r="AL239" s="4">
        <v>4954571</v>
      </c>
      <c r="AM239" s="4">
        <v>5503797</v>
      </c>
      <c r="AN239" s="153">
        <v>366926</v>
      </c>
    </row>
    <row r="240" spans="1:40" x14ac:dyDescent="0.2">
      <c r="A240" s="1">
        <v>2022</v>
      </c>
      <c r="B240" s="2" t="s">
        <v>263</v>
      </c>
      <c r="C240" s="2" t="s">
        <v>700</v>
      </c>
      <c r="D240" s="1" t="s">
        <v>6</v>
      </c>
      <c r="E240" s="3">
        <v>6686894</v>
      </c>
      <c r="F240" s="3">
        <v>879</v>
      </c>
      <c r="G240" s="3">
        <v>24314</v>
      </c>
      <c r="H240" s="1">
        <v>0</v>
      </c>
      <c r="I240" s="3">
        <v>6686015</v>
      </c>
      <c r="J240" s="3">
        <v>6661701</v>
      </c>
      <c r="K240" s="3">
        <v>6661701</v>
      </c>
      <c r="L240" s="3">
        <v>190637</v>
      </c>
      <c r="M240" s="3">
        <v>628671</v>
      </c>
      <c r="N240" s="3">
        <v>69663</v>
      </c>
      <c r="O240" s="3">
        <v>67781</v>
      </c>
      <c r="P240" s="3">
        <v>362502</v>
      </c>
      <c r="Q240" s="3">
        <v>5366761</v>
      </c>
      <c r="R240" s="3">
        <v>5342447</v>
      </c>
      <c r="S240" s="3">
        <v>5342447</v>
      </c>
      <c r="T240" s="3">
        <v>668602</v>
      </c>
      <c r="U240" s="3">
        <v>668602</v>
      </c>
      <c r="V240" s="3">
        <v>668602</v>
      </c>
      <c r="W240" s="3">
        <v>668602</v>
      </c>
      <c r="X240" s="3">
        <v>664549</v>
      </c>
      <c r="Y240" s="3">
        <v>664549</v>
      </c>
      <c r="Z240" s="4">
        <v>664549</v>
      </c>
      <c r="AA240" s="4">
        <v>664549</v>
      </c>
      <c r="AB240" s="4">
        <v>664549</v>
      </c>
      <c r="AC240" s="4">
        <v>664548</v>
      </c>
      <c r="AD240" s="4">
        <v>668602</v>
      </c>
      <c r="AE240" s="4">
        <v>1337204</v>
      </c>
      <c r="AF240" s="4">
        <v>2005806</v>
      </c>
      <c r="AG240" s="4">
        <v>2674408</v>
      </c>
      <c r="AH240" s="4">
        <v>3338957</v>
      </c>
      <c r="AI240" s="4">
        <v>4003506</v>
      </c>
      <c r="AJ240" s="4">
        <v>4668055</v>
      </c>
      <c r="AK240" s="4">
        <v>5332604</v>
      </c>
      <c r="AL240" s="4">
        <v>5997153</v>
      </c>
      <c r="AM240" s="4">
        <v>6661701</v>
      </c>
      <c r="AN240" s="153">
        <v>471328</v>
      </c>
    </row>
    <row r="241" spans="1:40" x14ac:dyDescent="0.2">
      <c r="A241" s="1">
        <v>2022</v>
      </c>
      <c r="B241" s="2" t="s">
        <v>264</v>
      </c>
      <c r="C241" s="2" t="s">
        <v>701</v>
      </c>
      <c r="D241" s="1" t="s">
        <v>609</v>
      </c>
      <c r="E241" s="3">
        <v>2430957</v>
      </c>
      <c r="F241" s="3">
        <v>464</v>
      </c>
      <c r="G241" s="3">
        <v>13675</v>
      </c>
      <c r="H241" s="1">
        <v>0</v>
      </c>
      <c r="I241" s="3">
        <v>2430493</v>
      </c>
      <c r="J241" s="3">
        <v>2416818</v>
      </c>
      <c r="K241" s="3">
        <v>2416818</v>
      </c>
      <c r="L241" s="3">
        <v>100714</v>
      </c>
      <c r="M241" s="3">
        <v>392236</v>
      </c>
      <c r="N241" s="3">
        <v>41859</v>
      </c>
      <c r="O241" s="3">
        <v>46954</v>
      </c>
      <c r="P241" s="3">
        <v>200960</v>
      </c>
      <c r="Q241" s="3">
        <v>1647770</v>
      </c>
      <c r="R241" s="3">
        <v>1634095</v>
      </c>
      <c r="S241" s="3">
        <v>1634095</v>
      </c>
      <c r="T241" s="3">
        <v>243049</v>
      </c>
      <c r="U241" s="3">
        <v>243049</v>
      </c>
      <c r="V241" s="3">
        <v>243049</v>
      </c>
      <c r="W241" s="3">
        <v>243049</v>
      </c>
      <c r="X241" s="3">
        <v>240770</v>
      </c>
      <c r="Y241" s="3">
        <v>240770</v>
      </c>
      <c r="Z241" s="4">
        <v>240771</v>
      </c>
      <c r="AA241" s="4">
        <v>240771</v>
      </c>
      <c r="AB241" s="4">
        <v>240771</v>
      </c>
      <c r="AC241" s="4">
        <v>240769</v>
      </c>
      <c r="AD241" s="4">
        <v>243049</v>
      </c>
      <c r="AE241" s="4">
        <v>486098</v>
      </c>
      <c r="AF241" s="4">
        <v>729147</v>
      </c>
      <c r="AG241" s="4">
        <v>972196</v>
      </c>
      <c r="AH241" s="4">
        <v>1212966</v>
      </c>
      <c r="AI241" s="4">
        <v>1453736</v>
      </c>
      <c r="AJ241" s="4">
        <v>1694507</v>
      </c>
      <c r="AK241" s="4">
        <v>1935278</v>
      </c>
      <c r="AL241" s="4">
        <v>2176049</v>
      </c>
      <c r="AM241" s="4">
        <v>2416818</v>
      </c>
      <c r="AN241" s="153">
        <v>270884</v>
      </c>
    </row>
    <row r="242" spans="1:40" x14ac:dyDescent="0.2">
      <c r="A242" s="1">
        <v>2022</v>
      </c>
      <c r="B242" s="2" t="s">
        <v>265</v>
      </c>
      <c r="C242" s="2" t="s">
        <v>265</v>
      </c>
      <c r="D242" s="1" t="s">
        <v>610</v>
      </c>
      <c r="E242" s="3">
        <v>6878092</v>
      </c>
      <c r="F242" s="3">
        <v>929</v>
      </c>
      <c r="G242" s="3">
        <v>24623</v>
      </c>
      <c r="H242" s="3">
        <v>48265</v>
      </c>
      <c r="I242" s="3">
        <v>6877163</v>
      </c>
      <c r="J242" s="3">
        <v>6852540</v>
      </c>
      <c r="K242" s="3">
        <v>6804275</v>
      </c>
      <c r="L242" s="3">
        <v>201427</v>
      </c>
      <c r="M242" s="3">
        <v>657007</v>
      </c>
      <c r="N242" s="3">
        <v>87613</v>
      </c>
      <c r="O242" s="3">
        <v>72821</v>
      </c>
      <c r="P242" s="3">
        <v>361846</v>
      </c>
      <c r="Q242" s="3">
        <v>5496449</v>
      </c>
      <c r="R242" s="3">
        <v>5471826</v>
      </c>
      <c r="S242" s="3">
        <v>5423561</v>
      </c>
      <c r="T242" s="3">
        <v>687716</v>
      </c>
      <c r="U242" s="3">
        <v>687716</v>
      </c>
      <c r="V242" s="3">
        <v>687716</v>
      </c>
      <c r="W242" s="3">
        <v>687716</v>
      </c>
      <c r="X242" s="3">
        <v>683613</v>
      </c>
      <c r="Y242" s="3">
        <v>683613</v>
      </c>
      <c r="Z242" s="4">
        <v>671546</v>
      </c>
      <c r="AA242" s="4">
        <v>671546</v>
      </c>
      <c r="AB242" s="4">
        <v>671546</v>
      </c>
      <c r="AC242" s="4">
        <v>671547</v>
      </c>
      <c r="AD242" s="4">
        <v>687716</v>
      </c>
      <c r="AE242" s="4">
        <v>1375432</v>
      </c>
      <c r="AF242" s="4">
        <v>2063148</v>
      </c>
      <c r="AG242" s="4">
        <v>2750864</v>
      </c>
      <c r="AH242" s="4">
        <v>3434477</v>
      </c>
      <c r="AI242" s="4">
        <v>4118090</v>
      </c>
      <c r="AJ242" s="4">
        <v>4789636</v>
      </c>
      <c r="AK242" s="4">
        <v>5461182</v>
      </c>
      <c r="AL242" s="4">
        <v>6132728</v>
      </c>
      <c r="AM242" s="4">
        <v>6804275</v>
      </c>
      <c r="AN242" s="153">
        <v>489115</v>
      </c>
    </row>
    <row r="243" spans="1:40" x14ac:dyDescent="0.2">
      <c r="A243" s="1">
        <v>2022</v>
      </c>
      <c r="B243" s="2" t="s">
        <v>266</v>
      </c>
      <c r="C243" s="2" t="s">
        <v>266</v>
      </c>
      <c r="D243" s="1" t="s">
        <v>611</v>
      </c>
      <c r="E243" s="3">
        <v>1221970</v>
      </c>
      <c r="F243" s="1">
        <v>448</v>
      </c>
      <c r="G243" s="3">
        <v>7304</v>
      </c>
      <c r="H243" s="1">
        <v>0</v>
      </c>
      <c r="I243" s="3">
        <v>1221522</v>
      </c>
      <c r="J243" s="3">
        <v>1214218</v>
      </c>
      <c r="K243" s="3">
        <v>1214218</v>
      </c>
      <c r="L243" s="3">
        <v>97117</v>
      </c>
      <c r="M243" s="3">
        <v>204761</v>
      </c>
      <c r="N243" s="3">
        <v>19614</v>
      </c>
      <c r="O243" s="3">
        <v>20873</v>
      </c>
      <c r="P243" s="3">
        <v>108983</v>
      </c>
      <c r="Q243" s="3">
        <v>770174</v>
      </c>
      <c r="R243" s="3">
        <v>762870</v>
      </c>
      <c r="S243" s="3">
        <v>762870</v>
      </c>
      <c r="T243" s="3">
        <v>122152</v>
      </c>
      <c r="U243" s="3">
        <v>122152</v>
      </c>
      <c r="V243" s="3">
        <v>122152</v>
      </c>
      <c r="W243" s="3">
        <v>122152</v>
      </c>
      <c r="X243" s="3">
        <v>120935</v>
      </c>
      <c r="Y243" s="3">
        <v>120935</v>
      </c>
      <c r="Z243" s="4">
        <v>120935</v>
      </c>
      <c r="AA243" s="4">
        <v>120935</v>
      </c>
      <c r="AB243" s="4">
        <v>120935</v>
      </c>
      <c r="AC243" s="4">
        <v>120935</v>
      </c>
      <c r="AD243" s="4">
        <v>122152</v>
      </c>
      <c r="AE243" s="4">
        <v>244304</v>
      </c>
      <c r="AF243" s="4">
        <v>366456</v>
      </c>
      <c r="AG243" s="4">
        <v>488608</v>
      </c>
      <c r="AH243" s="4">
        <v>609543</v>
      </c>
      <c r="AI243" s="4">
        <v>730478</v>
      </c>
      <c r="AJ243" s="4">
        <v>851413</v>
      </c>
      <c r="AK243" s="4">
        <v>972348</v>
      </c>
      <c r="AL243" s="4">
        <v>1093283</v>
      </c>
      <c r="AM243" s="4">
        <v>1214218</v>
      </c>
      <c r="AN243" s="153">
        <v>182557</v>
      </c>
    </row>
    <row r="244" spans="1:40" x14ac:dyDescent="0.2">
      <c r="A244" s="1">
        <v>2022</v>
      </c>
      <c r="B244" s="2" t="s">
        <v>267</v>
      </c>
      <c r="C244" s="2" t="s">
        <v>267</v>
      </c>
      <c r="D244" s="1" t="s">
        <v>612</v>
      </c>
      <c r="E244" s="3">
        <v>1273644</v>
      </c>
      <c r="F244" s="1">
        <v>348</v>
      </c>
      <c r="G244" s="3">
        <v>7924</v>
      </c>
      <c r="H244" s="1">
        <v>0</v>
      </c>
      <c r="I244" s="3">
        <v>1273296</v>
      </c>
      <c r="J244" s="3">
        <v>1265372</v>
      </c>
      <c r="K244" s="3">
        <v>1265372</v>
      </c>
      <c r="L244" s="3">
        <v>75536</v>
      </c>
      <c r="M244" s="3">
        <v>261689</v>
      </c>
      <c r="N244" s="3">
        <v>23285</v>
      </c>
      <c r="O244" s="3">
        <v>31829</v>
      </c>
      <c r="P244" s="3">
        <v>116450</v>
      </c>
      <c r="Q244" s="3">
        <v>764507</v>
      </c>
      <c r="R244" s="3">
        <v>756583</v>
      </c>
      <c r="S244" s="3">
        <v>756583</v>
      </c>
      <c r="T244" s="3">
        <v>127330</v>
      </c>
      <c r="U244" s="3">
        <v>127330</v>
      </c>
      <c r="V244" s="3">
        <v>127330</v>
      </c>
      <c r="W244" s="3">
        <v>127330</v>
      </c>
      <c r="X244" s="3">
        <v>126009</v>
      </c>
      <c r="Y244" s="3">
        <v>126009</v>
      </c>
      <c r="Z244" s="4">
        <v>126009</v>
      </c>
      <c r="AA244" s="4">
        <v>126009</v>
      </c>
      <c r="AB244" s="4">
        <v>126009</v>
      </c>
      <c r="AC244" s="4">
        <v>126007</v>
      </c>
      <c r="AD244" s="4">
        <v>127330</v>
      </c>
      <c r="AE244" s="4">
        <v>254660</v>
      </c>
      <c r="AF244" s="4">
        <v>381990</v>
      </c>
      <c r="AG244" s="4">
        <v>509320</v>
      </c>
      <c r="AH244" s="4">
        <v>635329</v>
      </c>
      <c r="AI244" s="4">
        <v>761338</v>
      </c>
      <c r="AJ244" s="4">
        <v>887347</v>
      </c>
      <c r="AK244" s="4">
        <v>1013356</v>
      </c>
      <c r="AL244" s="4">
        <v>1139365</v>
      </c>
      <c r="AM244" s="4">
        <v>1265372</v>
      </c>
      <c r="AN244" s="153">
        <v>155019</v>
      </c>
    </row>
    <row r="245" spans="1:40" x14ac:dyDescent="0.2">
      <c r="A245" s="1">
        <v>2022</v>
      </c>
      <c r="B245" s="2" t="s">
        <v>268</v>
      </c>
      <c r="C245" s="2" t="s">
        <v>268</v>
      </c>
      <c r="D245" s="1" t="s">
        <v>613</v>
      </c>
      <c r="E245" s="3">
        <v>5528208</v>
      </c>
      <c r="F245" s="3">
        <v>1310</v>
      </c>
      <c r="G245" s="3">
        <v>19568</v>
      </c>
      <c r="H245" s="1">
        <v>0</v>
      </c>
      <c r="I245" s="3">
        <v>5526898</v>
      </c>
      <c r="J245" s="3">
        <v>5507330</v>
      </c>
      <c r="K245" s="3">
        <v>5507330</v>
      </c>
      <c r="L245" s="3">
        <v>284157</v>
      </c>
      <c r="M245" s="3">
        <v>524766</v>
      </c>
      <c r="N245" s="3">
        <v>72800</v>
      </c>
      <c r="O245" s="3">
        <v>55721</v>
      </c>
      <c r="P245" s="3">
        <v>288938</v>
      </c>
      <c r="Q245" s="3">
        <v>4300516</v>
      </c>
      <c r="R245" s="3">
        <v>4280948</v>
      </c>
      <c r="S245" s="3">
        <v>4280948</v>
      </c>
      <c r="T245" s="3">
        <v>552690</v>
      </c>
      <c r="U245" s="3">
        <v>552690</v>
      </c>
      <c r="V245" s="3">
        <v>552690</v>
      </c>
      <c r="W245" s="3">
        <v>552690</v>
      </c>
      <c r="X245" s="3">
        <v>549428</v>
      </c>
      <c r="Y245" s="3">
        <v>549428</v>
      </c>
      <c r="Z245" s="4">
        <v>549429</v>
      </c>
      <c r="AA245" s="4">
        <v>549429</v>
      </c>
      <c r="AB245" s="4">
        <v>549429</v>
      </c>
      <c r="AC245" s="4">
        <v>549427</v>
      </c>
      <c r="AD245" s="4">
        <v>552690</v>
      </c>
      <c r="AE245" s="4">
        <v>1105380</v>
      </c>
      <c r="AF245" s="4">
        <v>1658070</v>
      </c>
      <c r="AG245" s="4">
        <v>2210760</v>
      </c>
      <c r="AH245" s="4">
        <v>2760188</v>
      </c>
      <c r="AI245" s="4">
        <v>3309616</v>
      </c>
      <c r="AJ245" s="4">
        <v>3859045</v>
      </c>
      <c r="AK245" s="4">
        <v>4408474</v>
      </c>
      <c r="AL245" s="4">
        <v>4957903</v>
      </c>
      <c r="AM245" s="4">
        <v>5507330</v>
      </c>
      <c r="AN245" s="153">
        <v>465824</v>
      </c>
    </row>
    <row r="246" spans="1:40" x14ac:dyDescent="0.2">
      <c r="A246" s="1">
        <v>2022</v>
      </c>
      <c r="B246" s="2" t="s">
        <v>269</v>
      </c>
      <c r="C246" s="2" t="s">
        <v>269</v>
      </c>
      <c r="D246" s="1" t="s">
        <v>614</v>
      </c>
      <c r="E246" s="3">
        <v>5996495</v>
      </c>
      <c r="F246" s="3">
        <v>979</v>
      </c>
      <c r="G246" s="3">
        <v>23017</v>
      </c>
      <c r="H246" s="3">
        <v>0</v>
      </c>
      <c r="I246" s="3">
        <v>5995516</v>
      </c>
      <c r="J246" s="3">
        <v>5972499</v>
      </c>
      <c r="K246" s="3">
        <v>5972499</v>
      </c>
      <c r="L246" s="3">
        <v>212218</v>
      </c>
      <c r="M246" s="3">
        <v>595001</v>
      </c>
      <c r="N246" s="3">
        <v>68233</v>
      </c>
      <c r="O246" s="3">
        <v>73709</v>
      </c>
      <c r="P246" s="3">
        <v>342560</v>
      </c>
      <c r="Q246" s="3">
        <v>4703795</v>
      </c>
      <c r="R246" s="3">
        <v>4680778</v>
      </c>
      <c r="S246" s="3">
        <v>4680778</v>
      </c>
      <c r="T246" s="3">
        <v>599552</v>
      </c>
      <c r="U246" s="3">
        <v>599552</v>
      </c>
      <c r="V246" s="3">
        <v>599552</v>
      </c>
      <c r="W246" s="3">
        <v>599552</v>
      </c>
      <c r="X246" s="3">
        <v>595715</v>
      </c>
      <c r="Y246" s="3">
        <v>595715</v>
      </c>
      <c r="Z246" s="4">
        <v>595715</v>
      </c>
      <c r="AA246" s="4">
        <v>595715</v>
      </c>
      <c r="AB246" s="4">
        <v>595715</v>
      </c>
      <c r="AC246" s="4">
        <v>595716</v>
      </c>
      <c r="AD246" s="4">
        <v>599552</v>
      </c>
      <c r="AE246" s="4">
        <v>1199104</v>
      </c>
      <c r="AF246" s="4">
        <v>1798656</v>
      </c>
      <c r="AG246" s="4">
        <v>2398208</v>
      </c>
      <c r="AH246" s="4">
        <v>2993923</v>
      </c>
      <c r="AI246" s="4">
        <v>3589638</v>
      </c>
      <c r="AJ246" s="4">
        <v>4185353</v>
      </c>
      <c r="AK246" s="4">
        <v>4781068</v>
      </c>
      <c r="AL246" s="4">
        <v>5376783</v>
      </c>
      <c r="AM246" s="4">
        <v>5972499</v>
      </c>
      <c r="AN246" s="153">
        <v>434425</v>
      </c>
    </row>
    <row r="247" spans="1:40" x14ac:dyDescent="0.2">
      <c r="A247" s="1">
        <v>2022</v>
      </c>
      <c r="B247" s="2" t="s">
        <v>270</v>
      </c>
      <c r="C247" s="2" t="s">
        <v>270</v>
      </c>
      <c r="D247" s="1" t="s">
        <v>615</v>
      </c>
      <c r="E247" s="3">
        <v>2256100</v>
      </c>
      <c r="F247" s="3">
        <v>398</v>
      </c>
      <c r="G247" s="3">
        <v>9549</v>
      </c>
      <c r="H247" s="1">
        <v>0</v>
      </c>
      <c r="I247" s="3">
        <v>2255702</v>
      </c>
      <c r="J247" s="3">
        <v>2246153</v>
      </c>
      <c r="K247" s="3">
        <v>2246153</v>
      </c>
      <c r="L247" s="3">
        <v>86326</v>
      </c>
      <c r="M247" s="3">
        <v>259700</v>
      </c>
      <c r="N247" s="3">
        <v>27734</v>
      </c>
      <c r="O247" s="3">
        <v>29318</v>
      </c>
      <c r="P247" s="3">
        <v>140326</v>
      </c>
      <c r="Q247" s="3">
        <v>1712298</v>
      </c>
      <c r="R247" s="3">
        <v>1702749</v>
      </c>
      <c r="S247" s="3">
        <v>1702749</v>
      </c>
      <c r="T247" s="3">
        <v>225570</v>
      </c>
      <c r="U247" s="3">
        <v>225570</v>
      </c>
      <c r="V247" s="3">
        <v>225570</v>
      </c>
      <c r="W247" s="3">
        <v>225570</v>
      </c>
      <c r="X247" s="3">
        <v>223979</v>
      </c>
      <c r="Y247" s="3">
        <v>223979</v>
      </c>
      <c r="Z247" s="4">
        <v>223979</v>
      </c>
      <c r="AA247" s="4">
        <v>223979</v>
      </c>
      <c r="AB247" s="4">
        <v>223979</v>
      </c>
      <c r="AC247" s="4">
        <v>223978</v>
      </c>
      <c r="AD247" s="4">
        <v>225570</v>
      </c>
      <c r="AE247" s="4">
        <v>451140</v>
      </c>
      <c r="AF247" s="4">
        <v>676710</v>
      </c>
      <c r="AG247" s="4">
        <v>902280</v>
      </c>
      <c r="AH247" s="4">
        <v>1126259</v>
      </c>
      <c r="AI247" s="4">
        <v>1350238</v>
      </c>
      <c r="AJ247" s="4">
        <v>1574217</v>
      </c>
      <c r="AK247" s="4">
        <v>1798196</v>
      </c>
      <c r="AL247" s="4">
        <v>2022175</v>
      </c>
      <c r="AM247" s="4">
        <v>2246153</v>
      </c>
      <c r="AN247" s="153">
        <v>200239</v>
      </c>
    </row>
    <row r="248" spans="1:40" x14ac:dyDescent="0.2">
      <c r="A248" s="1">
        <v>2022</v>
      </c>
      <c r="B248" s="2" t="s">
        <v>271</v>
      </c>
      <c r="C248" s="2" t="s">
        <v>271</v>
      </c>
      <c r="D248" s="1" t="s">
        <v>616</v>
      </c>
      <c r="E248" s="3">
        <v>1388763</v>
      </c>
      <c r="F248" s="3">
        <v>66</v>
      </c>
      <c r="G248" s="3">
        <v>5321</v>
      </c>
      <c r="H248" s="3">
        <v>0</v>
      </c>
      <c r="I248" s="3">
        <v>1388697</v>
      </c>
      <c r="J248" s="3">
        <v>1383376</v>
      </c>
      <c r="K248" s="3">
        <v>1383376</v>
      </c>
      <c r="L248" s="3">
        <v>14388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1107514</v>
      </c>
      <c r="R248" s="3">
        <v>1102193</v>
      </c>
      <c r="S248" s="3">
        <v>1102193</v>
      </c>
      <c r="T248" s="3">
        <v>138870</v>
      </c>
      <c r="U248" s="3">
        <v>138870</v>
      </c>
      <c r="V248" s="3">
        <v>138870</v>
      </c>
      <c r="W248" s="3">
        <v>138870</v>
      </c>
      <c r="X248" s="3">
        <v>137983</v>
      </c>
      <c r="Y248" s="3">
        <v>137983</v>
      </c>
      <c r="Z248" s="4">
        <v>137983</v>
      </c>
      <c r="AA248" s="4">
        <v>137983</v>
      </c>
      <c r="AB248" s="4">
        <v>137983</v>
      </c>
      <c r="AC248" s="4">
        <v>137981</v>
      </c>
      <c r="AD248" s="4">
        <v>138870</v>
      </c>
      <c r="AE248" s="4">
        <v>277740</v>
      </c>
      <c r="AF248" s="4">
        <v>416610</v>
      </c>
      <c r="AG248" s="4">
        <v>555480</v>
      </c>
      <c r="AH248" s="4">
        <v>693463</v>
      </c>
      <c r="AI248" s="4">
        <v>831446</v>
      </c>
      <c r="AJ248" s="4">
        <v>969429</v>
      </c>
      <c r="AK248" s="4">
        <v>1107412</v>
      </c>
      <c r="AL248" s="4">
        <v>1245395</v>
      </c>
      <c r="AM248" s="4">
        <v>1383376</v>
      </c>
      <c r="AN248" s="153">
        <v>113376</v>
      </c>
    </row>
    <row r="249" spans="1:40" x14ac:dyDescent="0.2">
      <c r="A249" s="1">
        <v>2022</v>
      </c>
      <c r="B249" s="2" t="s">
        <v>272</v>
      </c>
      <c r="C249" s="2" t="s">
        <v>272</v>
      </c>
      <c r="D249" s="1" t="s">
        <v>617</v>
      </c>
      <c r="E249" s="3">
        <v>3055085</v>
      </c>
      <c r="F249" s="1">
        <v>597</v>
      </c>
      <c r="G249" s="3">
        <v>13910</v>
      </c>
      <c r="H249" s="1">
        <v>0</v>
      </c>
      <c r="I249" s="3">
        <v>3054488</v>
      </c>
      <c r="J249" s="3">
        <v>3040578</v>
      </c>
      <c r="K249" s="3">
        <v>3040578</v>
      </c>
      <c r="L249" s="3">
        <v>129489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2282039</v>
      </c>
      <c r="R249" s="3">
        <v>2268129</v>
      </c>
      <c r="S249" s="3">
        <v>2268129</v>
      </c>
      <c r="T249" s="3">
        <v>305449</v>
      </c>
      <c r="U249" s="3">
        <v>305449</v>
      </c>
      <c r="V249" s="3">
        <v>305449</v>
      </c>
      <c r="W249" s="3">
        <v>305449</v>
      </c>
      <c r="X249" s="3">
        <v>303130</v>
      </c>
      <c r="Y249" s="3">
        <v>303130</v>
      </c>
      <c r="Z249" s="4">
        <v>303131</v>
      </c>
      <c r="AA249" s="4">
        <v>303131</v>
      </c>
      <c r="AB249" s="4">
        <v>303131</v>
      </c>
      <c r="AC249" s="4">
        <v>303129</v>
      </c>
      <c r="AD249" s="4">
        <v>305449</v>
      </c>
      <c r="AE249" s="4">
        <v>610898</v>
      </c>
      <c r="AF249" s="4">
        <v>916347</v>
      </c>
      <c r="AG249" s="4">
        <v>1221796</v>
      </c>
      <c r="AH249" s="4">
        <v>1524926</v>
      </c>
      <c r="AI249" s="4">
        <v>1828056</v>
      </c>
      <c r="AJ249" s="4">
        <v>2131187</v>
      </c>
      <c r="AK249" s="4">
        <v>2434318</v>
      </c>
      <c r="AL249" s="4">
        <v>2737449</v>
      </c>
      <c r="AM249" s="4">
        <v>3040578</v>
      </c>
      <c r="AN249" s="153">
        <v>272009</v>
      </c>
    </row>
    <row r="250" spans="1:40" x14ac:dyDescent="0.2">
      <c r="A250" s="1">
        <v>2022</v>
      </c>
      <c r="B250" s="2" t="s">
        <v>273</v>
      </c>
      <c r="C250" s="2" t="s">
        <v>273</v>
      </c>
      <c r="D250" s="1" t="s">
        <v>618</v>
      </c>
      <c r="E250" s="3">
        <v>3674196</v>
      </c>
      <c r="F250" s="3">
        <v>862</v>
      </c>
      <c r="G250" s="3">
        <v>25545</v>
      </c>
      <c r="H250" s="1">
        <v>0</v>
      </c>
      <c r="I250" s="3">
        <v>3673334</v>
      </c>
      <c r="J250" s="3">
        <v>3647789</v>
      </c>
      <c r="K250" s="3">
        <v>3647789</v>
      </c>
      <c r="L250" s="3">
        <v>190564</v>
      </c>
      <c r="M250" s="3">
        <v>739599</v>
      </c>
      <c r="N250" s="3">
        <v>94875</v>
      </c>
      <c r="O250" s="3">
        <v>79443</v>
      </c>
      <c r="P250" s="3">
        <v>388819</v>
      </c>
      <c r="Q250" s="3">
        <v>2180034</v>
      </c>
      <c r="R250" s="3">
        <v>2154489</v>
      </c>
      <c r="S250" s="3">
        <v>2154489</v>
      </c>
      <c r="T250" s="3">
        <v>367333</v>
      </c>
      <c r="U250" s="3">
        <v>367333</v>
      </c>
      <c r="V250" s="3">
        <v>367333</v>
      </c>
      <c r="W250" s="3">
        <v>367333</v>
      </c>
      <c r="X250" s="3">
        <v>363076</v>
      </c>
      <c r="Y250" s="3">
        <v>363076</v>
      </c>
      <c r="Z250" s="4">
        <v>363076</v>
      </c>
      <c r="AA250" s="4">
        <v>363076</v>
      </c>
      <c r="AB250" s="4">
        <v>363076</v>
      </c>
      <c r="AC250" s="4">
        <v>363077</v>
      </c>
      <c r="AD250" s="4">
        <v>367333</v>
      </c>
      <c r="AE250" s="4">
        <v>734666</v>
      </c>
      <c r="AF250" s="4">
        <v>1101999</v>
      </c>
      <c r="AG250" s="4">
        <v>1469332</v>
      </c>
      <c r="AH250" s="4">
        <v>1832408</v>
      </c>
      <c r="AI250" s="4">
        <v>2195484</v>
      </c>
      <c r="AJ250" s="4">
        <v>2558560</v>
      </c>
      <c r="AK250" s="4">
        <v>2921636</v>
      </c>
      <c r="AL250" s="4">
        <v>3284712</v>
      </c>
      <c r="AM250" s="4">
        <v>3647789</v>
      </c>
      <c r="AN250" s="153">
        <v>494562</v>
      </c>
    </row>
    <row r="251" spans="1:40" x14ac:dyDescent="0.2">
      <c r="A251" s="1">
        <v>2022</v>
      </c>
      <c r="B251" s="2" t="s">
        <v>274</v>
      </c>
      <c r="C251" s="2" t="s">
        <v>274</v>
      </c>
      <c r="D251" s="1" t="s">
        <v>619</v>
      </c>
      <c r="E251" s="3">
        <v>2026315</v>
      </c>
      <c r="F251" s="1">
        <v>348</v>
      </c>
      <c r="G251" s="3">
        <v>8789</v>
      </c>
      <c r="H251" s="1">
        <v>0</v>
      </c>
      <c r="I251" s="3">
        <v>2025967</v>
      </c>
      <c r="J251" s="3">
        <v>2017178</v>
      </c>
      <c r="K251" s="3">
        <v>2017178</v>
      </c>
      <c r="L251" s="3">
        <v>75536</v>
      </c>
      <c r="M251" s="3">
        <v>244019</v>
      </c>
      <c r="N251" s="3">
        <v>24213</v>
      </c>
      <c r="O251" s="3">
        <v>27473</v>
      </c>
      <c r="P251" s="3">
        <v>129156</v>
      </c>
      <c r="Q251" s="3">
        <v>1525570</v>
      </c>
      <c r="R251" s="3">
        <v>1516781</v>
      </c>
      <c r="S251" s="3">
        <v>1516781</v>
      </c>
      <c r="T251" s="3">
        <v>202597</v>
      </c>
      <c r="U251" s="3">
        <v>202597</v>
      </c>
      <c r="V251" s="3">
        <v>202597</v>
      </c>
      <c r="W251" s="3">
        <v>202597</v>
      </c>
      <c r="X251" s="3">
        <v>201132</v>
      </c>
      <c r="Y251" s="3">
        <v>201132</v>
      </c>
      <c r="Z251" s="4">
        <v>201132</v>
      </c>
      <c r="AA251" s="4">
        <v>201132</v>
      </c>
      <c r="AB251" s="4">
        <v>201132</v>
      </c>
      <c r="AC251" s="4">
        <v>201130</v>
      </c>
      <c r="AD251" s="4">
        <v>202597</v>
      </c>
      <c r="AE251" s="4">
        <v>405194</v>
      </c>
      <c r="AF251" s="4">
        <v>607791</v>
      </c>
      <c r="AG251" s="4">
        <v>810388</v>
      </c>
      <c r="AH251" s="4">
        <v>1011520</v>
      </c>
      <c r="AI251" s="4">
        <v>1212652</v>
      </c>
      <c r="AJ251" s="4">
        <v>1413784</v>
      </c>
      <c r="AK251" s="4">
        <v>1614916</v>
      </c>
      <c r="AL251" s="4">
        <v>1816048</v>
      </c>
      <c r="AM251" s="4">
        <v>2017178</v>
      </c>
      <c r="AN251" s="153">
        <v>178883</v>
      </c>
    </row>
    <row r="252" spans="1:40" x14ac:dyDescent="0.2">
      <c r="A252" s="1">
        <v>2022</v>
      </c>
      <c r="B252" s="2" t="s">
        <v>275</v>
      </c>
      <c r="C252" s="2" t="s">
        <v>275</v>
      </c>
      <c r="D252" s="1" t="s">
        <v>620</v>
      </c>
      <c r="E252" s="3">
        <v>1202398</v>
      </c>
      <c r="F252" s="1">
        <v>199</v>
      </c>
      <c r="G252" s="3">
        <v>5915</v>
      </c>
      <c r="H252" s="1">
        <v>0</v>
      </c>
      <c r="I252" s="3">
        <v>1202199</v>
      </c>
      <c r="J252" s="3">
        <v>1196284</v>
      </c>
      <c r="K252" s="3">
        <v>1196284</v>
      </c>
      <c r="L252" s="3">
        <v>43163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905537</v>
      </c>
      <c r="R252" s="3">
        <v>899622</v>
      </c>
      <c r="S252" s="3">
        <v>899622</v>
      </c>
      <c r="T252" s="3">
        <v>120220</v>
      </c>
      <c r="U252" s="3">
        <v>120220</v>
      </c>
      <c r="V252" s="3">
        <v>120220</v>
      </c>
      <c r="W252" s="3">
        <v>120220</v>
      </c>
      <c r="X252" s="3">
        <v>119234</v>
      </c>
      <c r="Y252" s="3">
        <v>119234</v>
      </c>
      <c r="Z252" s="4">
        <v>119234</v>
      </c>
      <c r="AA252" s="4">
        <v>119234</v>
      </c>
      <c r="AB252" s="4">
        <v>119234</v>
      </c>
      <c r="AC252" s="4">
        <v>119234</v>
      </c>
      <c r="AD252" s="4">
        <v>120220</v>
      </c>
      <c r="AE252" s="4">
        <v>240440</v>
      </c>
      <c r="AF252" s="4">
        <v>360660</v>
      </c>
      <c r="AG252" s="4">
        <v>480880</v>
      </c>
      <c r="AH252" s="4">
        <v>600114</v>
      </c>
      <c r="AI252" s="4">
        <v>719348</v>
      </c>
      <c r="AJ252" s="4">
        <v>838582</v>
      </c>
      <c r="AK252" s="4">
        <v>957816</v>
      </c>
      <c r="AL252" s="4">
        <v>1077050</v>
      </c>
      <c r="AM252" s="4">
        <v>1196284</v>
      </c>
      <c r="AN252" s="153">
        <v>133491</v>
      </c>
    </row>
    <row r="253" spans="1:40" x14ac:dyDescent="0.2">
      <c r="A253" s="1">
        <v>2022</v>
      </c>
      <c r="B253" s="2" t="s">
        <v>276</v>
      </c>
      <c r="C253" s="2" t="s">
        <v>276</v>
      </c>
      <c r="D253" s="1" t="s">
        <v>621</v>
      </c>
      <c r="E253" s="3">
        <v>7443994</v>
      </c>
      <c r="F253" s="3">
        <v>1144</v>
      </c>
      <c r="G253" s="3">
        <v>32908</v>
      </c>
      <c r="H253" s="1">
        <v>0</v>
      </c>
      <c r="I253" s="3">
        <v>7442850</v>
      </c>
      <c r="J253" s="3">
        <v>7409942</v>
      </c>
      <c r="K253" s="3">
        <v>7409942</v>
      </c>
      <c r="L253" s="3">
        <v>248188</v>
      </c>
      <c r="M253" s="3">
        <v>872798</v>
      </c>
      <c r="N253" s="3">
        <v>103032</v>
      </c>
      <c r="O253" s="3">
        <v>105351</v>
      </c>
      <c r="P253" s="3">
        <v>484984</v>
      </c>
      <c r="Q253" s="3">
        <v>5628497</v>
      </c>
      <c r="R253" s="3">
        <v>5595589</v>
      </c>
      <c r="S253" s="3">
        <v>5595589</v>
      </c>
      <c r="T253" s="3">
        <v>744285</v>
      </c>
      <c r="U253" s="3">
        <v>744285</v>
      </c>
      <c r="V253" s="3">
        <v>744285</v>
      </c>
      <c r="W253" s="3">
        <v>744285</v>
      </c>
      <c r="X253" s="3">
        <v>738800</v>
      </c>
      <c r="Y253" s="3">
        <v>738800</v>
      </c>
      <c r="Z253" s="4">
        <v>738801</v>
      </c>
      <c r="AA253" s="4">
        <v>738801</v>
      </c>
      <c r="AB253" s="4">
        <v>738801</v>
      </c>
      <c r="AC253" s="4">
        <v>738799</v>
      </c>
      <c r="AD253" s="4">
        <v>744285</v>
      </c>
      <c r="AE253" s="4">
        <v>1488570</v>
      </c>
      <c r="AF253" s="4">
        <v>2232855</v>
      </c>
      <c r="AG253" s="4">
        <v>2977140</v>
      </c>
      <c r="AH253" s="4">
        <v>3715940</v>
      </c>
      <c r="AI253" s="4">
        <v>4454740</v>
      </c>
      <c r="AJ253" s="4">
        <v>5193541</v>
      </c>
      <c r="AK253" s="4">
        <v>5932342</v>
      </c>
      <c r="AL253" s="4">
        <v>6671143</v>
      </c>
      <c r="AM253" s="4">
        <v>7409942</v>
      </c>
      <c r="AN253" s="153">
        <v>695465</v>
      </c>
    </row>
    <row r="254" spans="1:40" x14ac:dyDescent="0.2">
      <c r="A254" s="1">
        <v>2022</v>
      </c>
      <c r="B254" s="2" t="s">
        <v>277</v>
      </c>
      <c r="C254" s="2" t="s">
        <v>277</v>
      </c>
      <c r="D254" s="1" t="s">
        <v>622</v>
      </c>
      <c r="E254" s="3">
        <v>1515779</v>
      </c>
      <c r="F254" s="1">
        <v>199</v>
      </c>
      <c r="G254" s="3">
        <v>6071</v>
      </c>
      <c r="H254" s="1">
        <v>0</v>
      </c>
      <c r="I254" s="3">
        <v>1515580</v>
      </c>
      <c r="J254" s="3">
        <v>1509509</v>
      </c>
      <c r="K254" s="3">
        <v>1509509</v>
      </c>
      <c r="L254" s="3">
        <v>39639</v>
      </c>
      <c r="M254" s="3">
        <v>197720</v>
      </c>
      <c r="N254" s="3">
        <v>22353</v>
      </c>
      <c r="O254" s="3">
        <v>21808</v>
      </c>
      <c r="P254" s="3">
        <v>90949</v>
      </c>
      <c r="Q254" s="3">
        <v>1143111</v>
      </c>
      <c r="R254" s="3">
        <v>1137040</v>
      </c>
      <c r="S254" s="3">
        <v>1137040</v>
      </c>
      <c r="T254" s="3">
        <v>151558</v>
      </c>
      <c r="U254" s="3">
        <v>151558</v>
      </c>
      <c r="V254" s="3">
        <v>151558</v>
      </c>
      <c r="W254" s="3">
        <v>151558</v>
      </c>
      <c r="X254" s="3">
        <v>150546</v>
      </c>
      <c r="Y254" s="3">
        <v>150546</v>
      </c>
      <c r="Z254" s="4">
        <v>150546</v>
      </c>
      <c r="AA254" s="4">
        <v>150546</v>
      </c>
      <c r="AB254" s="4">
        <v>150546</v>
      </c>
      <c r="AC254" s="4">
        <v>150547</v>
      </c>
      <c r="AD254" s="4">
        <v>151558</v>
      </c>
      <c r="AE254" s="4">
        <v>303116</v>
      </c>
      <c r="AF254" s="4">
        <v>454674</v>
      </c>
      <c r="AG254" s="4">
        <v>606232</v>
      </c>
      <c r="AH254" s="4">
        <v>756778</v>
      </c>
      <c r="AI254" s="4">
        <v>907324</v>
      </c>
      <c r="AJ254" s="4">
        <v>1057870</v>
      </c>
      <c r="AK254" s="4">
        <v>1208416</v>
      </c>
      <c r="AL254" s="4">
        <v>1358962</v>
      </c>
      <c r="AM254" s="4">
        <v>1509509</v>
      </c>
      <c r="AN254" s="153">
        <v>118463</v>
      </c>
    </row>
    <row r="255" spans="1:40" x14ac:dyDescent="0.2">
      <c r="A255" s="1">
        <v>2022</v>
      </c>
      <c r="B255" s="2" t="s">
        <v>278</v>
      </c>
      <c r="C255" s="2" t="s">
        <v>278</v>
      </c>
      <c r="D255" s="1" t="s">
        <v>623</v>
      </c>
      <c r="E255" s="3">
        <v>4075594</v>
      </c>
      <c r="F255" s="3">
        <v>862</v>
      </c>
      <c r="G255" s="3">
        <v>17262</v>
      </c>
      <c r="H255" s="1">
        <v>0</v>
      </c>
      <c r="I255" s="3">
        <v>4074732</v>
      </c>
      <c r="J255" s="3">
        <v>4057470</v>
      </c>
      <c r="K255" s="3">
        <v>4057470</v>
      </c>
      <c r="L255" s="3">
        <v>187040</v>
      </c>
      <c r="M255" s="3">
        <v>494897</v>
      </c>
      <c r="N255" s="3">
        <v>46778</v>
      </c>
      <c r="O255" s="3">
        <v>56733</v>
      </c>
      <c r="P255" s="3">
        <v>253669</v>
      </c>
      <c r="Q255" s="3">
        <v>3035615</v>
      </c>
      <c r="R255" s="3">
        <v>3018353</v>
      </c>
      <c r="S255" s="3">
        <v>3018353</v>
      </c>
      <c r="T255" s="3">
        <v>407473</v>
      </c>
      <c r="U255" s="3">
        <v>407473</v>
      </c>
      <c r="V255" s="3">
        <v>407473</v>
      </c>
      <c r="W255" s="3">
        <v>407473</v>
      </c>
      <c r="X255" s="3">
        <v>404596</v>
      </c>
      <c r="Y255" s="3">
        <v>404596</v>
      </c>
      <c r="Z255" s="4">
        <v>404597</v>
      </c>
      <c r="AA255" s="4">
        <v>404597</v>
      </c>
      <c r="AB255" s="4">
        <v>404597</v>
      </c>
      <c r="AC255" s="4">
        <v>404595</v>
      </c>
      <c r="AD255" s="4">
        <v>407473</v>
      </c>
      <c r="AE255" s="4">
        <v>814946</v>
      </c>
      <c r="AF255" s="4">
        <v>1222419</v>
      </c>
      <c r="AG255" s="4">
        <v>1629892</v>
      </c>
      <c r="AH255" s="4">
        <v>2034488</v>
      </c>
      <c r="AI255" s="4">
        <v>2439084</v>
      </c>
      <c r="AJ255" s="4">
        <v>2843681</v>
      </c>
      <c r="AK255" s="4">
        <v>3248278</v>
      </c>
      <c r="AL255" s="4">
        <v>3652875</v>
      </c>
      <c r="AM255" s="4">
        <v>4057470</v>
      </c>
      <c r="AN255" s="153">
        <v>356779</v>
      </c>
    </row>
    <row r="256" spans="1:40" x14ac:dyDescent="0.2">
      <c r="A256" s="1">
        <v>2022</v>
      </c>
      <c r="B256" s="2" t="s">
        <v>279</v>
      </c>
      <c r="C256" s="2" t="s">
        <v>279</v>
      </c>
      <c r="D256" s="1" t="s">
        <v>624</v>
      </c>
      <c r="E256" s="3">
        <v>7273196</v>
      </c>
      <c r="F256" s="3">
        <v>1310</v>
      </c>
      <c r="G256" s="3">
        <v>26034</v>
      </c>
      <c r="H256" s="1">
        <v>0</v>
      </c>
      <c r="I256" s="3">
        <v>7271886</v>
      </c>
      <c r="J256" s="3">
        <v>7245852</v>
      </c>
      <c r="K256" s="3">
        <v>7245852</v>
      </c>
      <c r="L256" s="3">
        <v>284157</v>
      </c>
      <c r="M256" s="3">
        <v>657359</v>
      </c>
      <c r="N256" s="3">
        <v>81455</v>
      </c>
      <c r="O256" s="3">
        <v>69837</v>
      </c>
      <c r="P256" s="3">
        <v>382581</v>
      </c>
      <c r="Q256" s="3">
        <v>5796497</v>
      </c>
      <c r="R256" s="3">
        <v>5770463</v>
      </c>
      <c r="S256" s="3">
        <v>5770463</v>
      </c>
      <c r="T256" s="3">
        <v>727189</v>
      </c>
      <c r="U256" s="3">
        <v>727189</v>
      </c>
      <c r="V256" s="3">
        <v>727189</v>
      </c>
      <c r="W256" s="3">
        <v>727189</v>
      </c>
      <c r="X256" s="3">
        <v>722849</v>
      </c>
      <c r="Y256" s="3">
        <v>722849</v>
      </c>
      <c r="Z256" s="4">
        <v>722850</v>
      </c>
      <c r="AA256" s="4">
        <v>722850</v>
      </c>
      <c r="AB256" s="4">
        <v>722850</v>
      </c>
      <c r="AC256" s="4">
        <v>722848</v>
      </c>
      <c r="AD256" s="4">
        <v>727189</v>
      </c>
      <c r="AE256" s="4">
        <v>1454378</v>
      </c>
      <c r="AF256" s="4">
        <v>2181567</v>
      </c>
      <c r="AG256" s="4">
        <v>2908756</v>
      </c>
      <c r="AH256" s="4">
        <v>3631605</v>
      </c>
      <c r="AI256" s="4">
        <v>4354454</v>
      </c>
      <c r="AJ256" s="4">
        <v>5077304</v>
      </c>
      <c r="AK256" s="4">
        <v>5800154</v>
      </c>
      <c r="AL256" s="4">
        <v>6523004</v>
      </c>
      <c r="AM256" s="4">
        <v>7245852</v>
      </c>
      <c r="AN256" s="153">
        <v>554030</v>
      </c>
    </row>
    <row r="257" spans="1:40" x14ac:dyDescent="0.2">
      <c r="A257" s="1">
        <v>2022</v>
      </c>
      <c r="B257" s="2" t="s">
        <v>280</v>
      </c>
      <c r="C257" s="2" t="s">
        <v>280</v>
      </c>
      <c r="D257" s="1" t="s">
        <v>625</v>
      </c>
      <c r="E257" s="3">
        <v>6716435</v>
      </c>
      <c r="F257" s="3">
        <v>995</v>
      </c>
      <c r="G257" s="3">
        <v>24141</v>
      </c>
      <c r="H257" s="1">
        <v>0</v>
      </c>
      <c r="I257" s="3">
        <v>6715440</v>
      </c>
      <c r="J257" s="3">
        <v>6691299</v>
      </c>
      <c r="K257" s="3">
        <v>6691299</v>
      </c>
      <c r="L257" s="3">
        <v>215815</v>
      </c>
      <c r="M257" s="3">
        <v>674095</v>
      </c>
      <c r="N257" s="3">
        <v>85540</v>
      </c>
      <c r="O257" s="3">
        <v>73061</v>
      </c>
      <c r="P257" s="3">
        <v>360798</v>
      </c>
      <c r="Q257" s="3">
        <v>5306131</v>
      </c>
      <c r="R257" s="3">
        <v>5281990</v>
      </c>
      <c r="S257" s="3">
        <v>5281990</v>
      </c>
      <c r="T257" s="3">
        <v>671544</v>
      </c>
      <c r="U257" s="3">
        <v>671544</v>
      </c>
      <c r="V257" s="3">
        <v>671544</v>
      </c>
      <c r="W257" s="3">
        <v>671544</v>
      </c>
      <c r="X257" s="3">
        <v>667521</v>
      </c>
      <c r="Y257" s="3">
        <v>667521</v>
      </c>
      <c r="Z257" s="4">
        <v>667520</v>
      </c>
      <c r="AA257" s="4">
        <v>667520</v>
      </c>
      <c r="AB257" s="4">
        <v>667520</v>
      </c>
      <c r="AC257" s="4">
        <v>667521</v>
      </c>
      <c r="AD257" s="4">
        <v>671544</v>
      </c>
      <c r="AE257" s="4">
        <v>1343088</v>
      </c>
      <c r="AF257" s="4">
        <v>2014632</v>
      </c>
      <c r="AG257" s="4">
        <v>2686176</v>
      </c>
      <c r="AH257" s="4">
        <v>3353697</v>
      </c>
      <c r="AI257" s="4">
        <v>4021218</v>
      </c>
      <c r="AJ257" s="4">
        <v>4688738</v>
      </c>
      <c r="AK257" s="4">
        <v>5356258</v>
      </c>
      <c r="AL257" s="4">
        <v>6023778</v>
      </c>
      <c r="AM257" s="4">
        <v>6691299</v>
      </c>
      <c r="AN257" s="153">
        <v>481702</v>
      </c>
    </row>
    <row r="258" spans="1:40" x14ac:dyDescent="0.2">
      <c r="A258" s="1">
        <v>2022</v>
      </c>
      <c r="B258" s="2" t="s">
        <v>281</v>
      </c>
      <c r="C258" s="2" t="s">
        <v>281</v>
      </c>
      <c r="D258" s="1" t="s">
        <v>626</v>
      </c>
      <c r="E258" s="3">
        <v>4217069</v>
      </c>
      <c r="F258" s="3">
        <v>779</v>
      </c>
      <c r="G258" s="3">
        <v>16834</v>
      </c>
      <c r="H258" s="1">
        <v>0</v>
      </c>
      <c r="I258" s="3">
        <v>4216290</v>
      </c>
      <c r="J258" s="3">
        <v>4199456</v>
      </c>
      <c r="K258" s="3">
        <v>4199456</v>
      </c>
      <c r="L258" s="3">
        <v>169056</v>
      </c>
      <c r="M258" s="3">
        <v>465636</v>
      </c>
      <c r="N258" s="3">
        <v>54508</v>
      </c>
      <c r="O258" s="3">
        <v>47640</v>
      </c>
      <c r="P258" s="3">
        <v>250656</v>
      </c>
      <c r="Q258" s="3">
        <v>3228794</v>
      </c>
      <c r="R258" s="3">
        <v>3211960</v>
      </c>
      <c r="S258" s="3">
        <v>3211960</v>
      </c>
      <c r="T258" s="3">
        <v>421629</v>
      </c>
      <c r="U258" s="3">
        <v>421629</v>
      </c>
      <c r="V258" s="3">
        <v>421629</v>
      </c>
      <c r="W258" s="3">
        <v>421629</v>
      </c>
      <c r="X258" s="3">
        <v>418823</v>
      </c>
      <c r="Y258" s="3">
        <v>418823</v>
      </c>
      <c r="Z258" s="4">
        <v>418824</v>
      </c>
      <c r="AA258" s="4">
        <v>418824</v>
      </c>
      <c r="AB258" s="4">
        <v>418824</v>
      </c>
      <c r="AC258" s="4">
        <v>418822</v>
      </c>
      <c r="AD258" s="4">
        <v>421629</v>
      </c>
      <c r="AE258" s="4">
        <v>843258</v>
      </c>
      <c r="AF258" s="4">
        <v>1264887</v>
      </c>
      <c r="AG258" s="4">
        <v>1686516</v>
      </c>
      <c r="AH258" s="4">
        <v>2105339</v>
      </c>
      <c r="AI258" s="4">
        <v>2524162</v>
      </c>
      <c r="AJ258" s="4">
        <v>2942986</v>
      </c>
      <c r="AK258" s="4">
        <v>3361810</v>
      </c>
      <c r="AL258" s="4">
        <v>3780634</v>
      </c>
      <c r="AM258" s="4">
        <v>4199456</v>
      </c>
      <c r="AN258" s="153">
        <v>331165</v>
      </c>
    </row>
    <row r="259" spans="1:40" x14ac:dyDescent="0.2">
      <c r="A259" s="1">
        <v>2022</v>
      </c>
      <c r="B259" s="2" t="s">
        <v>282</v>
      </c>
      <c r="C259" s="2" t="s">
        <v>282</v>
      </c>
      <c r="D259" s="1" t="s">
        <v>627</v>
      </c>
      <c r="E259" s="3">
        <v>2312168</v>
      </c>
      <c r="F259" s="3">
        <v>381</v>
      </c>
      <c r="G259" s="3">
        <v>8784</v>
      </c>
      <c r="H259" s="1">
        <v>0</v>
      </c>
      <c r="I259" s="3">
        <v>2311787</v>
      </c>
      <c r="J259" s="3">
        <v>2303003</v>
      </c>
      <c r="K259" s="3">
        <v>2303003</v>
      </c>
      <c r="L259" s="3">
        <v>82730</v>
      </c>
      <c r="M259" s="3">
        <v>255635</v>
      </c>
      <c r="N259" s="3">
        <v>28852</v>
      </c>
      <c r="O259" s="3">
        <v>27080</v>
      </c>
      <c r="P259" s="3">
        <v>129086</v>
      </c>
      <c r="Q259" s="3">
        <v>1788404</v>
      </c>
      <c r="R259" s="3">
        <v>1779620</v>
      </c>
      <c r="S259" s="3">
        <v>1779620</v>
      </c>
      <c r="T259" s="3">
        <v>231179</v>
      </c>
      <c r="U259" s="3">
        <v>231179</v>
      </c>
      <c r="V259" s="3">
        <v>231179</v>
      </c>
      <c r="W259" s="3">
        <v>231179</v>
      </c>
      <c r="X259" s="3">
        <v>229715</v>
      </c>
      <c r="Y259" s="3">
        <v>229715</v>
      </c>
      <c r="Z259" s="4">
        <v>229714</v>
      </c>
      <c r="AA259" s="4">
        <v>229714</v>
      </c>
      <c r="AB259" s="4">
        <v>229714</v>
      </c>
      <c r="AC259" s="4">
        <v>229715</v>
      </c>
      <c r="AD259" s="4">
        <v>231179</v>
      </c>
      <c r="AE259" s="4">
        <v>462358</v>
      </c>
      <c r="AF259" s="4">
        <v>693537</v>
      </c>
      <c r="AG259" s="4">
        <v>924716</v>
      </c>
      <c r="AH259" s="4">
        <v>1154431</v>
      </c>
      <c r="AI259" s="4">
        <v>1384146</v>
      </c>
      <c r="AJ259" s="4">
        <v>1613860</v>
      </c>
      <c r="AK259" s="4">
        <v>1843574</v>
      </c>
      <c r="AL259" s="4">
        <v>2073288</v>
      </c>
      <c r="AM259" s="4">
        <v>2303003</v>
      </c>
      <c r="AN259" s="153">
        <v>176368</v>
      </c>
    </row>
    <row r="260" spans="1:40" x14ac:dyDescent="0.2">
      <c r="A260" s="1">
        <v>2022</v>
      </c>
      <c r="B260" s="2" t="s">
        <v>283</v>
      </c>
      <c r="C260" s="2" t="s">
        <v>283</v>
      </c>
      <c r="D260" s="1" t="s">
        <v>628</v>
      </c>
      <c r="E260" s="3">
        <v>3618138</v>
      </c>
      <c r="F260" s="3">
        <v>365</v>
      </c>
      <c r="G260" s="3">
        <v>13074</v>
      </c>
      <c r="H260" s="3">
        <v>0</v>
      </c>
      <c r="I260" s="3">
        <v>3617773</v>
      </c>
      <c r="J260" s="3">
        <v>3604699</v>
      </c>
      <c r="K260" s="3">
        <v>3604699</v>
      </c>
      <c r="L260" s="3">
        <v>79132</v>
      </c>
      <c r="M260" s="3">
        <v>364904</v>
      </c>
      <c r="N260" s="3">
        <v>39987</v>
      </c>
      <c r="O260" s="3">
        <v>38352</v>
      </c>
      <c r="P260" s="3">
        <v>192128</v>
      </c>
      <c r="Q260" s="3">
        <v>2903270</v>
      </c>
      <c r="R260" s="3">
        <v>2890196</v>
      </c>
      <c r="S260" s="3">
        <v>2890196</v>
      </c>
      <c r="T260" s="3">
        <v>361777</v>
      </c>
      <c r="U260" s="3">
        <v>361777</v>
      </c>
      <c r="V260" s="3">
        <v>361777</v>
      </c>
      <c r="W260" s="3">
        <v>361777</v>
      </c>
      <c r="X260" s="3">
        <v>359599</v>
      </c>
      <c r="Y260" s="3">
        <v>359599</v>
      </c>
      <c r="Z260" s="4">
        <v>359598</v>
      </c>
      <c r="AA260" s="4">
        <v>359598</v>
      </c>
      <c r="AB260" s="4">
        <v>359598</v>
      </c>
      <c r="AC260" s="4">
        <v>359599</v>
      </c>
      <c r="AD260" s="4">
        <v>361777</v>
      </c>
      <c r="AE260" s="4">
        <v>723554</v>
      </c>
      <c r="AF260" s="4">
        <v>1085331</v>
      </c>
      <c r="AG260" s="4">
        <v>1447108</v>
      </c>
      <c r="AH260" s="4">
        <v>1806707</v>
      </c>
      <c r="AI260" s="4">
        <v>2166306</v>
      </c>
      <c r="AJ260" s="4">
        <v>2525904</v>
      </c>
      <c r="AK260" s="4">
        <v>2885502</v>
      </c>
      <c r="AL260" s="4">
        <v>3245100</v>
      </c>
      <c r="AM260" s="4">
        <v>3604699</v>
      </c>
      <c r="AN260" s="153">
        <v>245545</v>
      </c>
    </row>
    <row r="261" spans="1:40" x14ac:dyDescent="0.2">
      <c r="A261" s="1">
        <v>2022</v>
      </c>
      <c r="B261" s="2" t="s">
        <v>284</v>
      </c>
      <c r="C261" s="2" t="s">
        <v>284</v>
      </c>
      <c r="D261" s="1" t="s">
        <v>629</v>
      </c>
      <c r="E261" s="3">
        <v>9335610</v>
      </c>
      <c r="F261" s="3">
        <v>1957</v>
      </c>
      <c r="G261" s="3">
        <v>33701</v>
      </c>
      <c r="H261" s="1">
        <v>0</v>
      </c>
      <c r="I261" s="3">
        <v>9333653</v>
      </c>
      <c r="J261" s="3">
        <v>9299952</v>
      </c>
      <c r="K261" s="3">
        <v>9299952</v>
      </c>
      <c r="L261" s="3">
        <v>424436</v>
      </c>
      <c r="M261" s="3">
        <v>887615</v>
      </c>
      <c r="N261" s="3">
        <v>119364</v>
      </c>
      <c r="O261" s="3">
        <v>113291</v>
      </c>
      <c r="P261" s="3">
        <v>495261</v>
      </c>
      <c r="Q261" s="3">
        <v>7293686</v>
      </c>
      <c r="R261" s="3">
        <v>7259985</v>
      </c>
      <c r="S261" s="3">
        <v>7259985</v>
      </c>
      <c r="T261" s="3">
        <v>933365</v>
      </c>
      <c r="U261" s="3">
        <v>933365</v>
      </c>
      <c r="V261" s="3">
        <v>933365</v>
      </c>
      <c r="W261" s="3">
        <v>933365</v>
      </c>
      <c r="X261" s="3">
        <v>927749</v>
      </c>
      <c r="Y261" s="3">
        <v>927749</v>
      </c>
      <c r="Z261" s="4">
        <v>927749</v>
      </c>
      <c r="AA261" s="4">
        <v>927749</v>
      </c>
      <c r="AB261" s="4">
        <v>927749</v>
      </c>
      <c r="AC261" s="4">
        <v>927747</v>
      </c>
      <c r="AD261" s="4">
        <v>933365</v>
      </c>
      <c r="AE261" s="4">
        <v>1866730</v>
      </c>
      <c r="AF261" s="4">
        <v>2800095</v>
      </c>
      <c r="AG261" s="4">
        <v>3733460</v>
      </c>
      <c r="AH261" s="4">
        <v>4661209</v>
      </c>
      <c r="AI261" s="4">
        <v>5588958</v>
      </c>
      <c r="AJ261" s="4">
        <v>6516707</v>
      </c>
      <c r="AK261" s="4">
        <v>7444456</v>
      </c>
      <c r="AL261" s="4">
        <v>8372205</v>
      </c>
      <c r="AM261" s="4">
        <v>9299952</v>
      </c>
      <c r="AN261" s="153">
        <v>794112</v>
      </c>
    </row>
    <row r="262" spans="1:40" x14ac:dyDescent="0.2">
      <c r="A262" s="1">
        <v>2022</v>
      </c>
      <c r="B262" s="2" t="s">
        <v>285</v>
      </c>
      <c r="C262" s="2" t="s">
        <v>285</v>
      </c>
      <c r="D262" s="1" t="s">
        <v>630</v>
      </c>
      <c r="E262" s="3">
        <v>120926147</v>
      </c>
      <c r="F262" s="3">
        <v>10233</v>
      </c>
      <c r="G262" s="3">
        <v>351913</v>
      </c>
      <c r="H262" s="1">
        <v>0</v>
      </c>
      <c r="I262" s="3">
        <v>120915914</v>
      </c>
      <c r="J262" s="3">
        <v>120564001</v>
      </c>
      <c r="K262" s="3">
        <v>120564001</v>
      </c>
      <c r="L262" s="3">
        <v>2301857</v>
      </c>
      <c r="M262" s="3">
        <v>8940677</v>
      </c>
      <c r="N262" s="3">
        <v>1319738</v>
      </c>
      <c r="O262" s="3">
        <v>1062546</v>
      </c>
      <c r="P262" s="3">
        <v>5171542</v>
      </c>
      <c r="Q262" s="3">
        <v>102119554</v>
      </c>
      <c r="R262" s="3">
        <v>101767641</v>
      </c>
      <c r="S262" s="3">
        <v>101767641</v>
      </c>
      <c r="T262" s="3">
        <v>12091591</v>
      </c>
      <c r="U262" s="3">
        <v>12091591</v>
      </c>
      <c r="V262" s="3">
        <v>12091591</v>
      </c>
      <c r="W262" s="3">
        <v>12091591</v>
      </c>
      <c r="X262" s="3">
        <v>12032940</v>
      </c>
      <c r="Y262" s="3">
        <v>12032940</v>
      </c>
      <c r="Z262" s="4">
        <v>12032939</v>
      </c>
      <c r="AA262" s="4">
        <v>12032939</v>
      </c>
      <c r="AB262" s="4">
        <v>12032939</v>
      </c>
      <c r="AC262" s="4">
        <v>12032940</v>
      </c>
      <c r="AD262" s="4">
        <v>12091591</v>
      </c>
      <c r="AE262" s="4">
        <v>24183182</v>
      </c>
      <c r="AF262" s="4">
        <v>36274773</v>
      </c>
      <c r="AG262" s="4">
        <v>48366364</v>
      </c>
      <c r="AH262" s="4">
        <v>60399304</v>
      </c>
      <c r="AI262" s="4">
        <v>72432244</v>
      </c>
      <c r="AJ262" s="4">
        <v>84465183</v>
      </c>
      <c r="AK262" s="4">
        <v>96498122</v>
      </c>
      <c r="AL262" s="4">
        <v>108531061</v>
      </c>
      <c r="AM262" s="4">
        <v>120564001</v>
      </c>
      <c r="AN262" s="153">
        <v>7545616</v>
      </c>
    </row>
    <row r="263" spans="1:40" x14ac:dyDescent="0.2">
      <c r="A263" s="1">
        <v>2022</v>
      </c>
      <c r="B263" s="2" t="s">
        <v>286</v>
      </c>
      <c r="C263" s="2" t="s">
        <v>702</v>
      </c>
      <c r="D263" s="1" t="s">
        <v>631</v>
      </c>
      <c r="E263" s="3">
        <v>2590404</v>
      </c>
      <c r="F263" s="1">
        <v>365</v>
      </c>
      <c r="G263" s="3">
        <v>11000</v>
      </c>
      <c r="H263" s="3">
        <v>86403</v>
      </c>
      <c r="I263" s="3">
        <v>2590039</v>
      </c>
      <c r="J263" s="3">
        <v>2579039</v>
      </c>
      <c r="K263" s="3">
        <v>2492636</v>
      </c>
      <c r="L263" s="3">
        <v>79132</v>
      </c>
      <c r="M263" s="3">
        <v>349487</v>
      </c>
      <c r="N263" s="3">
        <v>36630</v>
      </c>
      <c r="O263" s="3">
        <v>40014</v>
      </c>
      <c r="P263" s="3">
        <v>164104</v>
      </c>
      <c r="Q263" s="3">
        <v>1920672</v>
      </c>
      <c r="R263" s="3">
        <v>1909672</v>
      </c>
      <c r="S263" s="3">
        <v>1823269</v>
      </c>
      <c r="T263" s="3">
        <v>259004</v>
      </c>
      <c r="U263" s="3">
        <v>259004</v>
      </c>
      <c r="V263" s="3">
        <v>259004</v>
      </c>
      <c r="W263" s="3">
        <v>259004</v>
      </c>
      <c r="X263" s="3">
        <v>257171</v>
      </c>
      <c r="Y263" s="3">
        <v>257171</v>
      </c>
      <c r="Z263" s="4">
        <v>235570</v>
      </c>
      <c r="AA263" s="4">
        <v>235570</v>
      </c>
      <c r="AB263" s="4">
        <v>235570</v>
      </c>
      <c r="AC263" s="4">
        <v>235568</v>
      </c>
      <c r="AD263" s="4">
        <v>259004</v>
      </c>
      <c r="AE263" s="4">
        <v>518008</v>
      </c>
      <c r="AF263" s="4">
        <v>777012</v>
      </c>
      <c r="AG263" s="4">
        <v>1036016</v>
      </c>
      <c r="AH263" s="4">
        <v>1293187</v>
      </c>
      <c r="AI263" s="4">
        <v>1550358</v>
      </c>
      <c r="AJ263" s="4">
        <v>1785928</v>
      </c>
      <c r="AK263" s="4">
        <v>2021498</v>
      </c>
      <c r="AL263" s="4">
        <v>2257068</v>
      </c>
      <c r="AM263" s="4">
        <v>2492636</v>
      </c>
      <c r="AN263" s="153">
        <v>224698</v>
      </c>
    </row>
    <row r="264" spans="1:40" x14ac:dyDescent="0.2">
      <c r="A264" s="1">
        <v>2022</v>
      </c>
      <c r="B264" s="2" t="s">
        <v>287</v>
      </c>
      <c r="C264" s="2" t="s">
        <v>287</v>
      </c>
      <c r="D264" s="1" t="s">
        <v>632</v>
      </c>
      <c r="E264" s="3">
        <v>5063482</v>
      </c>
      <c r="F264" s="3">
        <v>730</v>
      </c>
      <c r="G264" s="3">
        <v>22112</v>
      </c>
      <c r="H264" s="1">
        <v>0</v>
      </c>
      <c r="I264" s="3">
        <v>5062752</v>
      </c>
      <c r="J264" s="3">
        <v>5040640</v>
      </c>
      <c r="K264" s="3">
        <v>5040640</v>
      </c>
      <c r="L264" s="3">
        <v>158264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3808093</v>
      </c>
      <c r="R264" s="3">
        <v>3785981</v>
      </c>
      <c r="S264" s="3">
        <v>3785981</v>
      </c>
      <c r="T264" s="3">
        <v>506275</v>
      </c>
      <c r="U264" s="3">
        <v>506275</v>
      </c>
      <c r="V264" s="3">
        <v>506275</v>
      </c>
      <c r="W264" s="3">
        <v>506275</v>
      </c>
      <c r="X264" s="3">
        <v>502590</v>
      </c>
      <c r="Y264" s="3">
        <v>502590</v>
      </c>
      <c r="Z264" s="4">
        <v>502590</v>
      </c>
      <c r="AA264" s="4">
        <v>502590</v>
      </c>
      <c r="AB264" s="4">
        <v>502590</v>
      </c>
      <c r="AC264" s="4">
        <v>502590</v>
      </c>
      <c r="AD264" s="4">
        <v>506275</v>
      </c>
      <c r="AE264" s="4">
        <v>1012550</v>
      </c>
      <c r="AF264" s="4">
        <v>1518825</v>
      </c>
      <c r="AG264" s="4">
        <v>2025100</v>
      </c>
      <c r="AH264" s="4">
        <v>2527690</v>
      </c>
      <c r="AI264" s="4">
        <v>3030280</v>
      </c>
      <c r="AJ264" s="4">
        <v>3532870</v>
      </c>
      <c r="AK264" s="4">
        <v>4035460</v>
      </c>
      <c r="AL264" s="4">
        <v>4538050</v>
      </c>
      <c r="AM264" s="4">
        <v>5040640</v>
      </c>
      <c r="AN264" s="153">
        <v>446469</v>
      </c>
    </row>
    <row r="265" spans="1:40" x14ac:dyDescent="0.2">
      <c r="A265" s="1">
        <v>2022</v>
      </c>
      <c r="B265" s="2" t="s">
        <v>288</v>
      </c>
      <c r="C265" s="2" t="s">
        <v>288</v>
      </c>
      <c r="D265" s="1" t="s">
        <v>633</v>
      </c>
      <c r="E265" s="3">
        <v>8403755</v>
      </c>
      <c r="F265" s="3">
        <v>713</v>
      </c>
      <c r="G265" s="3">
        <v>33590</v>
      </c>
      <c r="H265" s="1">
        <v>0</v>
      </c>
      <c r="I265" s="3">
        <v>8403042</v>
      </c>
      <c r="J265" s="3">
        <v>8369452</v>
      </c>
      <c r="K265" s="3">
        <v>8369452</v>
      </c>
      <c r="L265" s="3">
        <v>154668</v>
      </c>
      <c r="M265" s="3">
        <v>841333</v>
      </c>
      <c r="N265" s="3">
        <v>81070</v>
      </c>
      <c r="O265" s="3">
        <v>87589</v>
      </c>
      <c r="P265" s="3">
        <v>493620</v>
      </c>
      <c r="Q265" s="3">
        <v>6744762</v>
      </c>
      <c r="R265" s="3">
        <v>6711172</v>
      </c>
      <c r="S265" s="3">
        <v>6711172</v>
      </c>
      <c r="T265" s="3">
        <v>840304</v>
      </c>
      <c r="U265" s="3">
        <v>840304</v>
      </c>
      <c r="V265" s="3">
        <v>840304</v>
      </c>
      <c r="W265" s="3">
        <v>840304</v>
      </c>
      <c r="X265" s="3">
        <v>834706</v>
      </c>
      <c r="Y265" s="3">
        <v>834706</v>
      </c>
      <c r="Z265" s="4">
        <v>834706</v>
      </c>
      <c r="AA265" s="4">
        <v>834706</v>
      </c>
      <c r="AB265" s="4">
        <v>834706</v>
      </c>
      <c r="AC265" s="4">
        <v>834706</v>
      </c>
      <c r="AD265" s="4">
        <v>840304</v>
      </c>
      <c r="AE265" s="4">
        <v>1680608</v>
      </c>
      <c r="AF265" s="4">
        <v>2520912</v>
      </c>
      <c r="AG265" s="4">
        <v>3361216</v>
      </c>
      <c r="AH265" s="4">
        <v>4195922</v>
      </c>
      <c r="AI265" s="4">
        <v>5030628</v>
      </c>
      <c r="AJ265" s="4">
        <v>5865334</v>
      </c>
      <c r="AK265" s="4">
        <v>6700040</v>
      </c>
      <c r="AL265" s="4">
        <v>7534746</v>
      </c>
      <c r="AM265" s="4">
        <v>8369452</v>
      </c>
      <c r="AN265" s="153">
        <v>652743</v>
      </c>
    </row>
    <row r="266" spans="1:40" x14ac:dyDescent="0.2">
      <c r="A266" s="1">
        <v>2022</v>
      </c>
      <c r="B266" s="2" t="s">
        <v>289</v>
      </c>
      <c r="C266" s="2" t="s">
        <v>289</v>
      </c>
      <c r="D266" s="1" t="s">
        <v>634</v>
      </c>
      <c r="E266" s="3">
        <v>3824924</v>
      </c>
      <c r="F266" s="3">
        <v>365</v>
      </c>
      <c r="G266" s="3">
        <v>12751</v>
      </c>
      <c r="H266" s="3">
        <v>0</v>
      </c>
      <c r="I266" s="3">
        <v>3824559</v>
      </c>
      <c r="J266" s="3">
        <v>3811808</v>
      </c>
      <c r="K266" s="3">
        <v>3811808</v>
      </c>
      <c r="L266" s="3">
        <v>79132</v>
      </c>
      <c r="M266" s="3">
        <v>339172</v>
      </c>
      <c r="N266" s="3">
        <v>34956</v>
      </c>
      <c r="O266" s="3">
        <v>35982</v>
      </c>
      <c r="P266" s="3">
        <v>187381</v>
      </c>
      <c r="Q266" s="3">
        <v>3147936</v>
      </c>
      <c r="R266" s="3">
        <v>3135185</v>
      </c>
      <c r="S266" s="3">
        <v>3135185</v>
      </c>
      <c r="T266" s="3">
        <v>382456</v>
      </c>
      <c r="U266" s="3">
        <v>382456</v>
      </c>
      <c r="V266" s="3">
        <v>382456</v>
      </c>
      <c r="W266" s="3">
        <v>382456</v>
      </c>
      <c r="X266" s="3">
        <v>380331</v>
      </c>
      <c r="Y266" s="3">
        <v>380331</v>
      </c>
      <c r="Z266" s="4">
        <v>380331</v>
      </c>
      <c r="AA266" s="4">
        <v>380331</v>
      </c>
      <c r="AB266" s="4">
        <v>380331</v>
      </c>
      <c r="AC266" s="4">
        <v>380329</v>
      </c>
      <c r="AD266" s="4">
        <v>382456</v>
      </c>
      <c r="AE266" s="4">
        <v>764912</v>
      </c>
      <c r="AF266" s="4">
        <v>1147368</v>
      </c>
      <c r="AG266" s="4">
        <v>1529824</v>
      </c>
      <c r="AH266" s="4">
        <v>1910155</v>
      </c>
      <c r="AI266" s="4">
        <v>2290486</v>
      </c>
      <c r="AJ266" s="4">
        <v>2670817</v>
      </c>
      <c r="AK266" s="4">
        <v>3051148</v>
      </c>
      <c r="AL266" s="4">
        <v>3431479</v>
      </c>
      <c r="AM266" s="4">
        <v>3811808</v>
      </c>
      <c r="AN266" s="153">
        <v>245797</v>
      </c>
    </row>
    <row r="267" spans="1:40" x14ac:dyDescent="0.2">
      <c r="A267" s="1">
        <v>2022</v>
      </c>
      <c r="B267" s="2" t="s">
        <v>290</v>
      </c>
      <c r="C267" s="2" t="s">
        <v>290</v>
      </c>
      <c r="D267" s="1" t="s">
        <v>635</v>
      </c>
      <c r="E267" s="3">
        <v>3434918</v>
      </c>
      <c r="F267" s="3">
        <v>630</v>
      </c>
      <c r="G267" s="3">
        <v>14741</v>
      </c>
      <c r="H267" s="1">
        <v>0</v>
      </c>
      <c r="I267" s="3">
        <v>3434288</v>
      </c>
      <c r="J267" s="3">
        <v>3419547</v>
      </c>
      <c r="K267" s="3">
        <v>3419547</v>
      </c>
      <c r="L267" s="3">
        <v>136683</v>
      </c>
      <c r="M267" s="3">
        <v>428852</v>
      </c>
      <c r="N267" s="3">
        <v>48454</v>
      </c>
      <c r="O267" s="3">
        <v>50621</v>
      </c>
      <c r="P267" s="3">
        <v>217965</v>
      </c>
      <c r="Q267" s="3">
        <v>2551713</v>
      </c>
      <c r="R267" s="3">
        <v>2536972</v>
      </c>
      <c r="S267" s="3">
        <v>2536972</v>
      </c>
      <c r="T267" s="3">
        <v>343429</v>
      </c>
      <c r="U267" s="3">
        <v>343429</v>
      </c>
      <c r="V267" s="3">
        <v>343429</v>
      </c>
      <c r="W267" s="3">
        <v>343429</v>
      </c>
      <c r="X267" s="3">
        <v>340972</v>
      </c>
      <c r="Y267" s="3">
        <v>340972</v>
      </c>
      <c r="Z267" s="4">
        <v>340972</v>
      </c>
      <c r="AA267" s="4">
        <v>340972</v>
      </c>
      <c r="AB267" s="4">
        <v>340972</v>
      </c>
      <c r="AC267" s="4">
        <v>340971</v>
      </c>
      <c r="AD267" s="4">
        <v>343429</v>
      </c>
      <c r="AE267" s="4">
        <v>686858</v>
      </c>
      <c r="AF267" s="4">
        <v>1030287</v>
      </c>
      <c r="AG267" s="4">
        <v>1373716</v>
      </c>
      <c r="AH267" s="4">
        <v>1714688</v>
      </c>
      <c r="AI267" s="4">
        <v>2055660</v>
      </c>
      <c r="AJ267" s="4">
        <v>2396632</v>
      </c>
      <c r="AK267" s="4">
        <v>2737604</v>
      </c>
      <c r="AL267" s="4">
        <v>3078576</v>
      </c>
      <c r="AM267" s="4">
        <v>3419547</v>
      </c>
      <c r="AN267" s="153">
        <v>294981</v>
      </c>
    </row>
    <row r="268" spans="1:40" x14ac:dyDescent="0.2">
      <c r="A268" s="1">
        <v>2022</v>
      </c>
      <c r="B268" s="2" t="s">
        <v>291</v>
      </c>
      <c r="C268" s="2" t="s">
        <v>291</v>
      </c>
      <c r="D268" s="1" t="s">
        <v>636</v>
      </c>
      <c r="E268" s="3">
        <v>2762434</v>
      </c>
      <c r="F268" s="3">
        <v>265</v>
      </c>
      <c r="G268" s="3">
        <v>12449</v>
      </c>
      <c r="H268" s="3">
        <v>0</v>
      </c>
      <c r="I268" s="3">
        <v>2762169</v>
      </c>
      <c r="J268" s="3">
        <v>2749720</v>
      </c>
      <c r="K268" s="3">
        <v>2749720</v>
      </c>
      <c r="L268" s="3">
        <v>57551</v>
      </c>
      <c r="M268" s="3">
        <v>358033</v>
      </c>
      <c r="N268" s="3">
        <v>43387</v>
      </c>
      <c r="O268" s="3">
        <v>41589</v>
      </c>
      <c r="P268" s="3">
        <v>182948</v>
      </c>
      <c r="Q268" s="3">
        <v>2078661</v>
      </c>
      <c r="R268" s="3">
        <v>2066212</v>
      </c>
      <c r="S268" s="3">
        <v>2066212</v>
      </c>
      <c r="T268" s="3">
        <v>276217</v>
      </c>
      <c r="U268" s="3">
        <v>276217</v>
      </c>
      <c r="V268" s="3">
        <v>276217</v>
      </c>
      <c r="W268" s="3">
        <v>276217</v>
      </c>
      <c r="X268" s="3">
        <v>274142</v>
      </c>
      <c r="Y268" s="3">
        <v>274142</v>
      </c>
      <c r="Z268" s="4">
        <v>274142</v>
      </c>
      <c r="AA268" s="4">
        <v>274142</v>
      </c>
      <c r="AB268" s="4">
        <v>274142</v>
      </c>
      <c r="AC268" s="4">
        <v>274142</v>
      </c>
      <c r="AD268" s="4">
        <v>276217</v>
      </c>
      <c r="AE268" s="4">
        <v>552434</v>
      </c>
      <c r="AF268" s="4">
        <v>828651</v>
      </c>
      <c r="AG268" s="4">
        <v>1104868</v>
      </c>
      <c r="AH268" s="4">
        <v>1379010</v>
      </c>
      <c r="AI268" s="4">
        <v>1653152</v>
      </c>
      <c r="AJ268" s="4">
        <v>1927294</v>
      </c>
      <c r="AK268" s="4">
        <v>2201436</v>
      </c>
      <c r="AL268" s="4">
        <v>2475578</v>
      </c>
      <c r="AM268" s="4">
        <v>2749720</v>
      </c>
      <c r="AN268" s="153">
        <v>260697</v>
      </c>
    </row>
    <row r="269" spans="1:40" x14ac:dyDescent="0.2">
      <c r="A269" s="1">
        <v>2022</v>
      </c>
      <c r="B269" s="2" t="s">
        <v>292</v>
      </c>
      <c r="C269" s="2" t="s">
        <v>292</v>
      </c>
      <c r="D269" s="1" t="s">
        <v>637</v>
      </c>
      <c r="E269" s="3">
        <v>1409407</v>
      </c>
      <c r="F269" s="1">
        <v>83</v>
      </c>
      <c r="G269" s="3">
        <v>5086</v>
      </c>
      <c r="H269" s="1">
        <v>0</v>
      </c>
      <c r="I269" s="3">
        <v>1409324</v>
      </c>
      <c r="J269" s="3">
        <v>1404238</v>
      </c>
      <c r="K269" s="3">
        <v>1404238</v>
      </c>
      <c r="L269" s="3">
        <v>17985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1134808</v>
      </c>
      <c r="R269" s="3">
        <v>1129722</v>
      </c>
      <c r="S269" s="3">
        <v>1129722</v>
      </c>
      <c r="T269" s="3">
        <v>140932</v>
      </c>
      <c r="U269" s="3">
        <v>140932</v>
      </c>
      <c r="V269" s="3">
        <v>140932</v>
      </c>
      <c r="W269" s="3">
        <v>140932</v>
      </c>
      <c r="X269" s="3">
        <v>140085</v>
      </c>
      <c r="Y269" s="3">
        <v>140085</v>
      </c>
      <c r="Z269" s="4">
        <v>140085</v>
      </c>
      <c r="AA269" s="4">
        <v>140085</v>
      </c>
      <c r="AB269" s="4">
        <v>140085</v>
      </c>
      <c r="AC269" s="4">
        <v>140085</v>
      </c>
      <c r="AD269" s="4">
        <v>140932</v>
      </c>
      <c r="AE269" s="4">
        <v>281864</v>
      </c>
      <c r="AF269" s="4">
        <v>422796</v>
      </c>
      <c r="AG269" s="4">
        <v>563728</v>
      </c>
      <c r="AH269" s="4">
        <v>703813</v>
      </c>
      <c r="AI269" s="4">
        <v>843898</v>
      </c>
      <c r="AJ269" s="4">
        <v>983983</v>
      </c>
      <c r="AK269" s="4">
        <v>1124068</v>
      </c>
      <c r="AL269" s="4">
        <v>1264153</v>
      </c>
      <c r="AM269" s="4">
        <v>1404238</v>
      </c>
      <c r="AN269" s="153">
        <v>99899</v>
      </c>
    </row>
    <row r="270" spans="1:40" x14ac:dyDescent="0.2">
      <c r="A270" s="1">
        <v>2022</v>
      </c>
      <c r="B270" s="2" t="s">
        <v>293</v>
      </c>
      <c r="C270" s="2" t="s">
        <v>293</v>
      </c>
      <c r="D270" s="1" t="s">
        <v>638</v>
      </c>
      <c r="E270" s="3">
        <v>11610111</v>
      </c>
      <c r="F270" s="3">
        <v>1343</v>
      </c>
      <c r="G270" s="3">
        <v>35930</v>
      </c>
      <c r="H270" s="1">
        <v>0</v>
      </c>
      <c r="I270" s="3">
        <v>11608768</v>
      </c>
      <c r="J270" s="3">
        <v>11572838</v>
      </c>
      <c r="K270" s="3">
        <v>11572838</v>
      </c>
      <c r="L270" s="3">
        <v>291351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9595988</v>
      </c>
      <c r="R270" s="3">
        <v>9560058</v>
      </c>
      <c r="S270" s="3">
        <v>9560058</v>
      </c>
      <c r="T270" s="3">
        <v>1160877</v>
      </c>
      <c r="U270" s="3">
        <v>1160877</v>
      </c>
      <c r="V270" s="3">
        <v>1160877</v>
      </c>
      <c r="W270" s="3">
        <v>1160877</v>
      </c>
      <c r="X270" s="3">
        <v>1154888</v>
      </c>
      <c r="Y270" s="3">
        <v>1154888</v>
      </c>
      <c r="Z270" s="4">
        <v>1154889</v>
      </c>
      <c r="AA270" s="4">
        <v>1154889</v>
      </c>
      <c r="AB270" s="4">
        <v>1154889</v>
      </c>
      <c r="AC270" s="4">
        <v>1154887</v>
      </c>
      <c r="AD270" s="4">
        <v>1160877</v>
      </c>
      <c r="AE270" s="4">
        <v>2321754</v>
      </c>
      <c r="AF270" s="4">
        <v>3482631</v>
      </c>
      <c r="AG270" s="4">
        <v>4643508</v>
      </c>
      <c r="AH270" s="4">
        <v>5798396</v>
      </c>
      <c r="AI270" s="4">
        <v>6953284</v>
      </c>
      <c r="AJ270" s="4">
        <v>8108173</v>
      </c>
      <c r="AK270" s="4">
        <v>9263062</v>
      </c>
      <c r="AL270" s="4">
        <v>10417951</v>
      </c>
      <c r="AM270" s="4">
        <v>11572838</v>
      </c>
      <c r="AN270" s="153">
        <v>754310</v>
      </c>
    </row>
    <row r="271" spans="1:40" x14ac:dyDescent="0.2">
      <c r="A271" s="1">
        <v>2022</v>
      </c>
      <c r="B271" s="2" t="s">
        <v>294</v>
      </c>
      <c r="C271" s="2" t="s">
        <v>294</v>
      </c>
      <c r="D271" s="1" t="s">
        <v>639</v>
      </c>
      <c r="E271" s="3">
        <v>3303907</v>
      </c>
      <c r="F271" s="1">
        <v>763</v>
      </c>
      <c r="G271" s="3">
        <v>12045</v>
      </c>
      <c r="H271" s="1">
        <v>0</v>
      </c>
      <c r="I271" s="3">
        <v>3303144</v>
      </c>
      <c r="J271" s="3">
        <v>3291099</v>
      </c>
      <c r="K271" s="3">
        <v>3291099</v>
      </c>
      <c r="L271" s="3">
        <v>165458</v>
      </c>
      <c r="M271" s="3">
        <v>327621</v>
      </c>
      <c r="N271" s="3">
        <v>29102</v>
      </c>
      <c r="O271" s="3">
        <v>37685</v>
      </c>
      <c r="P271" s="3">
        <v>178524</v>
      </c>
      <c r="Q271" s="3">
        <v>2564754</v>
      </c>
      <c r="R271" s="3">
        <v>2552709</v>
      </c>
      <c r="S271" s="3">
        <v>2552709</v>
      </c>
      <c r="T271" s="3">
        <v>330314</v>
      </c>
      <c r="U271" s="3">
        <v>330314</v>
      </c>
      <c r="V271" s="3">
        <v>330314</v>
      </c>
      <c r="W271" s="3">
        <v>330314</v>
      </c>
      <c r="X271" s="3">
        <v>328307</v>
      </c>
      <c r="Y271" s="3">
        <v>328307</v>
      </c>
      <c r="Z271" s="4">
        <v>328307</v>
      </c>
      <c r="AA271" s="4">
        <v>328307</v>
      </c>
      <c r="AB271" s="4">
        <v>328307</v>
      </c>
      <c r="AC271" s="4">
        <v>328308</v>
      </c>
      <c r="AD271" s="4">
        <v>330314</v>
      </c>
      <c r="AE271" s="4">
        <v>660628</v>
      </c>
      <c r="AF271" s="4">
        <v>990942</v>
      </c>
      <c r="AG271" s="4">
        <v>1321256</v>
      </c>
      <c r="AH271" s="4">
        <v>1649563</v>
      </c>
      <c r="AI271" s="4">
        <v>1977870</v>
      </c>
      <c r="AJ271" s="4">
        <v>2306177</v>
      </c>
      <c r="AK271" s="4">
        <v>2634484</v>
      </c>
      <c r="AL271" s="4">
        <v>2962791</v>
      </c>
      <c r="AM271" s="4">
        <v>3291099</v>
      </c>
      <c r="AN271" s="153">
        <v>274229</v>
      </c>
    </row>
    <row r="272" spans="1:40" x14ac:dyDescent="0.2">
      <c r="A272" s="1">
        <v>2022</v>
      </c>
      <c r="B272" s="2" t="s">
        <v>295</v>
      </c>
      <c r="C272" s="2" t="s">
        <v>295</v>
      </c>
      <c r="D272" s="1" t="s">
        <v>640</v>
      </c>
      <c r="E272" s="3">
        <v>47643818</v>
      </c>
      <c r="F272" s="3">
        <v>4229</v>
      </c>
      <c r="G272" s="3">
        <v>164149</v>
      </c>
      <c r="H272" s="1">
        <v>0</v>
      </c>
      <c r="I272" s="3">
        <v>47639589</v>
      </c>
      <c r="J272" s="3">
        <v>47475440</v>
      </c>
      <c r="K272" s="3">
        <v>47475440</v>
      </c>
      <c r="L272" s="3">
        <v>910166</v>
      </c>
      <c r="M272" s="3">
        <v>4051281</v>
      </c>
      <c r="N272" s="3">
        <v>462865</v>
      </c>
      <c r="O272" s="3">
        <v>463487</v>
      </c>
      <c r="P272" s="3">
        <v>2412248</v>
      </c>
      <c r="Q272" s="3">
        <v>39339542</v>
      </c>
      <c r="R272" s="3">
        <v>39175393</v>
      </c>
      <c r="S272" s="3">
        <v>39175393</v>
      </c>
      <c r="T272" s="3">
        <v>4763959</v>
      </c>
      <c r="U272" s="3">
        <v>4763959</v>
      </c>
      <c r="V272" s="3">
        <v>4763959</v>
      </c>
      <c r="W272" s="3">
        <v>4763959</v>
      </c>
      <c r="X272" s="3">
        <v>4736601</v>
      </c>
      <c r="Y272" s="3">
        <v>4736601</v>
      </c>
      <c r="Z272" s="4">
        <v>4736601</v>
      </c>
      <c r="AA272" s="4">
        <v>4736601</v>
      </c>
      <c r="AB272" s="4">
        <v>4736601</v>
      </c>
      <c r="AC272" s="4">
        <v>4736599</v>
      </c>
      <c r="AD272" s="4">
        <v>4763959</v>
      </c>
      <c r="AE272" s="4">
        <v>9527918</v>
      </c>
      <c r="AF272" s="4">
        <v>14291877</v>
      </c>
      <c r="AG272" s="4">
        <v>19055836</v>
      </c>
      <c r="AH272" s="4">
        <v>23792437</v>
      </c>
      <c r="AI272" s="4">
        <v>28529038</v>
      </c>
      <c r="AJ272" s="4">
        <v>33265639</v>
      </c>
      <c r="AK272" s="4">
        <v>38002240</v>
      </c>
      <c r="AL272" s="4">
        <v>42738841</v>
      </c>
      <c r="AM272" s="4">
        <v>47475440</v>
      </c>
      <c r="AN272" s="153">
        <v>3330533</v>
      </c>
    </row>
    <row r="273" spans="1:40" x14ac:dyDescent="0.2">
      <c r="A273" s="1">
        <v>2022</v>
      </c>
      <c r="B273" s="2" t="s">
        <v>296</v>
      </c>
      <c r="C273" s="2" t="s">
        <v>296</v>
      </c>
      <c r="D273" s="1" t="s">
        <v>641</v>
      </c>
      <c r="E273" s="3">
        <v>13675565</v>
      </c>
      <c r="F273" s="3">
        <v>2587</v>
      </c>
      <c r="G273" s="3">
        <v>46761</v>
      </c>
      <c r="H273" s="1">
        <v>0</v>
      </c>
      <c r="I273" s="3">
        <v>13672978</v>
      </c>
      <c r="J273" s="3">
        <v>13626217</v>
      </c>
      <c r="K273" s="3">
        <v>13626217</v>
      </c>
      <c r="L273" s="3">
        <v>561119</v>
      </c>
      <c r="M273" s="3">
        <v>1236793</v>
      </c>
      <c r="N273" s="3">
        <v>146917</v>
      </c>
      <c r="O273" s="3">
        <v>148846</v>
      </c>
      <c r="P273" s="3">
        <v>687179</v>
      </c>
      <c r="Q273" s="3">
        <v>10892124</v>
      </c>
      <c r="R273" s="3">
        <v>10845363</v>
      </c>
      <c r="S273" s="3">
        <v>10845363</v>
      </c>
      <c r="T273" s="3">
        <v>1367298</v>
      </c>
      <c r="U273" s="3">
        <v>1367298</v>
      </c>
      <c r="V273" s="3">
        <v>1367298</v>
      </c>
      <c r="W273" s="3">
        <v>1367298</v>
      </c>
      <c r="X273" s="3">
        <v>1359504</v>
      </c>
      <c r="Y273" s="3">
        <v>1359504</v>
      </c>
      <c r="Z273" s="4">
        <v>1359504</v>
      </c>
      <c r="AA273" s="4">
        <v>1359504</v>
      </c>
      <c r="AB273" s="4">
        <v>1359504</v>
      </c>
      <c r="AC273" s="4">
        <v>1359505</v>
      </c>
      <c r="AD273" s="4">
        <v>1367298</v>
      </c>
      <c r="AE273" s="4">
        <v>2734596</v>
      </c>
      <c r="AF273" s="4">
        <v>4101894</v>
      </c>
      <c r="AG273" s="4">
        <v>5469192</v>
      </c>
      <c r="AH273" s="4">
        <v>6828696</v>
      </c>
      <c r="AI273" s="4">
        <v>8188200</v>
      </c>
      <c r="AJ273" s="4">
        <v>9547704</v>
      </c>
      <c r="AK273" s="4">
        <v>10907208</v>
      </c>
      <c r="AL273" s="4">
        <v>12266712</v>
      </c>
      <c r="AM273" s="4">
        <v>13626217</v>
      </c>
      <c r="AN273" s="153">
        <v>1021119</v>
      </c>
    </row>
    <row r="274" spans="1:40" x14ac:dyDescent="0.2">
      <c r="A274" s="1">
        <v>2022</v>
      </c>
      <c r="B274" s="2" t="s">
        <v>297</v>
      </c>
      <c r="C274" s="2" t="s">
        <v>297</v>
      </c>
      <c r="D274" s="1" t="s">
        <v>642</v>
      </c>
      <c r="E274" s="3">
        <v>2753186</v>
      </c>
      <c r="F274" s="3">
        <v>1144</v>
      </c>
      <c r="G274" s="3">
        <v>27602</v>
      </c>
      <c r="H274" s="1">
        <v>0</v>
      </c>
      <c r="I274" s="3">
        <v>2752042</v>
      </c>
      <c r="J274" s="3">
        <v>2724440</v>
      </c>
      <c r="K274" s="3">
        <v>2724440</v>
      </c>
      <c r="L274" s="3">
        <v>248188</v>
      </c>
      <c r="M274" s="3">
        <v>723972</v>
      </c>
      <c r="N274" s="3">
        <v>82479</v>
      </c>
      <c r="O274" s="3">
        <v>85651</v>
      </c>
      <c r="P274" s="3">
        <v>405619</v>
      </c>
      <c r="Q274" s="3">
        <v>1206133</v>
      </c>
      <c r="R274" s="3">
        <v>1178531</v>
      </c>
      <c r="S274" s="3">
        <v>1178531</v>
      </c>
      <c r="T274" s="3">
        <v>275204</v>
      </c>
      <c r="U274" s="3">
        <v>275204</v>
      </c>
      <c r="V274" s="3">
        <v>275204</v>
      </c>
      <c r="W274" s="3">
        <v>275204</v>
      </c>
      <c r="X274" s="3">
        <v>270604</v>
      </c>
      <c r="Y274" s="3">
        <v>270604</v>
      </c>
      <c r="Z274" s="4">
        <v>270604</v>
      </c>
      <c r="AA274" s="4">
        <v>270604</v>
      </c>
      <c r="AB274" s="4">
        <v>270604</v>
      </c>
      <c r="AC274" s="4">
        <v>270604</v>
      </c>
      <c r="AD274" s="4">
        <v>275204</v>
      </c>
      <c r="AE274" s="4">
        <v>550408</v>
      </c>
      <c r="AF274" s="4">
        <v>825612</v>
      </c>
      <c r="AG274" s="4">
        <v>1100816</v>
      </c>
      <c r="AH274" s="4">
        <v>1371420</v>
      </c>
      <c r="AI274" s="4">
        <v>1642024</v>
      </c>
      <c r="AJ274" s="4">
        <v>1912628</v>
      </c>
      <c r="AK274" s="4">
        <v>2183232</v>
      </c>
      <c r="AL274" s="4">
        <v>2453836</v>
      </c>
      <c r="AM274" s="4">
        <v>2724440</v>
      </c>
      <c r="AN274" s="153">
        <v>560474</v>
      </c>
    </row>
    <row r="275" spans="1:40" x14ac:dyDescent="0.2">
      <c r="A275" s="1">
        <v>2022</v>
      </c>
      <c r="B275" s="2" t="s">
        <v>298</v>
      </c>
      <c r="C275" s="2" t="s">
        <v>298</v>
      </c>
      <c r="D275" s="1" t="s">
        <v>643</v>
      </c>
      <c r="E275" s="3">
        <v>2672473</v>
      </c>
      <c r="F275" s="3">
        <v>415</v>
      </c>
      <c r="G275" s="3">
        <v>9596</v>
      </c>
      <c r="H275" s="1">
        <v>0</v>
      </c>
      <c r="I275" s="3">
        <v>2672058</v>
      </c>
      <c r="J275" s="3">
        <v>2662462</v>
      </c>
      <c r="K275" s="3">
        <v>2662462</v>
      </c>
      <c r="L275" s="3">
        <v>89923</v>
      </c>
      <c r="M275" s="3">
        <v>269577</v>
      </c>
      <c r="N275" s="3">
        <v>24353</v>
      </c>
      <c r="O275" s="3">
        <v>26082</v>
      </c>
      <c r="P275" s="3">
        <v>141024</v>
      </c>
      <c r="Q275" s="3">
        <v>2121099</v>
      </c>
      <c r="R275" s="3">
        <v>2111503</v>
      </c>
      <c r="S275" s="3">
        <v>2111503</v>
      </c>
      <c r="T275" s="3">
        <v>267206</v>
      </c>
      <c r="U275" s="3">
        <v>267206</v>
      </c>
      <c r="V275" s="3">
        <v>267206</v>
      </c>
      <c r="W275" s="3">
        <v>267206</v>
      </c>
      <c r="X275" s="3">
        <v>265606</v>
      </c>
      <c r="Y275" s="3">
        <v>265606</v>
      </c>
      <c r="Z275" s="4">
        <v>265607</v>
      </c>
      <c r="AA275" s="4">
        <v>265607</v>
      </c>
      <c r="AB275" s="4">
        <v>265607</v>
      </c>
      <c r="AC275" s="4">
        <v>265605</v>
      </c>
      <c r="AD275" s="4">
        <v>267206</v>
      </c>
      <c r="AE275" s="4">
        <v>534412</v>
      </c>
      <c r="AF275" s="4">
        <v>801618</v>
      </c>
      <c r="AG275" s="4">
        <v>1068824</v>
      </c>
      <c r="AH275" s="4">
        <v>1334430</v>
      </c>
      <c r="AI275" s="4">
        <v>1600036</v>
      </c>
      <c r="AJ275" s="4">
        <v>1865643</v>
      </c>
      <c r="AK275" s="4">
        <v>2131250</v>
      </c>
      <c r="AL275" s="4">
        <v>2396857</v>
      </c>
      <c r="AM275" s="4">
        <v>2662462</v>
      </c>
      <c r="AN275" s="153">
        <v>183332</v>
      </c>
    </row>
    <row r="276" spans="1:40" x14ac:dyDescent="0.2">
      <c r="A276" s="1">
        <v>2022</v>
      </c>
      <c r="B276" s="2" t="s">
        <v>299</v>
      </c>
      <c r="C276" s="2" t="s">
        <v>299</v>
      </c>
      <c r="D276" s="1" t="s">
        <v>644</v>
      </c>
      <c r="E276" s="3">
        <v>1341929</v>
      </c>
      <c r="F276" s="3">
        <v>216</v>
      </c>
      <c r="G276" s="3">
        <v>4444</v>
      </c>
      <c r="H276" s="1">
        <v>0</v>
      </c>
      <c r="I276" s="3">
        <v>1341713</v>
      </c>
      <c r="J276" s="3">
        <v>1337269</v>
      </c>
      <c r="K276" s="3">
        <v>1337269</v>
      </c>
      <c r="L276" s="3">
        <v>46760</v>
      </c>
      <c r="M276" s="3">
        <v>133127</v>
      </c>
      <c r="N276" s="3">
        <v>13473</v>
      </c>
      <c r="O276" s="3">
        <v>16399</v>
      </c>
      <c r="P276" s="3">
        <v>65311</v>
      </c>
      <c r="Q276" s="3">
        <v>1066643</v>
      </c>
      <c r="R276" s="3">
        <v>1062199</v>
      </c>
      <c r="S276" s="3">
        <v>1062199</v>
      </c>
      <c r="T276" s="3">
        <v>134171</v>
      </c>
      <c r="U276" s="3">
        <v>134171</v>
      </c>
      <c r="V276" s="3">
        <v>134171</v>
      </c>
      <c r="W276" s="3">
        <v>134171</v>
      </c>
      <c r="X276" s="3">
        <v>133431</v>
      </c>
      <c r="Y276" s="3">
        <v>133431</v>
      </c>
      <c r="Z276" s="4">
        <v>133431</v>
      </c>
      <c r="AA276" s="4">
        <v>133431</v>
      </c>
      <c r="AB276" s="4">
        <v>133431</v>
      </c>
      <c r="AC276" s="4">
        <v>133430</v>
      </c>
      <c r="AD276" s="4">
        <v>134171</v>
      </c>
      <c r="AE276" s="4">
        <v>268342</v>
      </c>
      <c r="AF276" s="4">
        <v>402513</v>
      </c>
      <c r="AG276" s="4">
        <v>536684</v>
      </c>
      <c r="AH276" s="4">
        <v>670115</v>
      </c>
      <c r="AI276" s="4">
        <v>803546</v>
      </c>
      <c r="AJ276" s="4">
        <v>936977</v>
      </c>
      <c r="AK276" s="4">
        <v>1070408</v>
      </c>
      <c r="AL276" s="4">
        <v>1203839</v>
      </c>
      <c r="AM276" s="4">
        <v>1337269</v>
      </c>
      <c r="AN276" s="153">
        <v>85909</v>
      </c>
    </row>
    <row r="277" spans="1:40" x14ac:dyDescent="0.2">
      <c r="A277" s="1">
        <v>2022</v>
      </c>
      <c r="B277" s="2" t="s">
        <v>300</v>
      </c>
      <c r="C277" s="2" t="s">
        <v>300</v>
      </c>
      <c r="D277" s="1" t="s">
        <v>645</v>
      </c>
      <c r="E277" s="3">
        <v>4015924</v>
      </c>
      <c r="F277" s="3">
        <v>564</v>
      </c>
      <c r="G277" s="3">
        <v>14475</v>
      </c>
      <c r="H277" s="3">
        <v>0</v>
      </c>
      <c r="I277" s="3">
        <v>4015360</v>
      </c>
      <c r="J277" s="3">
        <v>4000885</v>
      </c>
      <c r="K277" s="3">
        <v>4000885</v>
      </c>
      <c r="L277" s="3">
        <v>122295</v>
      </c>
      <c r="M277" s="3">
        <v>411900</v>
      </c>
      <c r="N277" s="3">
        <v>50598</v>
      </c>
      <c r="O277" s="3">
        <v>45742</v>
      </c>
      <c r="P277" s="3">
        <v>212723</v>
      </c>
      <c r="Q277" s="3">
        <v>3172102</v>
      </c>
      <c r="R277" s="3">
        <v>3157627</v>
      </c>
      <c r="S277" s="3">
        <v>3157627</v>
      </c>
      <c r="T277" s="3">
        <v>401536</v>
      </c>
      <c r="U277" s="3">
        <v>401536</v>
      </c>
      <c r="V277" s="3">
        <v>401536</v>
      </c>
      <c r="W277" s="3">
        <v>401536</v>
      </c>
      <c r="X277" s="3">
        <v>399124</v>
      </c>
      <c r="Y277" s="3">
        <v>399124</v>
      </c>
      <c r="Z277" s="4">
        <v>399123</v>
      </c>
      <c r="AA277" s="4">
        <v>399123</v>
      </c>
      <c r="AB277" s="4">
        <v>399123</v>
      </c>
      <c r="AC277" s="4">
        <v>399124</v>
      </c>
      <c r="AD277" s="4">
        <v>401536</v>
      </c>
      <c r="AE277" s="4">
        <v>803072</v>
      </c>
      <c r="AF277" s="4">
        <v>1204608</v>
      </c>
      <c r="AG277" s="4">
        <v>1606144</v>
      </c>
      <c r="AH277" s="4">
        <v>2005268</v>
      </c>
      <c r="AI277" s="4">
        <v>2404392</v>
      </c>
      <c r="AJ277" s="4">
        <v>2803515</v>
      </c>
      <c r="AK277" s="4">
        <v>3202638</v>
      </c>
      <c r="AL277" s="4">
        <v>3601761</v>
      </c>
      <c r="AM277" s="4">
        <v>4000885</v>
      </c>
      <c r="AN277" s="153">
        <v>297893</v>
      </c>
    </row>
    <row r="278" spans="1:40" x14ac:dyDescent="0.2">
      <c r="A278" s="1">
        <v>2022</v>
      </c>
      <c r="B278" s="2" t="s">
        <v>301</v>
      </c>
      <c r="C278" s="2" t="s">
        <v>301</v>
      </c>
      <c r="D278" s="1" t="s">
        <v>646</v>
      </c>
      <c r="E278" s="3">
        <v>21384363</v>
      </c>
      <c r="F278" s="3">
        <v>2654</v>
      </c>
      <c r="G278" s="3">
        <v>61845</v>
      </c>
      <c r="H278" s="1">
        <v>0</v>
      </c>
      <c r="I278" s="3">
        <v>21381709</v>
      </c>
      <c r="J278" s="3">
        <v>21319864</v>
      </c>
      <c r="K278" s="3">
        <v>21319864</v>
      </c>
      <c r="L278" s="3">
        <v>575506</v>
      </c>
      <c r="M278" s="3">
        <v>1579188</v>
      </c>
      <c r="N278" s="3">
        <v>230783</v>
      </c>
      <c r="O278" s="3">
        <v>181861</v>
      </c>
      <c r="P278" s="3">
        <v>908839</v>
      </c>
      <c r="Q278" s="3">
        <v>17905532</v>
      </c>
      <c r="R278" s="3">
        <v>17843687</v>
      </c>
      <c r="S278" s="3">
        <v>17843687</v>
      </c>
      <c r="T278" s="3">
        <v>2138171</v>
      </c>
      <c r="U278" s="3">
        <v>2138171</v>
      </c>
      <c r="V278" s="3">
        <v>2138171</v>
      </c>
      <c r="W278" s="3">
        <v>2138171</v>
      </c>
      <c r="X278" s="3">
        <v>2127863</v>
      </c>
      <c r="Y278" s="3">
        <v>2127863</v>
      </c>
      <c r="Z278" s="4">
        <v>2127864</v>
      </c>
      <c r="AA278" s="4">
        <v>2127864</v>
      </c>
      <c r="AB278" s="4">
        <v>2127864</v>
      </c>
      <c r="AC278" s="4">
        <v>2127862</v>
      </c>
      <c r="AD278" s="4">
        <v>2138171</v>
      </c>
      <c r="AE278" s="4">
        <v>4276342</v>
      </c>
      <c r="AF278" s="4">
        <v>6414513</v>
      </c>
      <c r="AG278" s="4">
        <v>8552684</v>
      </c>
      <c r="AH278" s="4">
        <v>10680547</v>
      </c>
      <c r="AI278" s="4">
        <v>12808410</v>
      </c>
      <c r="AJ278" s="4">
        <v>14936274</v>
      </c>
      <c r="AK278" s="4">
        <v>17064138</v>
      </c>
      <c r="AL278" s="4">
        <v>19192002</v>
      </c>
      <c r="AM278" s="4">
        <v>21319864</v>
      </c>
      <c r="AN278" s="153">
        <v>1327190</v>
      </c>
    </row>
    <row r="279" spans="1:40" x14ac:dyDescent="0.2">
      <c r="A279" s="1">
        <v>2022</v>
      </c>
      <c r="B279" s="2" t="s">
        <v>302</v>
      </c>
      <c r="C279" s="2" t="s">
        <v>302</v>
      </c>
      <c r="D279" s="1" t="s">
        <v>647</v>
      </c>
      <c r="E279" s="3">
        <v>818277</v>
      </c>
      <c r="F279" s="3">
        <v>133</v>
      </c>
      <c r="G279" s="3">
        <v>3057</v>
      </c>
      <c r="H279" s="1">
        <v>0</v>
      </c>
      <c r="I279" s="3">
        <v>818144</v>
      </c>
      <c r="J279" s="3">
        <v>815087</v>
      </c>
      <c r="K279" s="3">
        <v>815087</v>
      </c>
      <c r="L279" s="3">
        <v>28775</v>
      </c>
      <c r="M279" s="3">
        <v>80589</v>
      </c>
      <c r="N279" s="3">
        <v>9002</v>
      </c>
      <c r="O279" s="3">
        <v>7914</v>
      </c>
      <c r="P279" s="3">
        <v>47009</v>
      </c>
      <c r="Q279" s="3">
        <v>644855</v>
      </c>
      <c r="R279" s="3">
        <v>641798</v>
      </c>
      <c r="S279" s="3">
        <v>641798</v>
      </c>
      <c r="T279" s="3">
        <v>81814</v>
      </c>
      <c r="U279" s="3">
        <v>81814</v>
      </c>
      <c r="V279" s="3">
        <v>81814</v>
      </c>
      <c r="W279" s="3">
        <v>81814</v>
      </c>
      <c r="X279" s="3">
        <v>81305</v>
      </c>
      <c r="Y279" s="3">
        <v>81305</v>
      </c>
      <c r="Z279" s="4">
        <v>81305</v>
      </c>
      <c r="AA279" s="4">
        <v>81305</v>
      </c>
      <c r="AB279" s="4">
        <v>81305</v>
      </c>
      <c r="AC279" s="4">
        <v>81306</v>
      </c>
      <c r="AD279" s="4">
        <v>81814</v>
      </c>
      <c r="AE279" s="4">
        <v>163628</v>
      </c>
      <c r="AF279" s="4">
        <v>245442</v>
      </c>
      <c r="AG279" s="4">
        <v>327256</v>
      </c>
      <c r="AH279" s="4">
        <v>408561</v>
      </c>
      <c r="AI279" s="4">
        <v>489866</v>
      </c>
      <c r="AJ279" s="4">
        <v>571171</v>
      </c>
      <c r="AK279" s="4">
        <v>652476</v>
      </c>
      <c r="AL279" s="4">
        <v>733781</v>
      </c>
      <c r="AM279" s="4">
        <v>815087</v>
      </c>
      <c r="AN279" s="153">
        <v>76389</v>
      </c>
    </row>
    <row r="280" spans="1:40" x14ac:dyDescent="0.2">
      <c r="A280" s="1">
        <v>2022</v>
      </c>
      <c r="B280" s="2" t="s">
        <v>303</v>
      </c>
      <c r="C280" s="2" t="s">
        <v>303</v>
      </c>
      <c r="D280" s="1" t="s">
        <v>648</v>
      </c>
      <c r="E280" s="3">
        <v>5456477</v>
      </c>
      <c r="F280" s="1">
        <v>779</v>
      </c>
      <c r="G280" s="3">
        <v>22677</v>
      </c>
      <c r="H280" s="1">
        <v>0</v>
      </c>
      <c r="I280" s="3">
        <v>5455698</v>
      </c>
      <c r="J280" s="3">
        <v>5433021</v>
      </c>
      <c r="K280" s="3">
        <v>5433021</v>
      </c>
      <c r="L280" s="3">
        <v>169056</v>
      </c>
      <c r="M280" s="3">
        <v>606110</v>
      </c>
      <c r="N280" s="3">
        <v>66123</v>
      </c>
      <c r="O280" s="3">
        <v>59898</v>
      </c>
      <c r="P280" s="3">
        <v>333257</v>
      </c>
      <c r="Q280" s="3">
        <v>4221254</v>
      </c>
      <c r="R280" s="3">
        <v>4198577</v>
      </c>
      <c r="S280" s="3">
        <v>4198577</v>
      </c>
      <c r="T280" s="3">
        <v>545570</v>
      </c>
      <c r="U280" s="3">
        <v>545570</v>
      </c>
      <c r="V280" s="3">
        <v>545570</v>
      </c>
      <c r="W280" s="3">
        <v>545570</v>
      </c>
      <c r="X280" s="3">
        <v>541790</v>
      </c>
      <c r="Y280" s="3">
        <v>541790</v>
      </c>
      <c r="Z280" s="4">
        <v>541790</v>
      </c>
      <c r="AA280" s="4">
        <v>541790</v>
      </c>
      <c r="AB280" s="4">
        <v>541790</v>
      </c>
      <c r="AC280" s="4">
        <v>541791</v>
      </c>
      <c r="AD280" s="4">
        <v>545570</v>
      </c>
      <c r="AE280" s="4">
        <v>1091140</v>
      </c>
      <c r="AF280" s="4">
        <v>1636710</v>
      </c>
      <c r="AG280" s="4">
        <v>2182280</v>
      </c>
      <c r="AH280" s="4">
        <v>2724070</v>
      </c>
      <c r="AI280" s="4">
        <v>3265860</v>
      </c>
      <c r="AJ280" s="4">
        <v>3807650</v>
      </c>
      <c r="AK280" s="4">
        <v>4349440</v>
      </c>
      <c r="AL280" s="4">
        <v>4891230</v>
      </c>
      <c r="AM280" s="4">
        <v>5433021</v>
      </c>
      <c r="AN280" s="153">
        <v>446278</v>
      </c>
    </row>
    <row r="281" spans="1:40" x14ac:dyDescent="0.2">
      <c r="A281" s="1">
        <v>2022</v>
      </c>
      <c r="B281" s="2" t="s">
        <v>304</v>
      </c>
      <c r="C281" s="2" t="s">
        <v>304</v>
      </c>
      <c r="D281" s="1" t="s">
        <v>649</v>
      </c>
      <c r="E281" s="3">
        <v>4837677</v>
      </c>
      <c r="F281" s="3">
        <v>779</v>
      </c>
      <c r="G281" s="3">
        <v>18544</v>
      </c>
      <c r="H281" s="3">
        <v>69452</v>
      </c>
      <c r="I281" s="3">
        <v>4836898</v>
      </c>
      <c r="J281" s="3">
        <v>4818354</v>
      </c>
      <c r="K281" s="3">
        <v>4748902</v>
      </c>
      <c r="L281" s="3">
        <v>169056</v>
      </c>
      <c r="M281" s="3">
        <v>497782</v>
      </c>
      <c r="N281" s="3">
        <v>51230</v>
      </c>
      <c r="O281" s="3">
        <v>54852</v>
      </c>
      <c r="P281" s="3">
        <v>272519</v>
      </c>
      <c r="Q281" s="3">
        <v>3791459</v>
      </c>
      <c r="R281" s="3">
        <v>3772915</v>
      </c>
      <c r="S281" s="3">
        <v>3703463</v>
      </c>
      <c r="T281" s="3">
        <v>483690</v>
      </c>
      <c r="U281" s="3">
        <v>483690</v>
      </c>
      <c r="V281" s="3">
        <v>483690</v>
      </c>
      <c r="W281" s="3">
        <v>483690</v>
      </c>
      <c r="X281" s="3">
        <v>480599</v>
      </c>
      <c r="Y281" s="3">
        <v>480599</v>
      </c>
      <c r="Z281" s="4">
        <v>463236</v>
      </c>
      <c r="AA281" s="4">
        <v>463236</v>
      </c>
      <c r="AB281" s="4">
        <v>463236</v>
      </c>
      <c r="AC281" s="4">
        <v>463236</v>
      </c>
      <c r="AD281" s="4">
        <v>483690</v>
      </c>
      <c r="AE281" s="4">
        <v>967380</v>
      </c>
      <c r="AF281" s="4">
        <v>1451070</v>
      </c>
      <c r="AG281" s="4">
        <v>1934760</v>
      </c>
      <c r="AH281" s="4">
        <v>2415359</v>
      </c>
      <c r="AI281" s="4">
        <v>2895958</v>
      </c>
      <c r="AJ281" s="4">
        <v>3359194</v>
      </c>
      <c r="AK281" s="4">
        <v>3822430</v>
      </c>
      <c r="AL281" s="4">
        <v>4285666</v>
      </c>
      <c r="AM281" s="4">
        <v>4748902</v>
      </c>
      <c r="AN281" s="153">
        <v>382317</v>
      </c>
    </row>
    <row r="282" spans="1:40" x14ac:dyDescent="0.2">
      <c r="A282" s="1">
        <v>2022</v>
      </c>
      <c r="B282" s="2" t="s">
        <v>305</v>
      </c>
      <c r="C282" s="2" t="s">
        <v>305</v>
      </c>
      <c r="D282" s="1" t="s">
        <v>650</v>
      </c>
      <c r="E282" s="3">
        <v>5772637</v>
      </c>
      <c r="F282" s="1">
        <v>580</v>
      </c>
      <c r="G282" s="3">
        <v>20737</v>
      </c>
      <c r="H282" s="1">
        <v>0</v>
      </c>
      <c r="I282" s="3">
        <v>5772057</v>
      </c>
      <c r="J282" s="3">
        <v>5751320</v>
      </c>
      <c r="K282" s="3">
        <v>5751320</v>
      </c>
      <c r="L282" s="3">
        <v>125893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4689627</v>
      </c>
      <c r="R282" s="3">
        <v>4668890</v>
      </c>
      <c r="S282" s="3">
        <v>4668890</v>
      </c>
      <c r="T282" s="3">
        <v>577206</v>
      </c>
      <c r="U282" s="3">
        <v>577206</v>
      </c>
      <c r="V282" s="3">
        <v>577206</v>
      </c>
      <c r="W282" s="3">
        <v>577206</v>
      </c>
      <c r="X282" s="3">
        <v>573749</v>
      </c>
      <c r="Y282" s="3">
        <v>573749</v>
      </c>
      <c r="Z282" s="4">
        <v>573750</v>
      </c>
      <c r="AA282" s="4">
        <v>573750</v>
      </c>
      <c r="AB282" s="4">
        <v>573750</v>
      </c>
      <c r="AC282" s="4">
        <v>573748</v>
      </c>
      <c r="AD282" s="4">
        <v>577206</v>
      </c>
      <c r="AE282" s="4">
        <v>1154412</v>
      </c>
      <c r="AF282" s="4">
        <v>1731618</v>
      </c>
      <c r="AG282" s="4">
        <v>2308824</v>
      </c>
      <c r="AH282" s="4">
        <v>2882573</v>
      </c>
      <c r="AI282" s="4">
        <v>3456322</v>
      </c>
      <c r="AJ282" s="4">
        <v>4030072</v>
      </c>
      <c r="AK282" s="4">
        <v>4603822</v>
      </c>
      <c r="AL282" s="4">
        <v>5177572</v>
      </c>
      <c r="AM282" s="4">
        <v>5751320</v>
      </c>
      <c r="AN282" s="153">
        <v>417962</v>
      </c>
    </row>
    <row r="283" spans="1:40" x14ac:dyDescent="0.2">
      <c r="A283" s="1">
        <v>2022</v>
      </c>
      <c r="B283" s="2" t="s">
        <v>306</v>
      </c>
      <c r="C283" s="2" t="s">
        <v>306</v>
      </c>
      <c r="D283" s="1" t="s">
        <v>651</v>
      </c>
      <c r="E283" s="3">
        <v>3316960</v>
      </c>
      <c r="F283" s="3">
        <v>0</v>
      </c>
      <c r="G283" s="3">
        <v>14005</v>
      </c>
      <c r="H283" s="1">
        <v>0</v>
      </c>
      <c r="I283" s="3">
        <v>3316960</v>
      </c>
      <c r="J283" s="3">
        <v>3302955</v>
      </c>
      <c r="K283" s="3">
        <v>3302955</v>
      </c>
      <c r="L283" s="3">
        <v>0</v>
      </c>
      <c r="M283" s="3">
        <v>382178</v>
      </c>
      <c r="N283" s="3">
        <v>42193</v>
      </c>
      <c r="O283" s="3">
        <v>40260</v>
      </c>
      <c r="P283" s="3">
        <v>212613</v>
      </c>
      <c r="Q283" s="3">
        <v>2639716</v>
      </c>
      <c r="R283" s="3">
        <v>2625711</v>
      </c>
      <c r="S283" s="3">
        <v>2625711</v>
      </c>
      <c r="T283" s="3">
        <v>331696</v>
      </c>
      <c r="U283" s="3">
        <v>331696</v>
      </c>
      <c r="V283" s="3">
        <v>331696</v>
      </c>
      <c r="W283" s="3">
        <v>331696</v>
      </c>
      <c r="X283" s="3">
        <v>329362</v>
      </c>
      <c r="Y283" s="3">
        <v>329362</v>
      </c>
      <c r="Z283" s="4">
        <v>329362</v>
      </c>
      <c r="AA283" s="4">
        <v>329362</v>
      </c>
      <c r="AB283" s="4">
        <v>329362</v>
      </c>
      <c r="AC283" s="4">
        <v>329361</v>
      </c>
      <c r="AD283" s="4">
        <v>331696</v>
      </c>
      <c r="AE283" s="4">
        <v>663392</v>
      </c>
      <c r="AF283" s="4">
        <v>995088</v>
      </c>
      <c r="AG283" s="4">
        <v>1326784</v>
      </c>
      <c r="AH283" s="4">
        <v>1656146</v>
      </c>
      <c r="AI283" s="4">
        <v>1985508</v>
      </c>
      <c r="AJ283" s="4">
        <v>2314870</v>
      </c>
      <c r="AK283" s="4">
        <v>2644232</v>
      </c>
      <c r="AL283" s="4">
        <v>2973594</v>
      </c>
      <c r="AM283" s="4">
        <v>3302955</v>
      </c>
      <c r="AN283" s="153">
        <v>285716</v>
      </c>
    </row>
    <row r="284" spans="1:40" x14ac:dyDescent="0.2">
      <c r="A284" s="1">
        <v>2022</v>
      </c>
      <c r="B284" s="2" t="s">
        <v>307</v>
      </c>
      <c r="C284" s="2" t="s">
        <v>307</v>
      </c>
      <c r="D284" s="1" t="s">
        <v>652</v>
      </c>
      <c r="E284" s="3">
        <v>4369779</v>
      </c>
      <c r="F284" s="1">
        <v>846</v>
      </c>
      <c r="G284" s="3">
        <v>15746</v>
      </c>
      <c r="H284" s="1">
        <v>0</v>
      </c>
      <c r="I284" s="3">
        <v>4368933</v>
      </c>
      <c r="J284" s="3">
        <v>4353187</v>
      </c>
      <c r="K284" s="3">
        <v>4353187</v>
      </c>
      <c r="L284" s="3">
        <v>186967</v>
      </c>
      <c r="M284" s="3">
        <v>413955</v>
      </c>
      <c r="N284" s="3">
        <v>45614</v>
      </c>
      <c r="O284" s="3">
        <v>46390</v>
      </c>
      <c r="P284" s="3">
        <v>231399</v>
      </c>
      <c r="Q284" s="3">
        <v>3444608</v>
      </c>
      <c r="R284" s="3">
        <v>3428862</v>
      </c>
      <c r="S284" s="3">
        <v>3428862</v>
      </c>
      <c r="T284" s="3">
        <v>436893</v>
      </c>
      <c r="U284" s="3">
        <v>436893</v>
      </c>
      <c r="V284" s="3">
        <v>436893</v>
      </c>
      <c r="W284" s="3">
        <v>436893</v>
      </c>
      <c r="X284" s="3">
        <v>434269</v>
      </c>
      <c r="Y284" s="3">
        <v>434269</v>
      </c>
      <c r="Z284" s="4">
        <v>434269</v>
      </c>
      <c r="AA284" s="4">
        <v>434269</v>
      </c>
      <c r="AB284" s="4">
        <v>434269</v>
      </c>
      <c r="AC284" s="4">
        <v>434270</v>
      </c>
      <c r="AD284" s="4">
        <v>436893</v>
      </c>
      <c r="AE284" s="4">
        <v>873786</v>
      </c>
      <c r="AF284" s="4">
        <v>1310679</v>
      </c>
      <c r="AG284" s="4">
        <v>1747572</v>
      </c>
      <c r="AH284" s="4">
        <v>2181841</v>
      </c>
      <c r="AI284" s="4">
        <v>2616110</v>
      </c>
      <c r="AJ284" s="4">
        <v>3050379</v>
      </c>
      <c r="AK284" s="4">
        <v>3484648</v>
      </c>
      <c r="AL284" s="4">
        <v>3918917</v>
      </c>
      <c r="AM284" s="4">
        <v>4353187</v>
      </c>
      <c r="AN284" s="153">
        <v>308788</v>
      </c>
    </row>
    <row r="285" spans="1:40" x14ac:dyDescent="0.2">
      <c r="A285" s="1">
        <v>2022</v>
      </c>
      <c r="B285" s="2" t="s">
        <v>308</v>
      </c>
      <c r="C285" s="2" t="s">
        <v>308</v>
      </c>
      <c r="D285" s="1" t="s">
        <v>653</v>
      </c>
      <c r="E285" s="3">
        <v>1746290</v>
      </c>
      <c r="F285" s="1">
        <v>149</v>
      </c>
      <c r="G285" s="3">
        <v>6618</v>
      </c>
      <c r="H285" s="3">
        <v>0</v>
      </c>
      <c r="I285" s="3">
        <v>1746141</v>
      </c>
      <c r="J285" s="3">
        <v>1739523</v>
      </c>
      <c r="K285" s="3">
        <v>1739523</v>
      </c>
      <c r="L285" s="3">
        <v>32373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1376609</v>
      </c>
      <c r="R285" s="3">
        <v>1369991</v>
      </c>
      <c r="S285" s="3">
        <v>1369991</v>
      </c>
      <c r="T285" s="3">
        <v>174614</v>
      </c>
      <c r="U285" s="3">
        <v>174614</v>
      </c>
      <c r="V285" s="3">
        <v>174614</v>
      </c>
      <c r="W285" s="3">
        <v>174614</v>
      </c>
      <c r="X285" s="3">
        <v>173511</v>
      </c>
      <c r="Y285" s="3">
        <v>173511</v>
      </c>
      <c r="Z285" s="4">
        <v>173511</v>
      </c>
      <c r="AA285" s="4">
        <v>173511</v>
      </c>
      <c r="AB285" s="4">
        <v>173511</v>
      </c>
      <c r="AC285" s="4">
        <v>173512</v>
      </c>
      <c r="AD285" s="4">
        <v>174614</v>
      </c>
      <c r="AE285" s="4">
        <v>349228</v>
      </c>
      <c r="AF285" s="4">
        <v>523842</v>
      </c>
      <c r="AG285" s="4">
        <v>698456</v>
      </c>
      <c r="AH285" s="4">
        <v>871967</v>
      </c>
      <c r="AI285" s="4">
        <v>1045478</v>
      </c>
      <c r="AJ285" s="4">
        <v>1218989</v>
      </c>
      <c r="AK285" s="4">
        <v>1392500</v>
      </c>
      <c r="AL285" s="4">
        <v>1566011</v>
      </c>
      <c r="AM285" s="4">
        <v>1739523</v>
      </c>
      <c r="AN285" s="153">
        <v>127495</v>
      </c>
    </row>
    <row r="286" spans="1:40" x14ac:dyDescent="0.2">
      <c r="A286" s="1">
        <v>2022</v>
      </c>
      <c r="B286" s="2" t="s">
        <v>309</v>
      </c>
      <c r="C286" s="2" t="s">
        <v>309</v>
      </c>
      <c r="D286" s="1" t="s">
        <v>654</v>
      </c>
      <c r="E286" s="3">
        <v>2781762</v>
      </c>
      <c r="F286" s="1">
        <v>282</v>
      </c>
      <c r="G286" s="3">
        <v>9383</v>
      </c>
      <c r="H286" s="1">
        <v>0</v>
      </c>
      <c r="I286" s="3">
        <v>2781480</v>
      </c>
      <c r="J286" s="3">
        <v>2772097</v>
      </c>
      <c r="K286" s="3">
        <v>2772097</v>
      </c>
      <c r="L286" s="3">
        <v>61148</v>
      </c>
      <c r="M286" s="3">
        <v>269891</v>
      </c>
      <c r="N286" s="3">
        <v>28868</v>
      </c>
      <c r="O286" s="3">
        <v>27933</v>
      </c>
      <c r="P286" s="3">
        <v>139765</v>
      </c>
      <c r="Q286" s="3">
        <v>2253875</v>
      </c>
      <c r="R286" s="3">
        <v>2244492</v>
      </c>
      <c r="S286" s="3">
        <v>2244492</v>
      </c>
      <c r="T286" s="3">
        <v>278148</v>
      </c>
      <c r="U286" s="3">
        <v>278148</v>
      </c>
      <c r="V286" s="3">
        <v>278148</v>
      </c>
      <c r="W286" s="3">
        <v>278148</v>
      </c>
      <c r="X286" s="3">
        <v>276584</v>
      </c>
      <c r="Y286" s="3">
        <v>276584</v>
      </c>
      <c r="Z286" s="4">
        <v>276584</v>
      </c>
      <c r="AA286" s="4">
        <v>276584</v>
      </c>
      <c r="AB286" s="4">
        <v>276584</v>
      </c>
      <c r="AC286" s="4">
        <v>276585</v>
      </c>
      <c r="AD286" s="4">
        <v>278148</v>
      </c>
      <c r="AE286" s="4">
        <v>556296</v>
      </c>
      <c r="AF286" s="4">
        <v>834444</v>
      </c>
      <c r="AG286" s="4">
        <v>1112592</v>
      </c>
      <c r="AH286" s="4">
        <v>1389176</v>
      </c>
      <c r="AI286" s="4">
        <v>1665760</v>
      </c>
      <c r="AJ286" s="4">
        <v>1942344</v>
      </c>
      <c r="AK286" s="4">
        <v>2218928</v>
      </c>
      <c r="AL286" s="4">
        <v>2495512</v>
      </c>
      <c r="AM286" s="4">
        <v>2772097</v>
      </c>
      <c r="AN286" s="153">
        <v>200533</v>
      </c>
    </row>
    <row r="287" spans="1:40" x14ac:dyDescent="0.2">
      <c r="A287" s="1">
        <v>2022</v>
      </c>
      <c r="B287" s="2" t="s">
        <v>310</v>
      </c>
      <c r="C287" s="2" t="s">
        <v>310</v>
      </c>
      <c r="D287" s="1" t="s">
        <v>655</v>
      </c>
      <c r="E287" s="3">
        <v>1903837</v>
      </c>
      <c r="F287" s="1">
        <v>365</v>
      </c>
      <c r="G287" s="3">
        <v>8259</v>
      </c>
      <c r="H287" s="1">
        <v>0</v>
      </c>
      <c r="I287" s="3">
        <v>1903472</v>
      </c>
      <c r="J287" s="3">
        <v>1895213</v>
      </c>
      <c r="K287" s="3">
        <v>1895213</v>
      </c>
      <c r="L287" s="3">
        <v>79132</v>
      </c>
      <c r="M287" s="3">
        <v>233008</v>
      </c>
      <c r="N287" s="3">
        <v>19659</v>
      </c>
      <c r="O287" s="3">
        <v>26693</v>
      </c>
      <c r="P287" s="3">
        <v>121732</v>
      </c>
      <c r="Q287" s="3">
        <v>1423248</v>
      </c>
      <c r="R287" s="3">
        <v>1414989</v>
      </c>
      <c r="S287" s="3">
        <v>1414989</v>
      </c>
      <c r="T287" s="3">
        <v>190347</v>
      </c>
      <c r="U287" s="3">
        <v>190347</v>
      </c>
      <c r="V287" s="3">
        <v>190347</v>
      </c>
      <c r="W287" s="3">
        <v>190347</v>
      </c>
      <c r="X287" s="3">
        <v>188971</v>
      </c>
      <c r="Y287" s="3">
        <v>188971</v>
      </c>
      <c r="Z287" s="4">
        <v>188971</v>
      </c>
      <c r="AA287" s="4">
        <v>188971</v>
      </c>
      <c r="AB287" s="4">
        <v>188971</v>
      </c>
      <c r="AC287" s="4">
        <v>188970</v>
      </c>
      <c r="AD287" s="4">
        <v>190347</v>
      </c>
      <c r="AE287" s="4">
        <v>380694</v>
      </c>
      <c r="AF287" s="4">
        <v>571041</v>
      </c>
      <c r="AG287" s="4">
        <v>761388</v>
      </c>
      <c r="AH287" s="4">
        <v>950359</v>
      </c>
      <c r="AI287" s="4">
        <v>1139330</v>
      </c>
      <c r="AJ287" s="4">
        <v>1328301</v>
      </c>
      <c r="AK287" s="4">
        <v>1517272</v>
      </c>
      <c r="AL287" s="4">
        <v>1706243</v>
      </c>
      <c r="AM287" s="4">
        <v>1895213</v>
      </c>
      <c r="AN287" s="153">
        <v>182074</v>
      </c>
    </row>
    <row r="288" spans="1:40" x14ac:dyDescent="0.2">
      <c r="A288" s="1">
        <v>2022</v>
      </c>
      <c r="B288" s="2" t="s">
        <v>311</v>
      </c>
      <c r="C288" s="2" t="s">
        <v>311</v>
      </c>
      <c r="D288" s="1" t="s">
        <v>656</v>
      </c>
      <c r="E288" s="3">
        <v>2179543</v>
      </c>
      <c r="F288" s="1">
        <v>182</v>
      </c>
      <c r="G288" s="3">
        <v>7361</v>
      </c>
      <c r="H288" s="1">
        <v>0</v>
      </c>
      <c r="I288" s="3">
        <v>2179361</v>
      </c>
      <c r="J288" s="3">
        <v>2172000</v>
      </c>
      <c r="K288" s="3">
        <v>2172000</v>
      </c>
      <c r="L288" s="3">
        <v>39567</v>
      </c>
      <c r="M288" s="3">
        <v>213997</v>
      </c>
      <c r="N288" s="3">
        <v>26076</v>
      </c>
      <c r="O288" s="3">
        <v>22403</v>
      </c>
      <c r="P288" s="3">
        <v>110312</v>
      </c>
      <c r="Q288" s="3">
        <v>1767006</v>
      </c>
      <c r="R288" s="3">
        <v>1759645</v>
      </c>
      <c r="S288" s="3">
        <v>1759645</v>
      </c>
      <c r="T288" s="3">
        <v>217936</v>
      </c>
      <c r="U288" s="3">
        <v>217936</v>
      </c>
      <c r="V288" s="3">
        <v>217936</v>
      </c>
      <c r="W288" s="3">
        <v>217936</v>
      </c>
      <c r="X288" s="3">
        <v>216709</v>
      </c>
      <c r="Y288" s="3">
        <v>216709</v>
      </c>
      <c r="Z288" s="4">
        <v>216710</v>
      </c>
      <c r="AA288" s="4">
        <v>216710</v>
      </c>
      <c r="AB288" s="4">
        <v>216710</v>
      </c>
      <c r="AC288" s="4">
        <v>216708</v>
      </c>
      <c r="AD288" s="4">
        <v>217936</v>
      </c>
      <c r="AE288" s="4">
        <v>435872</v>
      </c>
      <c r="AF288" s="4">
        <v>653808</v>
      </c>
      <c r="AG288" s="4">
        <v>871744</v>
      </c>
      <c r="AH288" s="4">
        <v>1088453</v>
      </c>
      <c r="AI288" s="4">
        <v>1305162</v>
      </c>
      <c r="AJ288" s="4">
        <v>1521872</v>
      </c>
      <c r="AK288" s="4">
        <v>1738582</v>
      </c>
      <c r="AL288" s="4">
        <v>1955292</v>
      </c>
      <c r="AM288" s="4">
        <v>2172000</v>
      </c>
      <c r="AN288" s="153">
        <v>147890</v>
      </c>
    </row>
    <row r="289" spans="1:40" x14ac:dyDescent="0.2">
      <c r="A289" s="1">
        <v>2022</v>
      </c>
      <c r="B289" s="2" t="s">
        <v>312</v>
      </c>
      <c r="C289" s="2" t="s">
        <v>312</v>
      </c>
      <c r="D289" s="1" t="s">
        <v>657</v>
      </c>
      <c r="E289" s="3">
        <v>775873</v>
      </c>
      <c r="F289" s="1">
        <v>83</v>
      </c>
      <c r="G289" s="3">
        <v>3777</v>
      </c>
      <c r="H289" s="1">
        <v>0</v>
      </c>
      <c r="I289" s="3">
        <v>775790</v>
      </c>
      <c r="J289" s="3">
        <v>772013</v>
      </c>
      <c r="K289" s="3">
        <v>772013</v>
      </c>
      <c r="L289" s="3">
        <v>17985</v>
      </c>
      <c r="M289" s="3">
        <v>110817</v>
      </c>
      <c r="N289" s="3">
        <v>10904</v>
      </c>
      <c r="O289" s="3">
        <v>10960</v>
      </c>
      <c r="P289" s="3">
        <v>55502</v>
      </c>
      <c r="Q289" s="3">
        <v>569622</v>
      </c>
      <c r="R289" s="3">
        <v>565845</v>
      </c>
      <c r="S289" s="3">
        <v>565845</v>
      </c>
      <c r="T289" s="3">
        <v>77579</v>
      </c>
      <c r="U289" s="3">
        <v>77579</v>
      </c>
      <c r="V289" s="3">
        <v>77579</v>
      </c>
      <c r="W289" s="3">
        <v>77579</v>
      </c>
      <c r="X289" s="3">
        <v>76950</v>
      </c>
      <c r="Y289" s="3">
        <v>76950</v>
      </c>
      <c r="Z289" s="4">
        <v>76949</v>
      </c>
      <c r="AA289" s="4">
        <v>76949</v>
      </c>
      <c r="AB289" s="4">
        <v>76949</v>
      </c>
      <c r="AC289" s="4">
        <v>76950</v>
      </c>
      <c r="AD289" s="4">
        <v>77579</v>
      </c>
      <c r="AE289" s="4">
        <v>155158</v>
      </c>
      <c r="AF289" s="4">
        <v>232737</v>
      </c>
      <c r="AG289" s="4">
        <v>310316</v>
      </c>
      <c r="AH289" s="4">
        <v>387266</v>
      </c>
      <c r="AI289" s="4">
        <v>464216</v>
      </c>
      <c r="AJ289" s="4">
        <v>541165</v>
      </c>
      <c r="AK289" s="4">
        <v>618114</v>
      </c>
      <c r="AL289" s="4">
        <v>695063</v>
      </c>
      <c r="AM289" s="4">
        <v>772013</v>
      </c>
      <c r="AN289" s="153">
        <v>78210</v>
      </c>
    </row>
    <row r="290" spans="1:40" x14ac:dyDescent="0.2">
      <c r="A290" s="1">
        <v>2022</v>
      </c>
      <c r="B290" s="2" t="s">
        <v>313</v>
      </c>
      <c r="C290" s="2" t="s">
        <v>313</v>
      </c>
      <c r="D290" s="1" t="s">
        <v>658</v>
      </c>
      <c r="E290" s="3">
        <v>4461322</v>
      </c>
      <c r="F290" s="1">
        <v>564</v>
      </c>
      <c r="G290" s="3">
        <v>17247</v>
      </c>
      <c r="H290" s="1">
        <v>0</v>
      </c>
      <c r="I290" s="3">
        <v>4460758</v>
      </c>
      <c r="J290" s="3">
        <v>4443511</v>
      </c>
      <c r="K290" s="3">
        <v>4443511</v>
      </c>
      <c r="L290" s="3">
        <v>122295</v>
      </c>
      <c r="M290" s="3">
        <v>430301</v>
      </c>
      <c r="N290" s="3">
        <v>49237</v>
      </c>
      <c r="O290" s="3">
        <v>44641</v>
      </c>
      <c r="P290" s="3">
        <v>253460</v>
      </c>
      <c r="Q290" s="3">
        <v>3560824</v>
      </c>
      <c r="R290" s="3">
        <v>3543577</v>
      </c>
      <c r="S290" s="3">
        <v>3543577</v>
      </c>
      <c r="T290" s="3">
        <v>446076</v>
      </c>
      <c r="U290" s="3">
        <v>446076</v>
      </c>
      <c r="V290" s="3">
        <v>446076</v>
      </c>
      <c r="W290" s="3">
        <v>446076</v>
      </c>
      <c r="X290" s="3">
        <v>443201</v>
      </c>
      <c r="Y290" s="3">
        <v>443201</v>
      </c>
      <c r="Z290" s="4">
        <v>443201</v>
      </c>
      <c r="AA290" s="4">
        <v>443201</v>
      </c>
      <c r="AB290" s="4">
        <v>443201</v>
      </c>
      <c r="AC290" s="4">
        <v>443202</v>
      </c>
      <c r="AD290" s="4">
        <v>446076</v>
      </c>
      <c r="AE290" s="4">
        <v>892152</v>
      </c>
      <c r="AF290" s="4">
        <v>1338228</v>
      </c>
      <c r="AG290" s="4">
        <v>1784304</v>
      </c>
      <c r="AH290" s="4">
        <v>2227505</v>
      </c>
      <c r="AI290" s="4">
        <v>2670706</v>
      </c>
      <c r="AJ290" s="4">
        <v>3113907</v>
      </c>
      <c r="AK290" s="4">
        <v>3557108</v>
      </c>
      <c r="AL290" s="4">
        <v>4000309</v>
      </c>
      <c r="AM290" s="4">
        <v>4443511</v>
      </c>
      <c r="AN290" s="153">
        <v>346111</v>
      </c>
    </row>
    <row r="291" spans="1:40" x14ac:dyDescent="0.2">
      <c r="A291" s="1">
        <v>2022</v>
      </c>
      <c r="B291" s="2" t="s">
        <v>314</v>
      </c>
      <c r="C291" s="2" t="s">
        <v>314</v>
      </c>
      <c r="D291" s="1" t="s">
        <v>659</v>
      </c>
      <c r="E291" s="3">
        <v>1494715</v>
      </c>
      <c r="F291" s="3">
        <v>813</v>
      </c>
      <c r="G291" s="3">
        <v>8836</v>
      </c>
      <c r="H291" s="3">
        <v>0</v>
      </c>
      <c r="I291" s="3">
        <v>1493902</v>
      </c>
      <c r="J291" s="3">
        <v>1485066</v>
      </c>
      <c r="K291" s="3">
        <v>1485066</v>
      </c>
      <c r="L291" s="3">
        <v>229109</v>
      </c>
      <c r="M291" s="3">
        <v>213289</v>
      </c>
      <c r="N291" s="3">
        <v>28723</v>
      </c>
      <c r="O291" s="3">
        <v>18576</v>
      </c>
      <c r="P291" s="3">
        <v>137481</v>
      </c>
      <c r="Q291" s="3">
        <v>866724</v>
      </c>
      <c r="R291" s="3">
        <v>857888</v>
      </c>
      <c r="S291" s="3">
        <v>857888</v>
      </c>
      <c r="T291" s="3">
        <v>149390</v>
      </c>
      <c r="U291" s="3">
        <v>149390</v>
      </c>
      <c r="V291" s="3">
        <v>149390</v>
      </c>
      <c r="W291" s="3">
        <v>149390</v>
      </c>
      <c r="X291" s="3">
        <v>147918</v>
      </c>
      <c r="Y291" s="3">
        <v>147918</v>
      </c>
      <c r="Z291" s="4">
        <v>147918</v>
      </c>
      <c r="AA291" s="4">
        <v>147918</v>
      </c>
      <c r="AB291" s="4">
        <v>147918</v>
      </c>
      <c r="AC291" s="4">
        <v>147916</v>
      </c>
      <c r="AD291" s="4">
        <v>149390</v>
      </c>
      <c r="AE291" s="4">
        <v>298780</v>
      </c>
      <c r="AF291" s="4">
        <v>448170</v>
      </c>
      <c r="AG291" s="4">
        <v>597560</v>
      </c>
      <c r="AH291" s="4">
        <v>745478</v>
      </c>
      <c r="AI291" s="4">
        <v>893396</v>
      </c>
      <c r="AJ291" s="4">
        <v>1041314</v>
      </c>
      <c r="AK291" s="4">
        <v>1189232</v>
      </c>
      <c r="AL291" s="4">
        <v>1337150</v>
      </c>
      <c r="AM291" s="4">
        <v>1485066</v>
      </c>
      <c r="AN291" s="153">
        <v>175918</v>
      </c>
    </row>
    <row r="292" spans="1:40" x14ac:dyDescent="0.2">
      <c r="A292" s="1">
        <v>2022</v>
      </c>
      <c r="B292" s="2" t="s">
        <v>315</v>
      </c>
      <c r="C292" s="2" t="s">
        <v>315</v>
      </c>
      <c r="D292" s="1" t="s">
        <v>660</v>
      </c>
      <c r="E292" s="3">
        <v>20769837</v>
      </c>
      <c r="F292" s="3">
        <v>2388</v>
      </c>
      <c r="G292" s="3">
        <v>80002</v>
      </c>
      <c r="H292" s="1">
        <v>0</v>
      </c>
      <c r="I292" s="3">
        <v>20767449</v>
      </c>
      <c r="J292" s="3">
        <v>20687447</v>
      </c>
      <c r="K292" s="3">
        <v>20687447</v>
      </c>
      <c r="L292" s="3">
        <v>517956</v>
      </c>
      <c r="M292" s="3">
        <v>2114868</v>
      </c>
      <c r="N292" s="3">
        <v>241182</v>
      </c>
      <c r="O292" s="3">
        <v>248794</v>
      </c>
      <c r="P292" s="3">
        <v>1175668</v>
      </c>
      <c r="Q292" s="3">
        <v>16468981</v>
      </c>
      <c r="R292" s="3">
        <v>16388979</v>
      </c>
      <c r="S292" s="3">
        <v>16388979</v>
      </c>
      <c r="T292" s="3">
        <v>2076745</v>
      </c>
      <c r="U292" s="3">
        <v>2076745</v>
      </c>
      <c r="V292" s="3">
        <v>2076745</v>
      </c>
      <c r="W292" s="3">
        <v>2076745</v>
      </c>
      <c r="X292" s="3">
        <v>2063411</v>
      </c>
      <c r="Y292" s="3">
        <v>2063411</v>
      </c>
      <c r="Z292" s="4">
        <v>2063411</v>
      </c>
      <c r="AA292" s="4">
        <v>2063411</v>
      </c>
      <c r="AB292" s="4">
        <v>2063411</v>
      </c>
      <c r="AC292" s="4">
        <v>2063412</v>
      </c>
      <c r="AD292" s="4">
        <v>2076745</v>
      </c>
      <c r="AE292" s="4">
        <v>4153490</v>
      </c>
      <c r="AF292" s="4">
        <v>6230235</v>
      </c>
      <c r="AG292" s="4">
        <v>8306980</v>
      </c>
      <c r="AH292" s="4">
        <v>10370391</v>
      </c>
      <c r="AI292" s="4">
        <v>12433802</v>
      </c>
      <c r="AJ292" s="4">
        <v>14497213</v>
      </c>
      <c r="AK292" s="4">
        <v>16560624</v>
      </c>
      <c r="AL292" s="4">
        <v>18624035</v>
      </c>
      <c r="AM292" s="4">
        <v>20687447</v>
      </c>
      <c r="AN292" s="153">
        <v>1606722</v>
      </c>
    </row>
    <row r="293" spans="1:40" x14ac:dyDescent="0.2">
      <c r="A293" s="1">
        <v>2022</v>
      </c>
      <c r="B293" s="2" t="s">
        <v>317</v>
      </c>
      <c r="C293" s="2" t="s">
        <v>317</v>
      </c>
      <c r="D293" s="1" t="s">
        <v>806</v>
      </c>
      <c r="E293" s="3">
        <v>5892537</v>
      </c>
      <c r="F293" s="3">
        <v>896</v>
      </c>
      <c r="G293" s="3">
        <v>22321</v>
      </c>
      <c r="H293" s="1">
        <v>0</v>
      </c>
      <c r="I293" s="3">
        <v>5891641</v>
      </c>
      <c r="J293" s="3">
        <v>5869320</v>
      </c>
      <c r="K293" s="3">
        <v>5869320</v>
      </c>
      <c r="L293" s="3">
        <v>194233</v>
      </c>
      <c r="M293" s="3">
        <v>582576</v>
      </c>
      <c r="N293" s="3">
        <v>70374</v>
      </c>
      <c r="O293" s="3">
        <v>57961</v>
      </c>
      <c r="P293" s="3">
        <v>328021</v>
      </c>
      <c r="Q293" s="3">
        <v>4658476</v>
      </c>
      <c r="R293" s="3">
        <v>4636155</v>
      </c>
      <c r="S293" s="3">
        <v>4636155</v>
      </c>
      <c r="T293" s="3">
        <v>589164</v>
      </c>
      <c r="U293" s="3">
        <v>589164</v>
      </c>
      <c r="V293" s="3">
        <v>589164</v>
      </c>
      <c r="W293" s="3">
        <v>589164</v>
      </c>
      <c r="X293" s="3">
        <v>585444</v>
      </c>
      <c r="Y293" s="3">
        <v>585444</v>
      </c>
      <c r="Z293" s="4">
        <v>585444</v>
      </c>
      <c r="AA293" s="4">
        <v>585444</v>
      </c>
      <c r="AB293" s="4">
        <v>585444</v>
      </c>
      <c r="AC293" s="4">
        <v>585444</v>
      </c>
      <c r="AD293" s="4">
        <v>589164</v>
      </c>
      <c r="AE293" s="4">
        <v>1178328</v>
      </c>
      <c r="AF293" s="4">
        <v>1767492</v>
      </c>
      <c r="AG293" s="4">
        <v>2356656</v>
      </c>
      <c r="AH293" s="4">
        <v>2942100</v>
      </c>
      <c r="AI293" s="4">
        <v>3527544</v>
      </c>
      <c r="AJ293" s="4">
        <v>4112988</v>
      </c>
      <c r="AK293" s="4">
        <v>4698432</v>
      </c>
      <c r="AL293" s="4">
        <v>5283876</v>
      </c>
      <c r="AM293" s="4">
        <v>5869320</v>
      </c>
      <c r="AN293" s="153">
        <v>430137</v>
      </c>
    </row>
    <row r="294" spans="1:40" x14ac:dyDescent="0.2">
      <c r="A294" s="1">
        <v>2022</v>
      </c>
      <c r="B294" s="2" t="s">
        <v>318</v>
      </c>
      <c r="C294" s="2" t="s">
        <v>318</v>
      </c>
      <c r="D294" s="1" t="s">
        <v>661</v>
      </c>
      <c r="E294" s="3">
        <v>4889170</v>
      </c>
      <c r="F294" s="1">
        <v>697</v>
      </c>
      <c r="G294" s="3">
        <v>18511</v>
      </c>
      <c r="H294" s="1">
        <v>0</v>
      </c>
      <c r="I294" s="3">
        <v>4888473</v>
      </c>
      <c r="J294" s="3">
        <v>4869962</v>
      </c>
      <c r="K294" s="3">
        <v>4869962</v>
      </c>
      <c r="L294" s="3">
        <v>151070</v>
      </c>
      <c r="M294" s="3">
        <v>497357</v>
      </c>
      <c r="N294" s="3">
        <v>54419</v>
      </c>
      <c r="O294" s="3">
        <v>51636</v>
      </c>
      <c r="P294" s="3">
        <v>272030</v>
      </c>
      <c r="Q294" s="3">
        <v>3861961</v>
      </c>
      <c r="R294" s="3">
        <v>3843450</v>
      </c>
      <c r="S294" s="3">
        <v>3843450</v>
      </c>
      <c r="T294" s="3">
        <v>488847</v>
      </c>
      <c r="U294" s="3">
        <v>488847</v>
      </c>
      <c r="V294" s="3">
        <v>488847</v>
      </c>
      <c r="W294" s="3">
        <v>488847</v>
      </c>
      <c r="X294" s="3">
        <v>485762</v>
      </c>
      <c r="Y294" s="3">
        <v>485762</v>
      </c>
      <c r="Z294" s="4">
        <v>485763</v>
      </c>
      <c r="AA294" s="4">
        <v>485763</v>
      </c>
      <c r="AB294" s="4">
        <v>485763</v>
      </c>
      <c r="AC294" s="4">
        <v>485761</v>
      </c>
      <c r="AD294" s="4">
        <v>488847</v>
      </c>
      <c r="AE294" s="4">
        <v>977694</v>
      </c>
      <c r="AF294" s="4">
        <v>1466541</v>
      </c>
      <c r="AG294" s="4">
        <v>1955388</v>
      </c>
      <c r="AH294" s="4">
        <v>2441150</v>
      </c>
      <c r="AI294" s="4">
        <v>2926912</v>
      </c>
      <c r="AJ294" s="4">
        <v>3412675</v>
      </c>
      <c r="AK294" s="4">
        <v>3898438</v>
      </c>
      <c r="AL294" s="4">
        <v>4384201</v>
      </c>
      <c r="AM294" s="4">
        <v>4869962</v>
      </c>
      <c r="AN294" s="153">
        <v>358967</v>
      </c>
    </row>
    <row r="295" spans="1:40" x14ac:dyDescent="0.2">
      <c r="A295" s="1">
        <v>2022</v>
      </c>
      <c r="B295" s="2" t="s">
        <v>319</v>
      </c>
      <c r="C295" s="2" t="s">
        <v>319</v>
      </c>
      <c r="D295" s="1" t="s">
        <v>662</v>
      </c>
      <c r="E295" s="3">
        <v>1685820</v>
      </c>
      <c r="F295" s="3">
        <v>199</v>
      </c>
      <c r="G295" s="3">
        <v>6485</v>
      </c>
      <c r="H295" s="1">
        <v>0</v>
      </c>
      <c r="I295" s="3">
        <v>1685621</v>
      </c>
      <c r="J295" s="3">
        <v>1679136</v>
      </c>
      <c r="K295" s="3">
        <v>1679136</v>
      </c>
      <c r="L295" s="3">
        <v>43163</v>
      </c>
      <c r="M295" s="3">
        <v>179770</v>
      </c>
      <c r="N295" s="3">
        <v>22017</v>
      </c>
      <c r="O295" s="3">
        <v>19368</v>
      </c>
      <c r="P295" s="3">
        <v>98926</v>
      </c>
      <c r="Q295" s="3">
        <v>1322377</v>
      </c>
      <c r="R295" s="3">
        <v>1315892</v>
      </c>
      <c r="S295" s="3">
        <v>1315892</v>
      </c>
      <c r="T295" s="3">
        <v>168562</v>
      </c>
      <c r="U295" s="3">
        <v>168562</v>
      </c>
      <c r="V295" s="3">
        <v>168562</v>
      </c>
      <c r="W295" s="3">
        <v>168562</v>
      </c>
      <c r="X295" s="3">
        <v>167481</v>
      </c>
      <c r="Y295" s="3">
        <v>167481</v>
      </c>
      <c r="Z295" s="4">
        <v>167482</v>
      </c>
      <c r="AA295" s="4">
        <v>167482</v>
      </c>
      <c r="AB295" s="4">
        <v>167482</v>
      </c>
      <c r="AC295" s="4">
        <v>167480</v>
      </c>
      <c r="AD295" s="4">
        <v>168562</v>
      </c>
      <c r="AE295" s="4">
        <v>337124</v>
      </c>
      <c r="AF295" s="4">
        <v>505686</v>
      </c>
      <c r="AG295" s="4">
        <v>674248</v>
      </c>
      <c r="AH295" s="4">
        <v>841729</v>
      </c>
      <c r="AI295" s="4">
        <v>1009210</v>
      </c>
      <c r="AJ295" s="4">
        <v>1176692</v>
      </c>
      <c r="AK295" s="4">
        <v>1344174</v>
      </c>
      <c r="AL295" s="4">
        <v>1511656</v>
      </c>
      <c r="AM295" s="4">
        <v>1679136</v>
      </c>
      <c r="AN295" s="153">
        <v>137247</v>
      </c>
    </row>
    <row r="296" spans="1:40" x14ac:dyDescent="0.2">
      <c r="A296" s="1">
        <v>2022</v>
      </c>
      <c r="B296" s="2" t="s">
        <v>320</v>
      </c>
      <c r="C296" s="2" t="s">
        <v>320</v>
      </c>
      <c r="D296" s="1" t="s">
        <v>663</v>
      </c>
      <c r="E296" s="3">
        <v>10273385</v>
      </c>
      <c r="F296" s="3">
        <v>1227</v>
      </c>
      <c r="G296" s="3">
        <v>36756</v>
      </c>
      <c r="H296" s="1">
        <v>0</v>
      </c>
      <c r="I296" s="3">
        <v>10272158</v>
      </c>
      <c r="J296" s="3">
        <v>10235402</v>
      </c>
      <c r="K296" s="3">
        <v>10235402</v>
      </c>
      <c r="L296" s="3">
        <v>304936</v>
      </c>
      <c r="M296" s="3">
        <v>993245</v>
      </c>
      <c r="N296" s="3">
        <v>108844</v>
      </c>
      <c r="O296" s="3">
        <v>111784</v>
      </c>
      <c r="P296" s="3">
        <v>540151</v>
      </c>
      <c r="Q296" s="3">
        <v>8213198</v>
      </c>
      <c r="R296" s="3">
        <v>8176442</v>
      </c>
      <c r="S296" s="3">
        <v>8176442</v>
      </c>
      <c r="T296" s="3">
        <v>1027216</v>
      </c>
      <c r="U296" s="3">
        <v>1027216</v>
      </c>
      <c r="V296" s="3">
        <v>1027216</v>
      </c>
      <c r="W296" s="3">
        <v>1027216</v>
      </c>
      <c r="X296" s="3">
        <v>1021090</v>
      </c>
      <c r="Y296" s="3">
        <v>1021090</v>
      </c>
      <c r="Z296" s="4">
        <v>1021090</v>
      </c>
      <c r="AA296" s="4">
        <v>1021090</v>
      </c>
      <c r="AB296" s="4">
        <v>1021090</v>
      </c>
      <c r="AC296" s="4">
        <v>1021088</v>
      </c>
      <c r="AD296" s="4">
        <v>1027216</v>
      </c>
      <c r="AE296" s="4">
        <v>2054432</v>
      </c>
      <c r="AF296" s="4">
        <v>3081648</v>
      </c>
      <c r="AG296" s="4">
        <v>4108864</v>
      </c>
      <c r="AH296" s="4">
        <v>5129954</v>
      </c>
      <c r="AI296" s="4">
        <v>6151044</v>
      </c>
      <c r="AJ296" s="4">
        <v>7172134</v>
      </c>
      <c r="AK296" s="4">
        <v>8193224</v>
      </c>
      <c r="AL296" s="4">
        <v>9214314</v>
      </c>
      <c r="AM296" s="4">
        <v>10235402</v>
      </c>
      <c r="AN296" s="153">
        <v>717837</v>
      </c>
    </row>
    <row r="297" spans="1:40" x14ac:dyDescent="0.2">
      <c r="A297" s="1">
        <v>2022</v>
      </c>
      <c r="B297" s="2" t="s">
        <v>321</v>
      </c>
      <c r="C297" s="2" t="s">
        <v>321</v>
      </c>
      <c r="D297" s="1" t="s">
        <v>664</v>
      </c>
      <c r="E297" s="3">
        <v>3144873</v>
      </c>
      <c r="F297" s="3">
        <v>481</v>
      </c>
      <c r="G297" s="3">
        <v>10903</v>
      </c>
      <c r="H297" s="1">
        <v>0</v>
      </c>
      <c r="I297" s="3">
        <v>3144392</v>
      </c>
      <c r="J297" s="3">
        <v>3133489</v>
      </c>
      <c r="K297" s="3">
        <v>3133489</v>
      </c>
      <c r="L297" s="3">
        <v>104311</v>
      </c>
      <c r="M297" s="3">
        <v>332320</v>
      </c>
      <c r="N297" s="3">
        <v>35956</v>
      </c>
      <c r="O297" s="3">
        <v>35628</v>
      </c>
      <c r="P297" s="3">
        <v>166968</v>
      </c>
      <c r="Q297" s="3">
        <v>2469209</v>
      </c>
      <c r="R297" s="3">
        <v>2458306</v>
      </c>
      <c r="S297" s="3">
        <v>2458306</v>
      </c>
      <c r="T297" s="3">
        <v>314439</v>
      </c>
      <c r="U297" s="3">
        <v>314439</v>
      </c>
      <c r="V297" s="3">
        <v>314439</v>
      </c>
      <c r="W297" s="3">
        <v>314439</v>
      </c>
      <c r="X297" s="3">
        <v>312622</v>
      </c>
      <c r="Y297" s="3">
        <v>312622</v>
      </c>
      <c r="Z297" s="4">
        <v>312622</v>
      </c>
      <c r="AA297" s="4">
        <v>312622</v>
      </c>
      <c r="AB297" s="4">
        <v>312622</v>
      </c>
      <c r="AC297" s="4">
        <v>312623</v>
      </c>
      <c r="AD297" s="4">
        <v>314439</v>
      </c>
      <c r="AE297" s="4">
        <v>628878</v>
      </c>
      <c r="AF297" s="4">
        <v>943317</v>
      </c>
      <c r="AG297" s="4">
        <v>1257756</v>
      </c>
      <c r="AH297" s="4">
        <v>1570378</v>
      </c>
      <c r="AI297" s="4">
        <v>1883000</v>
      </c>
      <c r="AJ297" s="4">
        <v>2195622</v>
      </c>
      <c r="AK297" s="4">
        <v>2508244</v>
      </c>
      <c r="AL297" s="4">
        <v>2820866</v>
      </c>
      <c r="AM297" s="4">
        <v>3133489</v>
      </c>
      <c r="AN297" s="153">
        <v>223304</v>
      </c>
    </row>
    <row r="298" spans="1:40" x14ac:dyDescent="0.2">
      <c r="A298" s="1">
        <v>2022</v>
      </c>
      <c r="B298" s="2" t="s">
        <v>322</v>
      </c>
      <c r="C298" s="2" t="s">
        <v>322</v>
      </c>
      <c r="D298" s="1" t="s">
        <v>665</v>
      </c>
      <c r="E298" s="3">
        <v>4489058</v>
      </c>
      <c r="F298" s="3">
        <v>730</v>
      </c>
      <c r="G298" s="3">
        <v>18692</v>
      </c>
      <c r="H298" s="3">
        <v>0</v>
      </c>
      <c r="I298" s="3">
        <v>4488328</v>
      </c>
      <c r="J298" s="3">
        <v>4469636</v>
      </c>
      <c r="K298" s="3">
        <v>4469636</v>
      </c>
      <c r="L298" s="3">
        <v>158264</v>
      </c>
      <c r="M298" s="3">
        <v>518583</v>
      </c>
      <c r="N298" s="3">
        <v>59757</v>
      </c>
      <c r="O298" s="3">
        <v>55059</v>
      </c>
      <c r="P298" s="3">
        <v>274683</v>
      </c>
      <c r="Q298" s="3">
        <v>3421982</v>
      </c>
      <c r="R298" s="3">
        <v>3403290</v>
      </c>
      <c r="S298" s="3">
        <v>3403290</v>
      </c>
      <c r="T298" s="3">
        <v>448833</v>
      </c>
      <c r="U298" s="3">
        <v>448833</v>
      </c>
      <c r="V298" s="3">
        <v>448833</v>
      </c>
      <c r="W298" s="3">
        <v>448833</v>
      </c>
      <c r="X298" s="3">
        <v>445717</v>
      </c>
      <c r="Y298" s="3">
        <v>445717</v>
      </c>
      <c r="Z298" s="4">
        <v>445718</v>
      </c>
      <c r="AA298" s="4">
        <v>445718</v>
      </c>
      <c r="AB298" s="4">
        <v>445718</v>
      </c>
      <c r="AC298" s="4">
        <v>445716</v>
      </c>
      <c r="AD298" s="4">
        <v>448833</v>
      </c>
      <c r="AE298" s="4">
        <v>897666</v>
      </c>
      <c r="AF298" s="4">
        <v>1346499</v>
      </c>
      <c r="AG298" s="4">
        <v>1795332</v>
      </c>
      <c r="AH298" s="4">
        <v>2241049</v>
      </c>
      <c r="AI298" s="4">
        <v>2686766</v>
      </c>
      <c r="AJ298" s="4">
        <v>3132484</v>
      </c>
      <c r="AK298" s="4">
        <v>3578202</v>
      </c>
      <c r="AL298" s="4">
        <v>4023920</v>
      </c>
      <c r="AM298" s="4">
        <v>4469636</v>
      </c>
      <c r="AN298" s="153">
        <v>385161</v>
      </c>
    </row>
    <row r="299" spans="1:40" x14ac:dyDescent="0.2">
      <c r="A299" s="1">
        <v>2022</v>
      </c>
      <c r="B299" s="2" t="s">
        <v>323</v>
      </c>
      <c r="C299" s="2" t="s">
        <v>323</v>
      </c>
      <c r="D299" s="1" t="s">
        <v>666</v>
      </c>
      <c r="E299" s="3">
        <v>3647312</v>
      </c>
      <c r="F299" s="1">
        <v>481</v>
      </c>
      <c r="G299" s="3">
        <v>13238</v>
      </c>
      <c r="H299" s="1">
        <v>0</v>
      </c>
      <c r="I299" s="3">
        <v>3646831</v>
      </c>
      <c r="J299" s="3">
        <v>3633593</v>
      </c>
      <c r="K299" s="3">
        <v>3633593</v>
      </c>
      <c r="L299" s="3">
        <v>104311</v>
      </c>
      <c r="M299" s="3">
        <v>366984</v>
      </c>
      <c r="N299" s="3">
        <v>45720</v>
      </c>
      <c r="O299" s="3">
        <v>38133</v>
      </c>
      <c r="P299" s="3">
        <v>195330</v>
      </c>
      <c r="Q299" s="3">
        <v>2896353</v>
      </c>
      <c r="R299" s="3">
        <v>2883115</v>
      </c>
      <c r="S299" s="3">
        <v>2883115</v>
      </c>
      <c r="T299" s="3">
        <v>364683</v>
      </c>
      <c r="U299" s="3">
        <v>364683</v>
      </c>
      <c r="V299" s="3">
        <v>364683</v>
      </c>
      <c r="W299" s="3">
        <v>364683</v>
      </c>
      <c r="X299" s="3">
        <v>362477</v>
      </c>
      <c r="Y299" s="3">
        <v>362477</v>
      </c>
      <c r="Z299" s="4">
        <v>362477</v>
      </c>
      <c r="AA299" s="4">
        <v>362477</v>
      </c>
      <c r="AB299" s="4">
        <v>362477</v>
      </c>
      <c r="AC299" s="4">
        <v>362476</v>
      </c>
      <c r="AD299" s="4">
        <v>364683</v>
      </c>
      <c r="AE299" s="4">
        <v>729366</v>
      </c>
      <c r="AF299" s="4">
        <v>1094049</v>
      </c>
      <c r="AG299" s="4">
        <v>1458732</v>
      </c>
      <c r="AH299" s="4">
        <v>1821209</v>
      </c>
      <c r="AI299" s="4">
        <v>2183686</v>
      </c>
      <c r="AJ299" s="4">
        <v>2546163</v>
      </c>
      <c r="AK299" s="4">
        <v>2908640</v>
      </c>
      <c r="AL299" s="4">
        <v>3271117</v>
      </c>
      <c r="AM299" s="4">
        <v>3633593</v>
      </c>
      <c r="AN299" s="153">
        <v>286143</v>
      </c>
    </row>
    <row r="300" spans="1:40" x14ac:dyDescent="0.2">
      <c r="A300" s="1">
        <v>2022</v>
      </c>
      <c r="B300" s="2" t="s">
        <v>324</v>
      </c>
      <c r="C300" s="2" t="s">
        <v>324</v>
      </c>
      <c r="D300" s="1" t="s">
        <v>667</v>
      </c>
      <c r="E300" s="3">
        <v>4580504</v>
      </c>
      <c r="F300" s="1">
        <v>564</v>
      </c>
      <c r="G300" s="3">
        <v>16076</v>
      </c>
      <c r="H300" s="1">
        <v>0</v>
      </c>
      <c r="I300" s="3">
        <v>4579940</v>
      </c>
      <c r="J300" s="3">
        <v>4563864</v>
      </c>
      <c r="K300" s="3">
        <v>4563864</v>
      </c>
      <c r="L300" s="3">
        <v>122295</v>
      </c>
      <c r="M300" s="3">
        <v>453970</v>
      </c>
      <c r="N300" s="3">
        <v>49765</v>
      </c>
      <c r="O300" s="3">
        <v>47159</v>
      </c>
      <c r="P300" s="3">
        <v>236251</v>
      </c>
      <c r="Q300" s="3">
        <v>3670500</v>
      </c>
      <c r="R300" s="3">
        <v>3654424</v>
      </c>
      <c r="S300" s="3">
        <v>3654424</v>
      </c>
      <c r="T300" s="3">
        <v>457994</v>
      </c>
      <c r="U300" s="3">
        <v>457994</v>
      </c>
      <c r="V300" s="3">
        <v>457994</v>
      </c>
      <c r="W300" s="3">
        <v>457994</v>
      </c>
      <c r="X300" s="3">
        <v>455315</v>
      </c>
      <c r="Y300" s="3">
        <v>455315</v>
      </c>
      <c r="Z300" s="4">
        <v>455315</v>
      </c>
      <c r="AA300" s="4">
        <v>455315</v>
      </c>
      <c r="AB300" s="4">
        <v>455315</v>
      </c>
      <c r="AC300" s="4">
        <v>455313</v>
      </c>
      <c r="AD300" s="4">
        <v>457994</v>
      </c>
      <c r="AE300" s="4">
        <v>915988</v>
      </c>
      <c r="AF300" s="4">
        <v>1373982</v>
      </c>
      <c r="AG300" s="4">
        <v>1831976</v>
      </c>
      <c r="AH300" s="4">
        <v>2287291</v>
      </c>
      <c r="AI300" s="4">
        <v>2742606</v>
      </c>
      <c r="AJ300" s="4">
        <v>3197921</v>
      </c>
      <c r="AK300" s="4">
        <v>3653236</v>
      </c>
      <c r="AL300" s="4">
        <v>4108551</v>
      </c>
      <c r="AM300" s="4">
        <v>4563864</v>
      </c>
      <c r="AN300" s="153">
        <v>324919</v>
      </c>
    </row>
    <row r="301" spans="1:40" x14ac:dyDescent="0.2">
      <c r="A301" s="1">
        <v>2022</v>
      </c>
      <c r="B301" s="2" t="s">
        <v>325</v>
      </c>
      <c r="C301" s="2" t="s">
        <v>325</v>
      </c>
      <c r="D301" s="1" t="s">
        <v>668</v>
      </c>
      <c r="E301" s="3">
        <v>11533151</v>
      </c>
      <c r="F301" s="3">
        <v>1426</v>
      </c>
      <c r="G301" s="3">
        <v>38374</v>
      </c>
      <c r="H301" s="3">
        <v>0</v>
      </c>
      <c r="I301" s="3">
        <v>11531725</v>
      </c>
      <c r="J301" s="3">
        <v>11493351</v>
      </c>
      <c r="K301" s="3">
        <v>11493351</v>
      </c>
      <c r="L301" s="3">
        <v>309335</v>
      </c>
      <c r="M301" s="3">
        <v>1035750</v>
      </c>
      <c r="N301" s="3">
        <v>127486</v>
      </c>
      <c r="O301" s="3">
        <v>114843</v>
      </c>
      <c r="P301" s="3">
        <v>580842</v>
      </c>
      <c r="Q301" s="3">
        <v>9363469</v>
      </c>
      <c r="R301" s="3">
        <v>9325095</v>
      </c>
      <c r="S301" s="3">
        <v>9325095</v>
      </c>
      <c r="T301" s="3">
        <v>1153173</v>
      </c>
      <c r="U301" s="3">
        <v>1153173</v>
      </c>
      <c r="V301" s="3">
        <v>1153173</v>
      </c>
      <c r="W301" s="3">
        <v>1153173</v>
      </c>
      <c r="X301" s="3">
        <v>1146777</v>
      </c>
      <c r="Y301" s="3">
        <v>1146777</v>
      </c>
      <c r="Z301" s="4">
        <v>1146776</v>
      </c>
      <c r="AA301" s="4">
        <v>1146776</v>
      </c>
      <c r="AB301" s="4">
        <v>1146776</v>
      </c>
      <c r="AC301" s="4">
        <v>1146777</v>
      </c>
      <c r="AD301" s="4">
        <v>1153173</v>
      </c>
      <c r="AE301" s="4">
        <v>2306346</v>
      </c>
      <c r="AF301" s="4">
        <v>3459519</v>
      </c>
      <c r="AG301" s="4">
        <v>4612692</v>
      </c>
      <c r="AH301" s="4">
        <v>5759469</v>
      </c>
      <c r="AI301" s="4">
        <v>6906246</v>
      </c>
      <c r="AJ301" s="4">
        <v>8053022</v>
      </c>
      <c r="AK301" s="4">
        <v>9199798</v>
      </c>
      <c r="AL301" s="4">
        <v>10346574</v>
      </c>
      <c r="AM301" s="4">
        <v>11493351</v>
      </c>
      <c r="AN301" s="153">
        <v>792530</v>
      </c>
    </row>
    <row r="302" spans="1:40" x14ac:dyDescent="0.2">
      <c r="A302" s="1">
        <v>2022</v>
      </c>
      <c r="B302" s="2" t="s">
        <v>326</v>
      </c>
      <c r="C302" s="2" t="s">
        <v>326</v>
      </c>
      <c r="D302" s="1" t="s">
        <v>669</v>
      </c>
      <c r="E302" s="3">
        <v>84141149</v>
      </c>
      <c r="F302" s="3">
        <v>7015</v>
      </c>
      <c r="G302" s="3">
        <v>252419</v>
      </c>
      <c r="H302" s="1">
        <v>0</v>
      </c>
      <c r="I302" s="3">
        <v>84134134</v>
      </c>
      <c r="J302" s="3">
        <v>83881715</v>
      </c>
      <c r="K302" s="3">
        <v>83881715</v>
      </c>
      <c r="L302" s="3">
        <v>1521496</v>
      </c>
      <c r="M302" s="3">
        <v>6484883</v>
      </c>
      <c r="N302" s="3">
        <v>896078</v>
      </c>
      <c r="O302" s="3">
        <v>708157</v>
      </c>
      <c r="P302" s="3">
        <v>3709427</v>
      </c>
      <c r="Q302" s="3">
        <v>70814093</v>
      </c>
      <c r="R302" s="3">
        <v>70561674</v>
      </c>
      <c r="S302" s="3">
        <v>70561674</v>
      </c>
      <c r="T302" s="3">
        <v>8413413</v>
      </c>
      <c r="U302" s="3">
        <v>8413413</v>
      </c>
      <c r="V302" s="3">
        <v>8413413</v>
      </c>
      <c r="W302" s="3">
        <v>8413413</v>
      </c>
      <c r="X302" s="3">
        <v>8371344</v>
      </c>
      <c r="Y302" s="3">
        <v>8371344</v>
      </c>
      <c r="Z302" s="4">
        <v>8371344</v>
      </c>
      <c r="AA302" s="4">
        <v>8371344</v>
      </c>
      <c r="AB302" s="4">
        <v>8371344</v>
      </c>
      <c r="AC302" s="4">
        <v>8371343</v>
      </c>
      <c r="AD302" s="4">
        <v>8413413</v>
      </c>
      <c r="AE302" s="4">
        <v>16826826</v>
      </c>
      <c r="AF302" s="4">
        <v>25240239</v>
      </c>
      <c r="AG302" s="4">
        <v>33653652</v>
      </c>
      <c r="AH302" s="4">
        <v>42024996</v>
      </c>
      <c r="AI302" s="4">
        <v>50396340</v>
      </c>
      <c r="AJ302" s="4">
        <v>58767684</v>
      </c>
      <c r="AK302" s="4">
        <v>67139028</v>
      </c>
      <c r="AL302" s="4">
        <v>75510372</v>
      </c>
      <c r="AM302" s="4">
        <v>83881715</v>
      </c>
      <c r="AN302" s="153">
        <v>5654682</v>
      </c>
    </row>
    <row r="303" spans="1:40" x14ac:dyDescent="0.2">
      <c r="A303" s="1">
        <v>2022</v>
      </c>
      <c r="B303" s="2" t="s">
        <v>327</v>
      </c>
      <c r="C303" s="2" t="s">
        <v>327</v>
      </c>
      <c r="D303" s="1" t="s">
        <v>670</v>
      </c>
      <c r="E303" s="3">
        <v>69096106</v>
      </c>
      <c r="F303" s="3">
        <v>1393</v>
      </c>
      <c r="G303" s="3">
        <v>284916</v>
      </c>
      <c r="H303" s="1">
        <v>0</v>
      </c>
      <c r="I303" s="3">
        <v>69094713</v>
      </c>
      <c r="J303" s="3">
        <v>68809797</v>
      </c>
      <c r="K303" s="3">
        <v>68809797</v>
      </c>
      <c r="L303" s="3">
        <v>302141</v>
      </c>
      <c r="M303" s="3">
        <v>6619395</v>
      </c>
      <c r="N303" s="3">
        <v>871775</v>
      </c>
      <c r="O303" s="3">
        <v>688976</v>
      </c>
      <c r="P303" s="3">
        <v>4186990</v>
      </c>
      <c r="Q303" s="3">
        <v>56425436</v>
      </c>
      <c r="R303" s="3">
        <v>56140520</v>
      </c>
      <c r="S303" s="3">
        <v>56140520</v>
      </c>
      <c r="T303" s="3">
        <v>6909471</v>
      </c>
      <c r="U303" s="3">
        <v>6909471</v>
      </c>
      <c r="V303" s="3">
        <v>6909471</v>
      </c>
      <c r="W303" s="3">
        <v>6909471</v>
      </c>
      <c r="X303" s="3">
        <v>6861986</v>
      </c>
      <c r="Y303" s="3">
        <v>6861986</v>
      </c>
      <c r="Z303" s="4">
        <v>6861985</v>
      </c>
      <c r="AA303" s="4">
        <v>6861985</v>
      </c>
      <c r="AB303" s="4">
        <v>6861985</v>
      </c>
      <c r="AC303" s="4">
        <v>6861986</v>
      </c>
      <c r="AD303" s="4">
        <v>6909471</v>
      </c>
      <c r="AE303" s="4">
        <v>13818942</v>
      </c>
      <c r="AF303" s="4">
        <v>20728413</v>
      </c>
      <c r="AG303" s="4">
        <v>27637884</v>
      </c>
      <c r="AH303" s="4">
        <v>34499870</v>
      </c>
      <c r="AI303" s="4">
        <v>41361856</v>
      </c>
      <c r="AJ303" s="4">
        <v>48223841</v>
      </c>
      <c r="AK303" s="4">
        <v>55085826</v>
      </c>
      <c r="AL303" s="4">
        <v>61947811</v>
      </c>
      <c r="AM303" s="4">
        <v>68809797</v>
      </c>
      <c r="AN303" s="153">
        <v>5919633</v>
      </c>
    </row>
    <row r="304" spans="1:40" x14ac:dyDescent="0.2">
      <c r="A304" s="1">
        <v>2022</v>
      </c>
      <c r="B304" s="2" t="s">
        <v>328</v>
      </c>
      <c r="C304" s="2" t="s">
        <v>328</v>
      </c>
      <c r="D304" s="1" t="s">
        <v>671</v>
      </c>
      <c r="E304" s="3">
        <v>13749479</v>
      </c>
      <c r="F304" s="3">
        <v>1625</v>
      </c>
      <c r="G304" s="3">
        <v>50336</v>
      </c>
      <c r="H304" s="3">
        <v>0</v>
      </c>
      <c r="I304" s="3">
        <v>13747854</v>
      </c>
      <c r="J304" s="3">
        <v>13697518</v>
      </c>
      <c r="K304" s="3">
        <v>13697518</v>
      </c>
      <c r="L304" s="3">
        <v>352498</v>
      </c>
      <c r="M304" s="3">
        <v>1402018</v>
      </c>
      <c r="N304" s="3">
        <v>134584</v>
      </c>
      <c r="O304" s="3">
        <v>155860</v>
      </c>
      <c r="P304" s="3">
        <v>739714</v>
      </c>
      <c r="Q304" s="3">
        <v>10963180</v>
      </c>
      <c r="R304" s="3">
        <v>10912844</v>
      </c>
      <c r="S304" s="3">
        <v>10912844</v>
      </c>
      <c r="T304" s="3">
        <v>1374785</v>
      </c>
      <c r="U304" s="3">
        <v>1374785</v>
      </c>
      <c r="V304" s="3">
        <v>1374785</v>
      </c>
      <c r="W304" s="3">
        <v>1374785</v>
      </c>
      <c r="X304" s="3">
        <v>1366396</v>
      </c>
      <c r="Y304" s="3">
        <v>1366396</v>
      </c>
      <c r="Z304" s="4">
        <v>1366397</v>
      </c>
      <c r="AA304" s="4">
        <v>1366397</v>
      </c>
      <c r="AB304" s="4">
        <v>1366397</v>
      </c>
      <c r="AC304" s="4">
        <v>1366395</v>
      </c>
      <c r="AD304" s="4">
        <v>1374785</v>
      </c>
      <c r="AE304" s="4">
        <v>2749570</v>
      </c>
      <c r="AF304" s="4">
        <v>4124355</v>
      </c>
      <c r="AG304" s="4">
        <v>5499140</v>
      </c>
      <c r="AH304" s="4">
        <v>6865536</v>
      </c>
      <c r="AI304" s="4">
        <v>8231932</v>
      </c>
      <c r="AJ304" s="4">
        <v>9598329</v>
      </c>
      <c r="AK304" s="4">
        <v>10964726</v>
      </c>
      <c r="AL304" s="4">
        <v>12331123</v>
      </c>
      <c r="AM304" s="4">
        <v>13697518</v>
      </c>
      <c r="AN304" s="153">
        <v>1055698</v>
      </c>
    </row>
    <row r="305" spans="1:40" x14ac:dyDescent="0.2">
      <c r="A305" s="1">
        <v>2022</v>
      </c>
      <c r="B305" s="2" t="s">
        <v>329</v>
      </c>
      <c r="C305" s="2" t="s">
        <v>329</v>
      </c>
      <c r="D305" s="1" t="s">
        <v>672</v>
      </c>
      <c r="E305" s="3">
        <v>3313709</v>
      </c>
      <c r="F305" s="3">
        <v>597</v>
      </c>
      <c r="G305" s="3">
        <v>12950</v>
      </c>
      <c r="H305" s="1">
        <v>0</v>
      </c>
      <c r="I305" s="3">
        <v>3313112</v>
      </c>
      <c r="J305" s="3">
        <v>3300162</v>
      </c>
      <c r="K305" s="3">
        <v>3300162</v>
      </c>
      <c r="L305" s="3">
        <v>129489</v>
      </c>
      <c r="M305" s="3">
        <v>417130</v>
      </c>
      <c r="N305" s="3">
        <v>46826</v>
      </c>
      <c r="O305" s="3">
        <v>46490</v>
      </c>
      <c r="P305" s="3">
        <v>200784</v>
      </c>
      <c r="Q305" s="3">
        <v>2472393</v>
      </c>
      <c r="R305" s="3">
        <v>2459443</v>
      </c>
      <c r="S305" s="3">
        <v>2459443</v>
      </c>
      <c r="T305" s="3">
        <v>331311</v>
      </c>
      <c r="U305" s="3">
        <v>331311</v>
      </c>
      <c r="V305" s="3">
        <v>331311</v>
      </c>
      <c r="W305" s="3">
        <v>331311</v>
      </c>
      <c r="X305" s="3">
        <v>329153</v>
      </c>
      <c r="Y305" s="3">
        <v>329153</v>
      </c>
      <c r="Z305" s="4">
        <v>329153</v>
      </c>
      <c r="AA305" s="4">
        <v>329153</v>
      </c>
      <c r="AB305" s="4">
        <v>329153</v>
      </c>
      <c r="AC305" s="4">
        <v>329153</v>
      </c>
      <c r="AD305" s="4">
        <v>331311</v>
      </c>
      <c r="AE305" s="4">
        <v>662622</v>
      </c>
      <c r="AF305" s="4">
        <v>993933</v>
      </c>
      <c r="AG305" s="4">
        <v>1325244</v>
      </c>
      <c r="AH305" s="4">
        <v>1654397</v>
      </c>
      <c r="AI305" s="4">
        <v>1983550</v>
      </c>
      <c r="AJ305" s="4">
        <v>2312703</v>
      </c>
      <c r="AK305" s="4">
        <v>2641856</v>
      </c>
      <c r="AL305" s="4">
        <v>2971009</v>
      </c>
      <c r="AM305" s="4">
        <v>3300162</v>
      </c>
      <c r="AN305" s="153">
        <v>259984</v>
      </c>
    </row>
    <row r="306" spans="1:40" x14ac:dyDescent="0.2">
      <c r="A306" s="1">
        <v>2022</v>
      </c>
      <c r="B306" s="2" t="s">
        <v>330</v>
      </c>
      <c r="C306" s="2" t="s">
        <v>330</v>
      </c>
      <c r="D306" s="1" t="s">
        <v>673</v>
      </c>
      <c r="E306" s="3">
        <v>12259202</v>
      </c>
      <c r="F306" s="3">
        <v>1874</v>
      </c>
      <c r="G306" s="3">
        <v>41331</v>
      </c>
      <c r="H306" s="1">
        <v>0</v>
      </c>
      <c r="I306" s="3">
        <v>12257328</v>
      </c>
      <c r="J306" s="3">
        <v>12215997</v>
      </c>
      <c r="K306" s="3">
        <v>12215997</v>
      </c>
      <c r="L306" s="3">
        <v>406452</v>
      </c>
      <c r="M306" s="3">
        <v>1107649</v>
      </c>
      <c r="N306" s="3">
        <v>135424</v>
      </c>
      <c r="O306" s="3">
        <v>122357</v>
      </c>
      <c r="P306" s="3">
        <v>607382</v>
      </c>
      <c r="Q306" s="3">
        <v>9878064</v>
      </c>
      <c r="R306" s="3">
        <v>9836733</v>
      </c>
      <c r="S306" s="3">
        <v>9836733</v>
      </c>
      <c r="T306" s="3">
        <v>1225733</v>
      </c>
      <c r="U306" s="3">
        <v>1225733</v>
      </c>
      <c r="V306" s="3">
        <v>1225733</v>
      </c>
      <c r="W306" s="3">
        <v>1225733</v>
      </c>
      <c r="X306" s="3">
        <v>1218844</v>
      </c>
      <c r="Y306" s="3">
        <v>1218844</v>
      </c>
      <c r="Z306" s="4">
        <v>1218844</v>
      </c>
      <c r="AA306" s="4">
        <v>1218844</v>
      </c>
      <c r="AB306" s="4">
        <v>1218844</v>
      </c>
      <c r="AC306" s="4">
        <v>1218845</v>
      </c>
      <c r="AD306" s="4">
        <v>1225733</v>
      </c>
      <c r="AE306" s="4">
        <v>2451466</v>
      </c>
      <c r="AF306" s="4">
        <v>3677199</v>
      </c>
      <c r="AG306" s="4">
        <v>4902932</v>
      </c>
      <c r="AH306" s="4">
        <v>6121776</v>
      </c>
      <c r="AI306" s="4">
        <v>7340620</v>
      </c>
      <c r="AJ306" s="4">
        <v>8559464</v>
      </c>
      <c r="AK306" s="4">
        <v>9778308</v>
      </c>
      <c r="AL306" s="4">
        <v>10997152</v>
      </c>
      <c r="AM306" s="4">
        <v>12215997</v>
      </c>
      <c r="AN306" s="153">
        <v>843870</v>
      </c>
    </row>
    <row r="307" spans="1:40" x14ac:dyDescent="0.2">
      <c r="A307" s="1">
        <v>2022</v>
      </c>
      <c r="B307" s="2" t="s">
        <v>331</v>
      </c>
      <c r="C307" s="2" t="s">
        <v>331</v>
      </c>
      <c r="D307" s="1" t="s">
        <v>674</v>
      </c>
      <c r="E307" s="3">
        <v>1548999</v>
      </c>
      <c r="F307" s="3">
        <v>448</v>
      </c>
      <c r="G307" s="3">
        <v>7292</v>
      </c>
      <c r="H307" s="1">
        <v>0</v>
      </c>
      <c r="I307" s="3">
        <v>1548551</v>
      </c>
      <c r="J307" s="3">
        <v>1541259</v>
      </c>
      <c r="K307" s="3">
        <v>1541259</v>
      </c>
      <c r="L307" s="3">
        <v>97117</v>
      </c>
      <c r="M307" s="3">
        <v>214486</v>
      </c>
      <c r="N307" s="3">
        <v>20462</v>
      </c>
      <c r="O307" s="3">
        <v>22884</v>
      </c>
      <c r="P307" s="3">
        <v>107164</v>
      </c>
      <c r="Q307" s="3">
        <v>1086438</v>
      </c>
      <c r="R307" s="3">
        <v>1079146</v>
      </c>
      <c r="S307" s="3">
        <v>1079146</v>
      </c>
      <c r="T307" s="3">
        <v>154855</v>
      </c>
      <c r="U307" s="3">
        <v>154855</v>
      </c>
      <c r="V307" s="3">
        <v>154855</v>
      </c>
      <c r="W307" s="3">
        <v>154855</v>
      </c>
      <c r="X307" s="3">
        <v>153640</v>
      </c>
      <c r="Y307" s="3">
        <v>153640</v>
      </c>
      <c r="Z307" s="4">
        <v>153640</v>
      </c>
      <c r="AA307" s="4">
        <v>153640</v>
      </c>
      <c r="AB307" s="4">
        <v>153640</v>
      </c>
      <c r="AC307" s="4">
        <v>153639</v>
      </c>
      <c r="AD307" s="4">
        <v>154855</v>
      </c>
      <c r="AE307" s="4">
        <v>309710</v>
      </c>
      <c r="AF307" s="4">
        <v>464565</v>
      </c>
      <c r="AG307" s="4">
        <v>619420</v>
      </c>
      <c r="AH307" s="4">
        <v>773060</v>
      </c>
      <c r="AI307" s="4">
        <v>926700</v>
      </c>
      <c r="AJ307" s="4">
        <v>1080340</v>
      </c>
      <c r="AK307" s="4">
        <v>1233980</v>
      </c>
      <c r="AL307" s="4">
        <v>1387620</v>
      </c>
      <c r="AM307" s="4">
        <v>1541259</v>
      </c>
      <c r="AN307" s="153">
        <v>151682</v>
      </c>
    </row>
    <row r="308" spans="1:40" x14ac:dyDescent="0.2">
      <c r="A308" s="1">
        <v>2022</v>
      </c>
      <c r="B308" s="2" t="s">
        <v>332</v>
      </c>
      <c r="C308" s="2" t="s">
        <v>332</v>
      </c>
      <c r="D308" s="1" t="s">
        <v>675</v>
      </c>
      <c r="E308" s="3">
        <v>4303619</v>
      </c>
      <c r="F308" s="3">
        <v>813</v>
      </c>
      <c r="G308" s="3">
        <v>18003</v>
      </c>
      <c r="H308" s="1">
        <v>0</v>
      </c>
      <c r="I308" s="3">
        <v>4302806</v>
      </c>
      <c r="J308" s="3">
        <v>4284803</v>
      </c>
      <c r="K308" s="3">
        <v>4284803</v>
      </c>
      <c r="L308" s="3">
        <v>176249</v>
      </c>
      <c r="M308" s="3">
        <v>466321</v>
      </c>
      <c r="N308" s="3">
        <v>50954</v>
      </c>
      <c r="O308" s="3">
        <v>49680</v>
      </c>
      <c r="P308" s="3">
        <v>264560</v>
      </c>
      <c r="Q308" s="3">
        <v>3295042</v>
      </c>
      <c r="R308" s="3">
        <v>3277039</v>
      </c>
      <c r="S308" s="3">
        <v>3277039</v>
      </c>
      <c r="T308" s="3">
        <v>430281</v>
      </c>
      <c r="U308" s="3">
        <v>430281</v>
      </c>
      <c r="V308" s="3">
        <v>430281</v>
      </c>
      <c r="W308" s="3">
        <v>430281</v>
      </c>
      <c r="X308" s="3">
        <v>427280</v>
      </c>
      <c r="Y308" s="3">
        <v>427280</v>
      </c>
      <c r="Z308" s="4">
        <v>427280</v>
      </c>
      <c r="AA308" s="4">
        <v>427280</v>
      </c>
      <c r="AB308" s="4">
        <v>427280</v>
      </c>
      <c r="AC308" s="4">
        <v>427279</v>
      </c>
      <c r="AD308" s="4">
        <v>430281</v>
      </c>
      <c r="AE308" s="4">
        <v>860562</v>
      </c>
      <c r="AF308" s="4">
        <v>1290843</v>
      </c>
      <c r="AG308" s="4">
        <v>1721124</v>
      </c>
      <c r="AH308" s="4">
        <v>2148404</v>
      </c>
      <c r="AI308" s="4">
        <v>2575684</v>
      </c>
      <c r="AJ308" s="4">
        <v>3002964</v>
      </c>
      <c r="AK308" s="4">
        <v>3430244</v>
      </c>
      <c r="AL308" s="4">
        <v>3857524</v>
      </c>
      <c r="AM308" s="4">
        <v>4284803</v>
      </c>
      <c r="AN308" s="153">
        <v>355572</v>
      </c>
    </row>
    <row r="309" spans="1:40" x14ac:dyDescent="0.2">
      <c r="A309" s="1">
        <v>2022</v>
      </c>
      <c r="B309" s="2" t="s">
        <v>333</v>
      </c>
      <c r="C309" s="2" t="s">
        <v>333</v>
      </c>
      <c r="D309" s="1" t="s">
        <v>676</v>
      </c>
      <c r="E309" s="3">
        <v>2973602</v>
      </c>
      <c r="F309" s="3">
        <v>796</v>
      </c>
      <c r="G309" s="3">
        <v>10570</v>
      </c>
      <c r="H309" s="1">
        <v>0</v>
      </c>
      <c r="I309" s="3">
        <v>2972806</v>
      </c>
      <c r="J309" s="3">
        <v>2962236</v>
      </c>
      <c r="K309" s="3">
        <v>2962236</v>
      </c>
      <c r="L309" s="3">
        <v>172652</v>
      </c>
      <c r="M309" s="3">
        <v>336832</v>
      </c>
      <c r="N309" s="3">
        <v>54426</v>
      </c>
      <c r="O309" s="3">
        <v>43232</v>
      </c>
      <c r="P309" s="3">
        <v>156264</v>
      </c>
      <c r="Q309" s="3">
        <v>2209400</v>
      </c>
      <c r="R309" s="3">
        <v>2198830</v>
      </c>
      <c r="S309" s="3">
        <v>2198830</v>
      </c>
      <c r="T309" s="3">
        <v>297281</v>
      </c>
      <c r="U309" s="3">
        <v>297281</v>
      </c>
      <c r="V309" s="3">
        <v>297281</v>
      </c>
      <c r="W309" s="3">
        <v>297281</v>
      </c>
      <c r="X309" s="3">
        <v>295519</v>
      </c>
      <c r="Y309" s="3">
        <v>295519</v>
      </c>
      <c r="Z309" s="4">
        <v>295519</v>
      </c>
      <c r="AA309" s="4">
        <v>295519</v>
      </c>
      <c r="AB309" s="4">
        <v>295519</v>
      </c>
      <c r="AC309" s="4">
        <v>295517</v>
      </c>
      <c r="AD309" s="4">
        <v>297281</v>
      </c>
      <c r="AE309" s="4">
        <v>594562</v>
      </c>
      <c r="AF309" s="4">
        <v>891843</v>
      </c>
      <c r="AG309" s="4">
        <v>1189124</v>
      </c>
      <c r="AH309" s="4">
        <v>1484643</v>
      </c>
      <c r="AI309" s="4">
        <v>1780162</v>
      </c>
      <c r="AJ309" s="4">
        <v>2075681</v>
      </c>
      <c r="AK309" s="4">
        <v>2371200</v>
      </c>
      <c r="AL309" s="4">
        <v>2666719</v>
      </c>
      <c r="AM309" s="4">
        <v>2962236</v>
      </c>
      <c r="AN309" s="153">
        <v>210831</v>
      </c>
    </row>
    <row r="310" spans="1:40" x14ac:dyDescent="0.2">
      <c r="A310" s="1">
        <v>2022</v>
      </c>
      <c r="B310" s="2" t="s">
        <v>334</v>
      </c>
      <c r="C310" s="2" t="s">
        <v>334</v>
      </c>
      <c r="D310" s="1" t="s">
        <v>677</v>
      </c>
      <c r="E310" s="3">
        <v>1420519</v>
      </c>
      <c r="F310" s="3">
        <v>166</v>
      </c>
      <c r="G310" s="3">
        <v>6223</v>
      </c>
      <c r="H310" s="3">
        <v>0</v>
      </c>
      <c r="I310" s="3">
        <v>1420353</v>
      </c>
      <c r="J310" s="3">
        <v>1414130</v>
      </c>
      <c r="K310" s="3">
        <v>1414130</v>
      </c>
      <c r="L310" s="3">
        <v>35969</v>
      </c>
      <c r="M310" s="3">
        <v>173248</v>
      </c>
      <c r="N310" s="3">
        <v>16944</v>
      </c>
      <c r="O310" s="3">
        <v>18164</v>
      </c>
      <c r="P310" s="3">
        <v>91456</v>
      </c>
      <c r="Q310" s="3">
        <v>1084572</v>
      </c>
      <c r="R310" s="3">
        <v>1078349</v>
      </c>
      <c r="S310" s="3">
        <v>1078349</v>
      </c>
      <c r="T310" s="3">
        <v>142035</v>
      </c>
      <c r="U310" s="3">
        <v>142035</v>
      </c>
      <c r="V310" s="3">
        <v>142035</v>
      </c>
      <c r="W310" s="3">
        <v>142035</v>
      </c>
      <c r="X310" s="3">
        <v>140998</v>
      </c>
      <c r="Y310" s="3">
        <v>140998</v>
      </c>
      <c r="Z310" s="4">
        <v>140999</v>
      </c>
      <c r="AA310" s="4">
        <v>140999</v>
      </c>
      <c r="AB310" s="4">
        <v>140999</v>
      </c>
      <c r="AC310" s="4">
        <v>140997</v>
      </c>
      <c r="AD310" s="4">
        <v>142035</v>
      </c>
      <c r="AE310" s="4">
        <v>284070</v>
      </c>
      <c r="AF310" s="4">
        <v>426105</v>
      </c>
      <c r="AG310" s="4">
        <v>568140</v>
      </c>
      <c r="AH310" s="4">
        <v>709138</v>
      </c>
      <c r="AI310" s="4">
        <v>850136</v>
      </c>
      <c r="AJ310" s="4">
        <v>991135</v>
      </c>
      <c r="AK310" s="4">
        <v>1132134</v>
      </c>
      <c r="AL310" s="4">
        <v>1273133</v>
      </c>
      <c r="AM310" s="4">
        <v>1414130</v>
      </c>
      <c r="AN310" s="153">
        <v>125795</v>
      </c>
    </row>
    <row r="311" spans="1:40" x14ac:dyDescent="0.2">
      <c r="A311" s="1">
        <v>2022</v>
      </c>
      <c r="B311" s="2" t="s">
        <v>335</v>
      </c>
      <c r="C311" s="2" t="s">
        <v>335</v>
      </c>
      <c r="D311" s="1" t="s">
        <v>678</v>
      </c>
      <c r="E311" s="3">
        <v>8424239</v>
      </c>
      <c r="F311" s="3">
        <v>1012</v>
      </c>
      <c r="G311" s="3">
        <v>33238</v>
      </c>
      <c r="H311" s="1">
        <v>0</v>
      </c>
      <c r="I311" s="3">
        <v>8423227</v>
      </c>
      <c r="J311" s="3">
        <v>8389989</v>
      </c>
      <c r="K311" s="3">
        <v>8389989</v>
      </c>
      <c r="L311" s="3">
        <v>219412</v>
      </c>
      <c r="M311" s="3">
        <v>868070</v>
      </c>
      <c r="N311" s="3">
        <v>95334</v>
      </c>
      <c r="O311" s="3">
        <v>96398</v>
      </c>
      <c r="P311" s="3">
        <v>488454</v>
      </c>
      <c r="Q311" s="3">
        <v>6655559</v>
      </c>
      <c r="R311" s="3">
        <v>6622321</v>
      </c>
      <c r="S311" s="3">
        <v>6622321</v>
      </c>
      <c r="T311" s="3">
        <v>842323</v>
      </c>
      <c r="U311" s="3">
        <v>842323</v>
      </c>
      <c r="V311" s="3">
        <v>842323</v>
      </c>
      <c r="W311" s="3">
        <v>842323</v>
      </c>
      <c r="X311" s="3">
        <v>836783</v>
      </c>
      <c r="Y311" s="3">
        <v>836783</v>
      </c>
      <c r="Z311" s="4">
        <v>836783</v>
      </c>
      <c r="AA311" s="4">
        <v>836783</v>
      </c>
      <c r="AB311" s="4">
        <v>836783</v>
      </c>
      <c r="AC311" s="4">
        <v>836782</v>
      </c>
      <c r="AD311" s="4">
        <v>842323</v>
      </c>
      <c r="AE311" s="4">
        <v>1684646</v>
      </c>
      <c r="AF311" s="4">
        <v>2526969</v>
      </c>
      <c r="AG311" s="4">
        <v>3369292</v>
      </c>
      <c r="AH311" s="4">
        <v>4206075</v>
      </c>
      <c r="AI311" s="4">
        <v>5042858</v>
      </c>
      <c r="AJ311" s="4">
        <v>5879641</v>
      </c>
      <c r="AK311" s="4">
        <v>6716424</v>
      </c>
      <c r="AL311" s="4">
        <v>7553207</v>
      </c>
      <c r="AM311" s="4">
        <v>8389989</v>
      </c>
      <c r="AN311" s="153">
        <v>688233</v>
      </c>
    </row>
    <row r="312" spans="1:40" x14ac:dyDescent="0.2">
      <c r="A312" s="1">
        <v>2022</v>
      </c>
      <c r="B312" s="2" t="s">
        <v>336</v>
      </c>
      <c r="C312" s="2" t="s">
        <v>336</v>
      </c>
      <c r="D312" s="1" t="s">
        <v>679</v>
      </c>
      <c r="E312" s="3">
        <v>46746755</v>
      </c>
      <c r="F312" s="3">
        <v>6568</v>
      </c>
      <c r="G312" s="3">
        <v>209508</v>
      </c>
      <c r="H312" s="1">
        <v>0</v>
      </c>
      <c r="I312" s="3">
        <v>46740187</v>
      </c>
      <c r="J312" s="3">
        <v>46530679</v>
      </c>
      <c r="K312" s="3">
        <v>46530679</v>
      </c>
      <c r="L312" s="3">
        <v>1424378</v>
      </c>
      <c r="M312" s="3">
        <v>5234729</v>
      </c>
      <c r="N312" s="3">
        <v>587683</v>
      </c>
      <c r="O312" s="3">
        <v>596239</v>
      </c>
      <c r="P312" s="3">
        <v>3078832</v>
      </c>
      <c r="Q312" s="3">
        <v>35818326</v>
      </c>
      <c r="R312" s="3">
        <v>35608818</v>
      </c>
      <c r="S312" s="3">
        <v>35608818</v>
      </c>
      <c r="T312" s="3">
        <v>4674019</v>
      </c>
      <c r="U312" s="3">
        <v>4674019</v>
      </c>
      <c r="V312" s="3">
        <v>4674019</v>
      </c>
      <c r="W312" s="3">
        <v>4674019</v>
      </c>
      <c r="X312" s="3">
        <v>4639101</v>
      </c>
      <c r="Y312" s="3">
        <v>4639101</v>
      </c>
      <c r="Z312" s="4">
        <v>4639100</v>
      </c>
      <c r="AA312" s="4">
        <v>4639100</v>
      </c>
      <c r="AB312" s="4">
        <v>4639100</v>
      </c>
      <c r="AC312" s="4">
        <v>4639101</v>
      </c>
      <c r="AD312" s="4">
        <v>4674019</v>
      </c>
      <c r="AE312" s="4">
        <v>9348038</v>
      </c>
      <c r="AF312" s="4">
        <v>14022057</v>
      </c>
      <c r="AG312" s="4">
        <v>18696076</v>
      </c>
      <c r="AH312" s="4">
        <v>23335177</v>
      </c>
      <c r="AI312" s="4">
        <v>27974278</v>
      </c>
      <c r="AJ312" s="4">
        <v>32613378</v>
      </c>
      <c r="AK312" s="4">
        <v>37252478</v>
      </c>
      <c r="AL312" s="4">
        <v>41891578</v>
      </c>
      <c r="AM312" s="4">
        <v>46530679</v>
      </c>
      <c r="AN312" s="153">
        <v>4187910</v>
      </c>
    </row>
    <row r="313" spans="1:40" x14ac:dyDescent="0.2">
      <c r="A313" s="1">
        <v>2022</v>
      </c>
      <c r="B313" s="2" t="s">
        <v>337</v>
      </c>
      <c r="C313" s="2" t="s">
        <v>337</v>
      </c>
      <c r="D313" s="1" t="s">
        <v>680</v>
      </c>
      <c r="E313" s="3">
        <v>18878041</v>
      </c>
      <c r="F313" s="3">
        <v>4495</v>
      </c>
      <c r="G313" s="3">
        <v>75957</v>
      </c>
      <c r="H313" s="1">
        <v>0</v>
      </c>
      <c r="I313" s="3">
        <v>18873546</v>
      </c>
      <c r="J313" s="3">
        <v>18797589</v>
      </c>
      <c r="K313" s="3">
        <v>18797589</v>
      </c>
      <c r="L313" s="3">
        <v>974764</v>
      </c>
      <c r="M313" s="3">
        <v>1967929</v>
      </c>
      <c r="N313" s="3">
        <v>226461</v>
      </c>
      <c r="O313" s="3">
        <v>218915</v>
      </c>
      <c r="P313" s="3">
        <v>1116221</v>
      </c>
      <c r="Q313" s="3">
        <v>14369256</v>
      </c>
      <c r="R313" s="3">
        <v>14293299</v>
      </c>
      <c r="S313" s="3">
        <v>14293299</v>
      </c>
      <c r="T313" s="3">
        <v>1887355</v>
      </c>
      <c r="U313" s="3">
        <v>1887355</v>
      </c>
      <c r="V313" s="3">
        <v>1887355</v>
      </c>
      <c r="W313" s="3">
        <v>1887355</v>
      </c>
      <c r="X313" s="3">
        <v>1874695</v>
      </c>
      <c r="Y313" s="3">
        <v>1874695</v>
      </c>
      <c r="Z313" s="4">
        <v>1874695</v>
      </c>
      <c r="AA313" s="4">
        <v>1874695</v>
      </c>
      <c r="AB313" s="4">
        <v>1874695</v>
      </c>
      <c r="AC313" s="4">
        <v>1874694</v>
      </c>
      <c r="AD313" s="4">
        <v>1887355</v>
      </c>
      <c r="AE313" s="4">
        <v>3774710</v>
      </c>
      <c r="AF313" s="4">
        <v>5662065</v>
      </c>
      <c r="AG313" s="4">
        <v>7549420</v>
      </c>
      <c r="AH313" s="4">
        <v>9424115</v>
      </c>
      <c r="AI313" s="4">
        <v>11298810</v>
      </c>
      <c r="AJ313" s="4">
        <v>13173505</v>
      </c>
      <c r="AK313" s="4">
        <v>15048200</v>
      </c>
      <c r="AL313" s="4">
        <v>16922895</v>
      </c>
      <c r="AM313" s="4">
        <v>18797589</v>
      </c>
      <c r="AN313" s="153">
        <v>1719496</v>
      </c>
    </row>
    <row r="314" spans="1:40" x14ac:dyDescent="0.2">
      <c r="A314" s="1">
        <v>2022</v>
      </c>
      <c r="B314" s="2" t="s">
        <v>338</v>
      </c>
      <c r="C314" s="2" t="s">
        <v>338</v>
      </c>
      <c r="D314" s="1" t="s">
        <v>681</v>
      </c>
      <c r="E314" s="3">
        <v>1685167</v>
      </c>
      <c r="F314" s="3">
        <v>315</v>
      </c>
      <c r="G314" s="3">
        <v>8069</v>
      </c>
      <c r="H314" s="3">
        <v>0</v>
      </c>
      <c r="I314" s="3">
        <v>1684852</v>
      </c>
      <c r="J314" s="3">
        <v>1676783</v>
      </c>
      <c r="K314" s="3">
        <v>1676783</v>
      </c>
      <c r="L314" s="3">
        <v>68342</v>
      </c>
      <c r="M314" s="3">
        <v>216362</v>
      </c>
      <c r="N314" s="3">
        <v>20321</v>
      </c>
      <c r="O314" s="3">
        <v>23674</v>
      </c>
      <c r="P314" s="3">
        <v>118579</v>
      </c>
      <c r="Q314" s="3">
        <v>1237574</v>
      </c>
      <c r="R314" s="3">
        <v>1229505</v>
      </c>
      <c r="S314" s="3">
        <v>1229505</v>
      </c>
      <c r="T314" s="3">
        <v>168485</v>
      </c>
      <c r="U314" s="3">
        <v>168485</v>
      </c>
      <c r="V314" s="3">
        <v>168485</v>
      </c>
      <c r="W314" s="3">
        <v>168485</v>
      </c>
      <c r="X314" s="3">
        <v>167141</v>
      </c>
      <c r="Y314" s="3">
        <v>167141</v>
      </c>
      <c r="Z314" s="4">
        <v>167140</v>
      </c>
      <c r="AA314" s="4">
        <v>167140</v>
      </c>
      <c r="AB314" s="4">
        <v>167140</v>
      </c>
      <c r="AC314" s="4">
        <v>167141</v>
      </c>
      <c r="AD314" s="4">
        <v>168485</v>
      </c>
      <c r="AE314" s="4">
        <v>336970</v>
      </c>
      <c r="AF314" s="4">
        <v>505455</v>
      </c>
      <c r="AG314" s="4">
        <v>673940</v>
      </c>
      <c r="AH314" s="4">
        <v>841081</v>
      </c>
      <c r="AI314" s="4">
        <v>1008222</v>
      </c>
      <c r="AJ314" s="4">
        <v>1175362</v>
      </c>
      <c r="AK314" s="4">
        <v>1342502</v>
      </c>
      <c r="AL314" s="4">
        <v>1509642</v>
      </c>
      <c r="AM314" s="4">
        <v>1676783</v>
      </c>
      <c r="AN314" s="153">
        <v>178983</v>
      </c>
    </row>
    <row r="315" spans="1:40" x14ac:dyDescent="0.2">
      <c r="A315" s="1">
        <v>2022</v>
      </c>
      <c r="B315" s="2" t="s">
        <v>339</v>
      </c>
      <c r="C315" s="2" t="s">
        <v>339</v>
      </c>
      <c r="D315" s="1" t="s">
        <v>682</v>
      </c>
      <c r="E315" s="3">
        <v>9379753</v>
      </c>
      <c r="F315" s="3">
        <v>1377</v>
      </c>
      <c r="G315" s="3">
        <v>29419</v>
      </c>
      <c r="H315" s="3">
        <v>201725</v>
      </c>
      <c r="I315" s="3">
        <v>9378376</v>
      </c>
      <c r="J315" s="3">
        <v>9348957</v>
      </c>
      <c r="K315" s="3">
        <v>9147232</v>
      </c>
      <c r="L315" s="3">
        <v>305592</v>
      </c>
      <c r="M315" s="3">
        <v>797122</v>
      </c>
      <c r="N315" s="3">
        <v>109135</v>
      </c>
      <c r="O315" s="3">
        <v>83556</v>
      </c>
      <c r="P315" s="3">
        <v>443737</v>
      </c>
      <c r="Q315" s="3">
        <v>7639234</v>
      </c>
      <c r="R315" s="3">
        <v>7609815</v>
      </c>
      <c r="S315" s="3">
        <v>7408090</v>
      </c>
      <c r="T315" s="3">
        <v>937838</v>
      </c>
      <c r="U315" s="3">
        <v>937838</v>
      </c>
      <c r="V315" s="3">
        <v>937838</v>
      </c>
      <c r="W315" s="3">
        <v>937838</v>
      </c>
      <c r="X315" s="3">
        <v>932934</v>
      </c>
      <c r="Y315" s="3">
        <v>932934</v>
      </c>
      <c r="Z315" s="4">
        <v>882503</v>
      </c>
      <c r="AA315" s="4">
        <v>882503</v>
      </c>
      <c r="AB315" s="4">
        <v>882503</v>
      </c>
      <c r="AC315" s="4">
        <v>882503</v>
      </c>
      <c r="AD315" s="4">
        <v>937838</v>
      </c>
      <c r="AE315" s="4">
        <v>1875676</v>
      </c>
      <c r="AF315" s="4">
        <v>2813514</v>
      </c>
      <c r="AG315" s="4">
        <v>3751352</v>
      </c>
      <c r="AH315" s="4">
        <v>4684286</v>
      </c>
      <c r="AI315" s="4">
        <v>5617220</v>
      </c>
      <c r="AJ315" s="4">
        <v>6499723</v>
      </c>
      <c r="AK315" s="4">
        <v>7382226</v>
      </c>
      <c r="AL315" s="4">
        <v>8264729</v>
      </c>
      <c r="AM315" s="4">
        <v>9147232</v>
      </c>
      <c r="AN315" s="153">
        <v>601450</v>
      </c>
    </row>
    <row r="316" spans="1:40" x14ac:dyDescent="0.2">
      <c r="A316" s="1">
        <v>2022</v>
      </c>
      <c r="B316" s="2" t="s">
        <v>340</v>
      </c>
      <c r="C316" s="2" t="s">
        <v>340</v>
      </c>
      <c r="D316" s="1" t="s">
        <v>683</v>
      </c>
      <c r="E316" s="3">
        <v>4981786</v>
      </c>
      <c r="F316" s="3">
        <v>1028</v>
      </c>
      <c r="G316" s="3">
        <v>22343</v>
      </c>
      <c r="H316" s="1">
        <v>0</v>
      </c>
      <c r="I316" s="3">
        <v>4980758</v>
      </c>
      <c r="J316" s="3">
        <v>4958415</v>
      </c>
      <c r="K316" s="3">
        <v>4958415</v>
      </c>
      <c r="L316" s="3">
        <v>223009</v>
      </c>
      <c r="M316" s="3">
        <v>551455</v>
      </c>
      <c r="N316" s="3">
        <v>63556</v>
      </c>
      <c r="O316" s="3">
        <v>62042</v>
      </c>
      <c r="P316" s="3">
        <v>328335</v>
      </c>
      <c r="Q316" s="3">
        <v>3752361</v>
      </c>
      <c r="R316" s="3">
        <v>3730018</v>
      </c>
      <c r="S316" s="3">
        <v>3730018</v>
      </c>
      <c r="T316" s="3">
        <v>498076</v>
      </c>
      <c r="U316" s="3">
        <v>498076</v>
      </c>
      <c r="V316" s="3">
        <v>498076</v>
      </c>
      <c r="W316" s="3">
        <v>498076</v>
      </c>
      <c r="X316" s="3">
        <v>494352</v>
      </c>
      <c r="Y316" s="3">
        <v>494352</v>
      </c>
      <c r="Z316" s="4">
        <v>494352</v>
      </c>
      <c r="AA316" s="4">
        <v>494352</v>
      </c>
      <c r="AB316" s="4">
        <v>494352</v>
      </c>
      <c r="AC316" s="4">
        <v>494351</v>
      </c>
      <c r="AD316" s="4">
        <v>498076</v>
      </c>
      <c r="AE316" s="4">
        <v>996152</v>
      </c>
      <c r="AF316" s="4">
        <v>1494228</v>
      </c>
      <c r="AG316" s="4">
        <v>1992304</v>
      </c>
      <c r="AH316" s="4">
        <v>2486656</v>
      </c>
      <c r="AI316" s="4">
        <v>2981008</v>
      </c>
      <c r="AJ316" s="4">
        <v>3475360</v>
      </c>
      <c r="AK316" s="4">
        <v>3969712</v>
      </c>
      <c r="AL316" s="4">
        <v>4464064</v>
      </c>
      <c r="AM316" s="4">
        <v>4958415</v>
      </c>
      <c r="AN316" s="153">
        <v>460016</v>
      </c>
    </row>
    <row r="317" spans="1:40" x14ac:dyDescent="0.2">
      <c r="A317" s="1">
        <v>2022</v>
      </c>
      <c r="B317" s="2" t="s">
        <v>341</v>
      </c>
      <c r="C317" s="2" t="s">
        <v>341</v>
      </c>
      <c r="D317" s="1" t="s">
        <v>684</v>
      </c>
      <c r="E317" s="3">
        <v>5146079</v>
      </c>
      <c r="F317" s="3">
        <v>796</v>
      </c>
      <c r="G317" s="3">
        <v>19366</v>
      </c>
      <c r="H317" s="3">
        <v>0</v>
      </c>
      <c r="I317" s="3">
        <v>5145283</v>
      </c>
      <c r="J317" s="3">
        <v>5125917</v>
      </c>
      <c r="K317" s="3">
        <v>5125917</v>
      </c>
      <c r="L317" s="3">
        <v>172652</v>
      </c>
      <c r="M317" s="3">
        <v>506163</v>
      </c>
      <c r="N317" s="3">
        <v>60993</v>
      </c>
      <c r="O317" s="3">
        <v>49929</v>
      </c>
      <c r="P317" s="3">
        <v>284597</v>
      </c>
      <c r="Q317" s="3">
        <v>4070949</v>
      </c>
      <c r="R317" s="3">
        <v>4051583</v>
      </c>
      <c r="S317" s="3">
        <v>4051583</v>
      </c>
      <c r="T317" s="3">
        <v>514528</v>
      </c>
      <c r="U317" s="3">
        <v>514528</v>
      </c>
      <c r="V317" s="3">
        <v>514528</v>
      </c>
      <c r="W317" s="3">
        <v>514528</v>
      </c>
      <c r="X317" s="3">
        <v>511301</v>
      </c>
      <c r="Y317" s="3">
        <v>511301</v>
      </c>
      <c r="Z317" s="4">
        <v>511301</v>
      </c>
      <c r="AA317" s="4">
        <v>511301</v>
      </c>
      <c r="AB317" s="4">
        <v>511301</v>
      </c>
      <c r="AC317" s="4">
        <v>511300</v>
      </c>
      <c r="AD317" s="4">
        <v>514528</v>
      </c>
      <c r="AE317" s="4">
        <v>1029056</v>
      </c>
      <c r="AF317" s="4">
        <v>1543584</v>
      </c>
      <c r="AG317" s="4">
        <v>2058112</v>
      </c>
      <c r="AH317" s="4">
        <v>2569413</v>
      </c>
      <c r="AI317" s="4">
        <v>3080714</v>
      </c>
      <c r="AJ317" s="4">
        <v>3592015</v>
      </c>
      <c r="AK317" s="4">
        <v>4103316</v>
      </c>
      <c r="AL317" s="4">
        <v>4614617</v>
      </c>
      <c r="AM317" s="4">
        <v>5125917</v>
      </c>
      <c r="AN317" s="153">
        <v>398620</v>
      </c>
    </row>
    <row r="318" spans="1:40" x14ac:dyDescent="0.2">
      <c r="A318" s="1">
        <v>2022</v>
      </c>
      <c r="B318" s="2" t="s">
        <v>342</v>
      </c>
      <c r="C318" s="2" t="s">
        <v>342</v>
      </c>
      <c r="D318" s="1" t="s">
        <v>685</v>
      </c>
      <c r="E318" s="3">
        <v>3916150</v>
      </c>
      <c r="F318" s="3">
        <v>779</v>
      </c>
      <c r="G318" s="3">
        <v>14969</v>
      </c>
      <c r="H318" s="3">
        <v>94908</v>
      </c>
      <c r="I318" s="3">
        <v>3915371</v>
      </c>
      <c r="J318" s="3">
        <v>3900402</v>
      </c>
      <c r="K318" s="3">
        <v>3805494</v>
      </c>
      <c r="L318" s="3">
        <v>169056</v>
      </c>
      <c r="M318" s="3">
        <v>404614</v>
      </c>
      <c r="N318" s="3">
        <v>46049</v>
      </c>
      <c r="O318" s="3">
        <v>42973</v>
      </c>
      <c r="P318" s="3">
        <v>219984</v>
      </c>
      <c r="Q318" s="3">
        <v>3032695</v>
      </c>
      <c r="R318" s="3">
        <v>3017726</v>
      </c>
      <c r="S318" s="3">
        <v>2922818</v>
      </c>
      <c r="T318" s="3">
        <v>391537</v>
      </c>
      <c r="U318" s="3">
        <v>391537</v>
      </c>
      <c r="V318" s="3">
        <v>391537</v>
      </c>
      <c r="W318" s="3">
        <v>391537</v>
      </c>
      <c r="X318" s="3">
        <v>389042</v>
      </c>
      <c r="Y318" s="3">
        <v>389042</v>
      </c>
      <c r="Z318" s="4">
        <v>365316</v>
      </c>
      <c r="AA318" s="4">
        <v>365316</v>
      </c>
      <c r="AB318" s="4">
        <v>365316</v>
      </c>
      <c r="AC318" s="4">
        <v>365314</v>
      </c>
      <c r="AD318" s="4">
        <v>391537</v>
      </c>
      <c r="AE318" s="4">
        <v>783074</v>
      </c>
      <c r="AF318" s="4">
        <v>1174611</v>
      </c>
      <c r="AG318" s="4">
        <v>1566148</v>
      </c>
      <c r="AH318" s="4">
        <v>1955190</v>
      </c>
      <c r="AI318" s="4">
        <v>2344232</v>
      </c>
      <c r="AJ318" s="4">
        <v>2709548</v>
      </c>
      <c r="AK318" s="4">
        <v>3074864</v>
      </c>
      <c r="AL318" s="4">
        <v>3440180</v>
      </c>
      <c r="AM318" s="4">
        <v>3805494</v>
      </c>
      <c r="AN318" s="153">
        <v>314188</v>
      </c>
    </row>
    <row r="319" spans="1:40" x14ac:dyDescent="0.2">
      <c r="A319" s="1">
        <v>2022</v>
      </c>
      <c r="B319" s="2" t="s">
        <v>343</v>
      </c>
      <c r="C319" s="2" t="s">
        <v>343</v>
      </c>
      <c r="D319" s="1" t="s">
        <v>686</v>
      </c>
      <c r="E319" s="3">
        <v>6363355</v>
      </c>
      <c r="F319" s="3">
        <v>796</v>
      </c>
      <c r="G319" s="3">
        <v>19711</v>
      </c>
      <c r="H319" s="1">
        <v>0</v>
      </c>
      <c r="I319" s="3">
        <v>6362559</v>
      </c>
      <c r="J319" s="3">
        <v>6342848</v>
      </c>
      <c r="K319" s="3">
        <v>6342848</v>
      </c>
      <c r="L319" s="3">
        <v>172652</v>
      </c>
      <c r="M319" s="3">
        <v>559986</v>
      </c>
      <c r="N319" s="3">
        <v>66448</v>
      </c>
      <c r="O319" s="3">
        <v>64297</v>
      </c>
      <c r="P319" s="3">
        <v>299267</v>
      </c>
      <c r="Q319" s="3">
        <v>5199909</v>
      </c>
      <c r="R319" s="3">
        <v>5180198</v>
      </c>
      <c r="S319" s="3">
        <v>5180198</v>
      </c>
      <c r="T319" s="3">
        <v>636256</v>
      </c>
      <c r="U319" s="3">
        <v>636256</v>
      </c>
      <c r="V319" s="3">
        <v>636256</v>
      </c>
      <c r="W319" s="3">
        <v>636256</v>
      </c>
      <c r="X319" s="3">
        <v>632971</v>
      </c>
      <c r="Y319" s="3">
        <v>632971</v>
      </c>
      <c r="Z319" s="4">
        <v>632971</v>
      </c>
      <c r="AA319" s="4">
        <v>632971</v>
      </c>
      <c r="AB319" s="4">
        <v>632971</v>
      </c>
      <c r="AC319" s="4">
        <v>632969</v>
      </c>
      <c r="AD319" s="4">
        <v>636256</v>
      </c>
      <c r="AE319" s="4">
        <v>1272512</v>
      </c>
      <c r="AF319" s="4">
        <v>1908768</v>
      </c>
      <c r="AG319" s="4">
        <v>2545024</v>
      </c>
      <c r="AH319" s="4">
        <v>3177995</v>
      </c>
      <c r="AI319" s="4">
        <v>3810966</v>
      </c>
      <c r="AJ319" s="4">
        <v>4443937</v>
      </c>
      <c r="AK319" s="4">
        <v>5076908</v>
      </c>
      <c r="AL319" s="4">
        <v>5709879</v>
      </c>
      <c r="AM319" s="4">
        <v>6342848</v>
      </c>
      <c r="AN319" s="153">
        <v>430501</v>
      </c>
    </row>
    <row r="320" spans="1:40" x14ac:dyDescent="0.2">
      <c r="A320" s="1">
        <v>2022</v>
      </c>
      <c r="B320" s="2" t="s">
        <v>344</v>
      </c>
      <c r="C320" s="2" t="s">
        <v>344</v>
      </c>
      <c r="D320" s="1" t="s">
        <v>687</v>
      </c>
      <c r="E320" s="3">
        <v>2759586</v>
      </c>
      <c r="F320" s="1">
        <v>531</v>
      </c>
      <c r="G320" s="3">
        <v>12646</v>
      </c>
      <c r="H320" s="1">
        <v>0</v>
      </c>
      <c r="I320" s="3">
        <v>2759055</v>
      </c>
      <c r="J320" s="3">
        <v>2746409</v>
      </c>
      <c r="K320" s="3">
        <v>2746409</v>
      </c>
      <c r="L320" s="3">
        <v>115101</v>
      </c>
      <c r="M320" s="3">
        <v>353770</v>
      </c>
      <c r="N320" s="3">
        <v>40281</v>
      </c>
      <c r="O320" s="3">
        <v>40778</v>
      </c>
      <c r="P320" s="3">
        <v>188103</v>
      </c>
      <c r="Q320" s="3">
        <v>2021022</v>
      </c>
      <c r="R320" s="3">
        <v>2008376</v>
      </c>
      <c r="S320" s="3">
        <v>2008376</v>
      </c>
      <c r="T320" s="3">
        <v>275906</v>
      </c>
      <c r="U320" s="3">
        <v>275906</v>
      </c>
      <c r="V320" s="3">
        <v>275906</v>
      </c>
      <c r="W320" s="3">
        <v>275906</v>
      </c>
      <c r="X320" s="3">
        <v>273798</v>
      </c>
      <c r="Y320" s="3">
        <v>273798</v>
      </c>
      <c r="Z320" s="4">
        <v>273797</v>
      </c>
      <c r="AA320" s="4">
        <v>273797</v>
      </c>
      <c r="AB320" s="4">
        <v>273797</v>
      </c>
      <c r="AC320" s="4">
        <v>273798</v>
      </c>
      <c r="AD320" s="4">
        <v>275906</v>
      </c>
      <c r="AE320" s="4">
        <v>551812</v>
      </c>
      <c r="AF320" s="4">
        <v>827718</v>
      </c>
      <c r="AG320" s="4">
        <v>1103624</v>
      </c>
      <c r="AH320" s="4">
        <v>1377422</v>
      </c>
      <c r="AI320" s="4">
        <v>1651220</v>
      </c>
      <c r="AJ320" s="4">
        <v>1925017</v>
      </c>
      <c r="AK320" s="4">
        <v>2198814</v>
      </c>
      <c r="AL320" s="4">
        <v>2472611</v>
      </c>
      <c r="AM320" s="4">
        <v>2746409</v>
      </c>
      <c r="AN320" s="153">
        <v>258729</v>
      </c>
    </row>
    <row r="321" spans="1:40" x14ac:dyDescent="0.2">
      <c r="A321" s="1">
        <v>2022</v>
      </c>
      <c r="B321" s="2" t="s">
        <v>345</v>
      </c>
      <c r="C321" s="2" t="s">
        <v>345</v>
      </c>
      <c r="D321" s="1" t="s">
        <v>688</v>
      </c>
      <c r="E321" s="3">
        <v>1050233</v>
      </c>
      <c r="F321" s="3">
        <v>249</v>
      </c>
      <c r="G321" s="3">
        <v>4444</v>
      </c>
      <c r="H321" s="3">
        <v>0</v>
      </c>
      <c r="I321" s="3">
        <v>1049984</v>
      </c>
      <c r="J321" s="3">
        <v>1045540</v>
      </c>
      <c r="K321" s="3">
        <v>1045540</v>
      </c>
      <c r="L321" s="3">
        <v>46906</v>
      </c>
      <c r="M321" s="3">
        <v>141451</v>
      </c>
      <c r="N321" s="3">
        <v>17552</v>
      </c>
      <c r="O321" s="3">
        <v>15950</v>
      </c>
      <c r="P321" s="3">
        <v>65311</v>
      </c>
      <c r="Q321" s="3">
        <v>762814</v>
      </c>
      <c r="R321" s="3">
        <v>758370</v>
      </c>
      <c r="S321" s="3">
        <v>758370</v>
      </c>
      <c r="T321" s="3">
        <v>104998</v>
      </c>
      <c r="U321" s="3">
        <v>104998</v>
      </c>
      <c r="V321" s="3">
        <v>104998</v>
      </c>
      <c r="W321" s="3">
        <v>104998</v>
      </c>
      <c r="X321" s="3">
        <v>104258</v>
      </c>
      <c r="Y321" s="3">
        <v>104258</v>
      </c>
      <c r="Z321" s="4">
        <v>104258</v>
      </c>
      <c r="AA321" s="4">
        <v>104258</v>
      </c>
      <c r="AB321" s="4">
        <v>104258</v>
      </c>
      <c r="AC321" s="4">
        <v>104258</v>
      </c>
      <c r="AD321" s="4">
        <v>104998</v>
      </c>
      <c r="AE321" s="4">
        <v>209996</v>
      </c>
      <c r="AF321" s="4">
        <v>314994</v>
      </c>
      <c r="AG321" s="4">
        <v>419992</v>
      </c>
      <c r="AH321" s="4">
        <v>524250</v>
      </c>
      <c r="AI321" s="4">
        <v>628508</v>
      </c>
      <c r="AJ321" s="4">
        <v>732766</v>
      </c>
      <c r="AK321" s="4">
        <v>837024</v>
      </c>
      <c r="AL321" s="4">
        <v>941282</v>
      </c>
      <c r="AM321" s="4">
        <v>1045540</v>
      </c>
      <c r="AN321" s="153">
        <v>93489</v>
      </c>
    </row>
    <row r="322" spans="1:40" x14ac:dyDescent="0.2">
      <c r="A322" s="1">
        <v>2022</v>
      </c>
      <c r="B322" s="2" t="s">
        <v>346</v>
      </c>
      <c r="C322" s="2" t="s">
        <v>346</v>
      </c>
      <c r="D322" s="1" t="s">
        <v>689</v>
      </c>
      <c r="E322" s="3">
        <v>7023635</v>
      </c>
      <c r="F322" s="3">
        <v>945</v>
      </c>
      <c r="G322" s="3">
        <v>27141</v>
      </c>
      <c r="H322" s="1">
        <v>0</v>
      </c>
      <c r="I322" s="3">
        <v>7022690</v>
      </c>
      <c r="J322" s="3">
        <v>6995549</v>
      </c>
      <c r="K322" s="3">
        <v>6995549</v>
      </c>
      <c r="L322" s="3">
        <v>205025</v>
      </c>
      <c r="M322" s="3">
        <v>709977</v>
      </c>
      <c r="N322" s="3">
        <v>68670</v>
      </c>
      <c r="O322" s="3">
        <v>77800</v>
      </c>
      <c r="P322" s="3">
        <v>398847</v>
      </c>
      <c r="Q322" s="3">
        <v>5562371</v>
      </c>
      <c r="R322" s="3">
        <v>5535230</v>
      </c>
      <c r="S322" s="3">
        <v>5535230</v>
      </c>
      <c r="T322" s="3">
        <v>702269</v>
      </c>
      <c r="U322" s="3">
        <v>702269</v>
      </c>
      <c r="V322" s="3">
        <v>702269</v>
      </c>
      <c r="W322" s="3">
        <v>702269</v>
      </c>
      <c r="X322" s="3">
        <v>697746</v>
      </c>
      <c r="Y322" s="3">
        <v>697746</v>
      </c>
      <c r="Z322" s="4">
        <v>697745</v>
      </c>
      <c r="AA322" s="4">
        <v>697745</v>
      </c>
      <c r="AB322" s="4">
        <v>697745</v>
      </c>
      <c r="AC322" s="4">
        <v>697746</v>
      </c>
      <c r="AD322" s="4">
        <v>702269</v>
      </c>
      <c r="AE322" s="4">
        <v>1404538</v>
      </c>
      <c r="AF322" s="4">
        <v>2106807</v>
      </c>
      <c r="AG322" s="4">
        <v>2809076</v>
      </c>
      <c r="AH322" s="4">
        <v>3506822</v>
      </c>
      <c r="AI322" s="4">
        <v>4204568</v>
      </c>
      <c r="AJ322" s="4">
        <v>4902313</v>
      </c>
      <c r="AK322" s="4">
        <v>5600058</v>
      </c>
      <c r="AL322" s="4">
        <v>6297803</v>
      </c>
      <c r="AM322" s="4">
        <v>6995549</v>
      </c>
      <c r="AN322" s="153">
        <v>530770</v>
      </c>
    </row>
    <row r="323" spans="1:40" x14ac:dyDescent="0.2">
      <c r="A323" s="1">
        <v>2022</v>
      </c>
      <c r="B323" s="2" t="s">
        <v>347</v>
      </c>
      <c r="C323" s="2" t="s">
        <v>347</v>
      </c>
      <c r="D323" s="1" t="s">
        <v>690</v>
      </c>
      <c r="E323" s="3">
        <v>5550144</v>
      </c>
      <c r="F323" s="1">
        <v>514</v>
      </c>
      <c r="G323" s="3">
        <v>20034</v>
      </c>
      <c r="H323" s="1">
        <v>0</v>
      </c>
      <c r="I323" s="3">
        <v>5549630</v>
      </c>
      <c r="J323" s="3">
        <v>5529596</v>
      </c>
      <c r="K323" s="3">
        <v>5529596</v>
      </c>
      <c r="L323" s="3">
        <v>111505</v>
      </c>
      <c r="M323" s="3">
        <v>535888</v>
      </c>
      <c r="N323" s="3">
        <v>61037</v>
      </c>
      <c r="O323" s="3">
        <v>59881</v>
      </c>
      <c r="P323" s="3">
        <v>294406</v>
      </c>
      <c r="Q323" s="3">
        <v>4486913</v>
      </c>
      <c r="R323" s="3">
        <v>4466879</v>
      </c>
      <c r="S323" s="3">
        <v>4466879</v>
      </c>
      <c r="T323" s="3">
        <v>554963</v>
      </c>
      <c r="U323" s="3">
        <v>554963</v>
      </c>
      <c r="V323" s="3">
        <v>554963</v>
      </c>
      <c r="W323" s="3">
        <v>554963</v>
      </c>
      <c r="X323" s="3">
        <v>551624</v>
      </c>
      <c r="Y323" s="3">
        <v>551624</v>
      </c>
      <c r="Z323" s="4">
        <v>551624</v>
      </c>
      <c r="AA323" s="4">
        <v>551624</v>
      </c>
      <c r="AB323" s="4">
        <v>551624</v>
      </c>
      <c r="AC323" s="4">
        <v>551624</v>
      </c>
      <c r="AD323" s="4">
        <v>554963</v>
      </c>
      <c r="AE323" s="4">
        <v>1109926</v>
      </c>
      <c r="AF323" s="4">
        <v>1664889</v>
      </c>
      <c r="AG323" s="4">
        <v>2219852</v>
      </c>
      <c r="AH323" s="4">
        <v>2771476</v>
      </c>
      <c r="AI323" s="4">
        <v>3323100</v>
      </c>
      <c r="AJ323" s="4">
        <v>3874724</v>
      </c>
      <c r="AK323" s="4">
        <v>4426348</v>
      </c>
      <c r="AL323" s="4">
        <v>4977972</v>
      </c>
      <c r="AM323" s="4">
        <v>5529596</v>
      </c>
      <c r="AN323" s="153">
        <v>379460</v>
      </c>
    </row>
    <row r="324" spans="1:40" x14ac:dyDescent="0.2">
      <c r="A324" s="1">
        <v>2022</v>
      </c>
      <c r="B324" s="2" t="s">
        <v>348</v>
      </c>
      <c r="C324" s="2" t="s">
        <v>348</v>
      </c>
      <c r="D324" s="1" t="s">
        <v>691</v>
      </c>
      <c r="E324" s="3">
        <v>1963753</v>
      </c>
      <c r="F324" s="1">
        <v>381</v>
      </c>
      <c r="G324" s="3">
        <v>7459</v>
      </c>
      <c r="H324" s="3">
        <v>16285</v>
      </c>
      <c r="I324" s="3">
        <v>1963372</v>
      </c>
      <c r="J324" s="3">
        <v>1955913</v>
      </c>
      <c r="K324" s="3">
        <v>1939628</v>
      </c>
      <c r="L324" s="3">
        <v>82730</v>
      </c>
      <c r="M324" s="3">
        <v>203551</v>
      </c>
      <c r="N324" s="3">
        <v>25057</v>
      </c>
      <c r="O324" s="3">
        <v>22124</v>
      </c>
      <c r="P324" s="3">
        <v>109608</v>
      </c>
      <c r="Q324" s="3">
        <v>1520302</v>
      </c>
      <c r="R324" s="3">
        <v>1512843</v>
      </c>
      <c r="S324" s="3">
        <v>1496558</v>
      </c>
      <c r="T324" s="3">
        <v>196337</v>
      </c>
      <c r="U324" s="3">
        <v>196337</v>
      </c>
      <c r="V324" s="3">
        <v>196337</v>
      </c>
      <c r="W324" s="3">
        <v>196337</v>
      </c>
      <c r="X324" s="3">
        <v>195094</v>
      </c>
      <c r="Y324" s="3">
        <v>195094</v>
      </c>
      <c r="Z324" s="4">
        <v>191023</v>
      </c>
      <c r="AA324" s="4">
        <v>191023</v>
      </c>
      <c r="AB324" s="4">
        <v>191023</v>
      </c>
      <c r="AC324" s="4">
        <v>191023</v>
      </c>
      <c r="AD324" s="4">
        <v>196337</v>
      </c>
      <c r="AE324" s="4">
        <v>392674</v>
      </c>
      <c r="AF324" s="4">
        <v>589011</v>
      </c>
      <c r="AG324" s="4">
        <v>785348</v>
      </c>
      <c r="AH324" s="4">
        <v>980442</v>
      </c>
      <c r="AI324" s="4">
        <v>1175536</v>
      </c>
      <c r="AJ324" s="4">
        <v>1366559</v>
      </c>
      <c r="AK324" s="4">
        <v>1557582</v>
      </c>
      <c r="AL324" s="4">
        <v>1748605</v>
      </c>
      <c r="AM324" s="4">
        <v>1939628</v>
      </c>
      <c r="AN324" s="153">
        <v>148101</v>
      </c>
    </row>
    <row r="325" spans="1:40" x14ac:dyDescent="0.2">
      <c r="A325" s="1">
        <v>2022</v>
      </c>
      <c r="B325" s="2" t="s">
        <v>349</v>
      </c>
      <c r="C325" s="2" t="s">
        <v>349</v>
      </c>
      <c r="D325" s="1" t="s">
        <v>692</v>
      </c>
      <c r="E325" s="3">
        <v>10919972</v>
      </c>
      <c r="F325" s="3">
        <v>1194</v>
      </c>
      <c r="G325" s="3">
        <v>39659</v>
      </c>
      <c r="H325" s="1">
        <v>0</v>
      </c>
      <c r="I325" s="3">
        <v>10918778</v>
      </c>
      <c r="J325" s="3">
        <v>10879119</v>
      </c>
      <c r="K325" s="3">
        <v>10879119</v>
      </c>
      <c r="L325" s="3">
        <v>258978</v>
      </c>
      <c r="M325" s="3">
        <v>1015476</v>
      </c>
      <c r="N325" s="3">
        <v>131553</v>
      </c>
      <c r="O325" s="3">
        <v>110022</v>
      </c>
      <c r="P325" s="3">
        <v>589058</v>
      </c>
      <c r="Q325" s="3">
        <v>8813691</v>
      </c>
      <c r="R325" s="3">
        <v>8774032</v>
      </c>
      <c r="S325" s="3">
        <v>8774032</v>
      </c>
      <c r="T325" s="3">
        <v>1091878</v>
      </c>
      <c r="U325" s="3">
        <v>1091878</v>
      </c>
      <c r="V325" s="3">
        <v>1091878</v>
      </c>
      <c r="W325" s="3">
        <v>1091878</v>
      </c>
      <c r="X325" s="3">
        <v>1085268</v>
      </c>
      <c r="Y325" s="3">
        <v>1085268</v>
      </c>
      <c r="Z325" s="4">
        <v>1085268</v>
      </c>
      <c r="AA325" s="4">
        <v>1085268</v>
      </c>
      <c r="AB325" s="4">
        <v>1085268</v>
      </c>
      <c r="AC325" s="4">
        <v>1085267</v>
      </c>
      <c r="AD325" s="4">
        <v>1091878</v>
      </c>
      <c r="AE325" s="4">
        <v>2183756</v>
      </c>
      <c r="AF325" s="4">
        <v>3275634</v>
      </c>
      <c r="AG325" s="4">
        <v>4367512</v>
      </c>
      <c r="AH325" s="4">
        <v>5452780</v>
      </c>
      <c r="AI325" s="4">
        <v>6538048</v>
      </c>
      <c r="AJ325" s="4">
        <v>7623316</v>
      </c>
      <c r="AK325" s="4">
        <v>8708584</v>
      </c>
      <c r="AL325" s="4">
        <v>9793852</v>
      </c>
      <c r="AM325" s="4">
        <v>10879119</v>
      </c>
      <c r="AN325" s="153">
        <v>769478</v>
      </c>
    </row>
    <row r="326" spans="1:40" x14ac:dyDescent="0.2">
      <c r="A326" s="1">
        <v>2022</v>
      </c>
      <c r="B326" s="2" t="s">
        <v>350</v>
      </c>
      <c r="C326" s="2" t="s">
        <v>350</v>
      </c>
      <c r="D326" s="1" t="s">
        <v>693</v>
      </c>
      <c r="E326" s="3">
        <v>3039946</v>
      </c>
      <c r="F326" s="1">
        <v>630</v>
      </c>
      <c r="G326" s="3">
        <v>11171</v>
      </c>
      <c r="H326" s="1">
        <v>0</v>
      </c>
      <c r="I326" s="3">
        <v>3039316</v>
      </c>
      <c r="J326" s="3">
        <v>3028145</v>
      </c>
      <c r="K326" s="3">
        <v>3028145</v>
      </c>
      <c r="L326" s="3">
        <v>136683</v>
      </c>
      <c r="M326" s="3">
        <v>316070</v>
      </c>
      <c r="N326" s="3">
        <v>36895</v>
      </c>
      <c r="O326" s="3">
        <v>35414</v>
      </c>
      <c r="P326" s="3">
        <v>164168</v>
      </c>
      <c r="Q326" s="3">
        <v>2350086</v>
      </c>
      <c r="R326" s="3">
        <v>2338915</v>
      </c>
      <c r="S326" s="3">
        <v>2338915</v>
      </c>
      <c r="T326" s="3">
        <v>303932</v>
      </c>
      <c r="U326" s="3">
        <v>303932</v>
      </c>
      <c r="V326" s="3">
        <v>303932</v>
      </c>
      <c r="W326" s="3">
        <v>303932</v>
      </c>
      <c r="X326" s="3">
        <v>302070</v>
      </c>
      <c r="Y326" s="3">
        <v>302070</v>
      </c>
      <c r="Z326" s="4">
        <v>302069</v>
      </c>
      <c r="AA326" s="4">
        <v>302069</v>
      </c>
      <c r="AB326" s="4">
        <v>302069</v>
      </c>
      <c r="AC326" s="4">
        <v>302070</v>
      </c>
      <c r="AD326" s="4">
        <v>303932</v>
      </c>
      <c r="AE326" s="4">
        <v>607864</v>
      </c>
      <c r="AF326" s="4">
        <v>911796</v>
      </c>
      <c r="AG326" s="4">
        <v>1215728</v>
      </c>
      <c r="AH326" s="4">
        <v>1517798</v>
      </c>
      <c r="AI326" s="4">
        <v>1819868</v>
      </c>
      <c r="AJ326" s="4">
        <v>2121937</v>
      </c>
      <c r="AK326" s="4">
        <v>2424006</v>
      </c>
      <c r="AL326" s="4">
        <v>2726075</v>
      </c>
      <c r="AM326" s="4">
        <v>3028145</v>
      </c>
      <c r="AN326" s="153">
        <v>216067</v>
      </c>
    </row>
    <row r="327" spans="1:40" x14ac:dyDescent="0.2">
      <c r="A327" s="1">
        <v>2022</v>
      </c>
      <c r="B327" s="2" t="s">
        <v>351</v>
      </c>
      <c r="C327" s="2" t="s">
        <v>351</v>
      </c>
      <c r="D327" s="1" t="s">
        <v>694</v>
      </c>
      <c r="E327" s="3">
        <v>3602283</v>
      </c>
      <c r="F327" s="1">
        <v>464</v>
      </c>
      <c r="G327" s="3">
        <v>12613</v>
      </c>
      <c r="H327" s="3">
        <v>0</v>
      </c>
      <c r="I327" s="3">
        <v>3601819</v>
      </c>
      <c r="J327" s="3">
        <v>3589206</v>
      </c>
      <c r="K327" s="3">
        <v>3589206</v>
      </c>
      <c r="L327" s="3">
        <v>100714</v>
      </c>
      <c r="M327" s="3">
        <v>339196</v>
      </c>
      <c r="N327" s="3">
        <v>38707</v>
      </c>
      <c r="O327" s="3">
        <v>36991</v>
      </c>
      <c r="P327" s="3">
        <v>189910</v>
      </c>
      <c r="Q327" s="3">
        <v>2896301</v>
      </c>
      <c r="R327" s="3">
        <v>2883688</v>
      </c>
      <c r="S327" s="3">
        <v>2883688</v>
      </c>
      <c r="T327" s="3">
        <v>360182</v>
      </c>
      <c r="U327" s="3">
        <v>360182</v>
      </c>
      <c r="V327" s="3">
        <v>360182</v>
      </c>
      <c r="W327" s="3">
        <v>360182</v>
      </c>
      <c r="X327" s="3">
        <v>358080</v>
      </c>
      <c r="Y327" s="3">
        <v>358080</v>
      </c>
      <c r="Z327" s="4">
        <v>358080</v>
      </c>
      <c r="AA327" s="4">
        <v>358080</v>
      </c>
      <c r="AB327" s="4">
        <v>358080</v>
      </c>
      <c r="AC327" s="4">
        <v>358078</v>
      </c>
      <c r="AD327" s="4">
        <v>360182</v>
      </c>
      <c r="AE327" s="4">
        <v>720364</v>
      </c>
      <c r="AF327" s="4">
        <v>1080546</v>
      </c>
      <c r="AG327" s="4">
        <v>1440728</v>
      </c>
      <c r="AH327" s="4">
        <v>1798808</v>
      </c>
      <c r="AI327" s="4">
        <v>2156888</v>
      </c>
      <c r="AJ327" s="4">
        <v>2514968</v>
      </c>
      <c r="AK327" s="4">
        <v>2873048</v>
      </c>
      <c r="AL327" s="4">
        <v>3231128</v>
      </c>
      <c r="AM327" s="4">
        <v>3589206</v>
      </c>
      <c r="AN327" s="153">
        <v>266952</v>
      </c>
    </row>
    <row r="328" spans="1:40" x14ac:dyDescent="0.2">
      <c r="A328" s="1">
        <v>2022</v>
      </c>
      <c r="B328" s="2" t="s">
        <v>352</v>
      </c>
      <c r="C328" s="2" t="s">
        <v>352</v>
      </c>
      <c r="D328" s="1" t="s">
        <v>695</v>
      </c>
      <c r="E328" s="3">
        <v>6597774</v>
      </c>
      <c r="F328" s="3">
        <v>1128</v>
      </c>
      <c r="G328" s="3">
        <v>23913</v>
      </c>
      <c r="H328" s="1">
        <v>0</v>
      </c>
      <c r="I328" s="3">
        <v>6596646</v>
      </c>
      <c r="J328" s="3">
        <v>6572733</v>
      </c>
      <c r="K328" s="3">
        <v>6572733</v>
      </c>
      <c r="L328" s="3">
        <v>248114</v>
      </c>
      <c r="M328" s="3">
        <v>620419</v>
      </c>
      <c r="N328" s="3">
        <v>69120</v>
      </c>
      <c r="O328" s="3">
        <v>65295</v>
      </c>
      <c r="P328" s="3">
        <v>351409</v>
      </c>
      <c r="Q328" s="3">
        <v>5242289</v>
      </c>
      <c r="R328" s="3">
        <v>5218376</v>
      </c>
      <c r="S328" s="3">
        <v>5218376</v>
      </c>
      <c r="T328" s="3">
        <v>659665</v>
      </c>
      <c r="U328" s="3">
        <v>659665</v>
      </c>
      <c r="V328" s="3">
        <v>659665</v>
      </c>
      <c r="W328" s="3">
        <v>659665</v>
      </c>
      <c r="X328" s="3">
        <v>655679</v>
      </c>
      <c r="Y328" s="3">
        <v>655679</v>
      </c>
      <c r="Z328" s="4">
        <v>655679</v>
      </c>
      <c r="AA328" s="4">
        <v>655679</v>
      </c>
      <c r="AB328" s="4">
        <v>655679</v>
      </c>
      <c r="AC328" s="4">
        <v>655678</v>
      </c>
      <c r="AD328" s="4">
        <v>659665</v>
      </c>
      <c r="AE328" s="4">
        <v>1319330</v>
      </c>
      <c r="AF328" s="4">
        <v>1978995</v>
      </c>
      <c r="AG328" s="4">
        <v>2638660</v>
      </c>
      <c r="AH328" s="4">
        <v>3294339</v>
      </c>
      <c r="AI328" s="4">
        <v>3950018</v>
      </c>
      <c r="AJ328" s="4">
        <v>4605697</v>
      </c>
      <c r="AK328" s="4">
        <v>5261376</v>
      </c>
      <c r="AL328" s="4">
        <v>5917055</v>
      </c>
      <c r="AM328" s="4">
        <v>6572733</v>
      </c>
      <c r="AN328" s="153">
        <v>469191</v>
      </c>
    </row>
    <row r="329" spans="1:40" x14ac:dyDescent="0.2">
      <c r="B329" s="127" t="s">
        <v>790</v>
      </c>
      <c r="D329" s="1" t="s">
        <v>789</v>
      </c>
      <c r="E329" s="3">
        <f t="shared" ref="E329:AN329" si="0">SUM(E2:E328)</f>
        <v>3188103195</v>
      </c>
      <c r="F329" s="3">
        <f t="shared" si="0"/>
        <v>371380</v>
      </c>
      <c r="G329" s="3">
        <f t="shared" si="0"/>
        <v>11500469</v>
      </c>
      <c r="H329" s="3">
        <f t="shared" si="0"/>
        <v>2236152</v>
      </c>
      <c r="I329" s="3">
        <f t="shared" si="0"/>
        <v>3187731815</v>
      </c>
      <c r="J329" s="3">
        <f t="shared" si="0"/>
        <v>3176231346</v>
      </c>
      <c r="K329" s="3">
        <f t="shared" si="0"/>
        <v>3173995194</v>
      </c>
      <c r="L329" s="3">
        <f t="shared" si="0"/>
        <v>80783415</v>
      </c>
      <c r="M329" s="3">
        <f t="shared" si="0"/>
        <v>300709520</v>
      </c>
      <c r="N329" s="3">
        <f t="shared" si="0"/>
        <v>37063166</v>
      </c>
      <c r="O329" s="3">
        <f t="shared" si="0"/>
        <v>34062249</v>
      </c>
      <c r="P329" s="3">
        <f t="shared" si="0"/>
        <v>169611537</v>
      </c>
      <c r="Q329" s="3">
        <f t="shared" si="0"/>
        <v>2565501928</v>
      </c>
      <c r="R329" s="3">
        <f t="shared" si="0"/>
        <v>2554001459</v>
      </c>
      <c r="S329" s="3">
        <f t="shared" si="0"/>
        <v>2551765307</v>
      </c>
      <c r="T329" s="3">
        <f t="shared" si="0"/>
        <v>318773196</v>
      </c>
      <c r="U329" s="3">
        <f t="shared" si="0"/>
        <v>318773196</v>
      </c>
      <c r="V329" s="3">
        <f t="shared" si="0"/>
        <v>318773196</v>
      </c>
      <c r="W329" s="3">
        <f t="shared" si="0"/>
        <v>318773196</v>
      </c>
      <c r="X329" s="3">
        <f t="shared" si="0"/>
        <v>316856454</v>
      </c>
      <c r="Y329" s="3">
        <f t="shared" si="0"/>
        <v>316856454</v>
      </c>
      <c r="Z329" s="3">
        <f t="shared" si="0"/>
        <v>316297417</v>
      </c>
      <c r="AA329" s="3">
        <f t="shared" si="0"/>
        <v>316297417</v>
      </c>
      <c r="AB329" s="3">
        <f t="shared" si="0"/>
        <v>316297417</v>
      </c>
      <c r="AC329" s="3">
        <f t="shared" si="0"/>
        <v>316297251</v>
      </c>
      <c r="AD329" s="3">
        <f t="shared" si="0"/>
        <v>318773196</v>
      </c>
      <c r="AE329" s="3">
        <f t="shared" si="0"/>
        <v>637546392</v>
      </c>
      <c r="AF329" s="3">
        <f t="shared" si="0"/>
        <v>956319588</v>
      </c>
      <c r="AG329" s="3">
        <f t="shared" si="0"/>
        <v>1275092784</v>
      </c>
      <c r="AH329" s="3">
        <f t="shared" si="0"/>
        <v>1591949238</v>
      </c>
      <c r="AI329" s="3">
        <f t="shared" si="0"/>
        <v>1908805692</v>
      </c>
      <c r="AJ329" s="3">
        <f t="shared" si="0"/>
        <v>2225103109</v>
      </c>
      <c r="AK329" s="3">
        <f t="shared" si="0"/>
        <v>2541400526</v>
      </c>
      <c r="AL329" s="3">
        <f t="shared" si="0"/>
        <v>2857697943</v>
      </c>
      <c r="AM329" s="3">
        <f t="shared" si="0"/>
        <v>3173995194</v>
      </c>
      <c r="AN329" s="3">
        <f t="shared" si="0"/>
        <v>236673716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2022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719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Total'!E334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Total'!E334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3188103195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371380</v>
      </c>
    </row>
    <row r="26" spans="1:4" x14ac:dyDescent="0.2">
      <c r="A26" s="6" t="s">
        <v>811</v>
      </c>
      <c r="B26" s="179">
        <f>C26-'Budget Total'!E333</f>
        <v>-1.7100000008940697</v>
      </c>
      <c r="C26" s="179">
        <v>11500467.289999999</v>
      </c>
      <c r="D26" s="180" t="s">
        <v>812</v>
      </c>
    </row>
    <row r="27" spans="1:4" x14ac:dyDescent="0.2">
      <c r="A27" s="6" t="s">
        <v>813</v>
      </c>
      <c r="B27" s="179">
        <f>MIN('Payment by Source'!$I$6:$I$332)</f>
        <v>32813</v>
      </c>
      <c r="C27" s="179" t="str">
        <f>INDEX('Payment by Source'!$A$6:$I$332,MATCH(Notes!B27,'Payment by Source'!$I$6:$I$332,0),2)</f>
        <v>Okoboji</v>
      </c>
      <c r="D27" s="179" t="s">
        <v>814</v>
      </c>
    </row>
    <row r="28" spans="1:4" x14ac:dyDescent="0.2">
      <c r="A28" s="6" t="s">
        <v>815</v>
      </c>
      <c r="B28" s="179">
        <f>C28-'Budget Total'!F333</f>
        <v>0</v>
      </c>
      <c r="C28" s="179">
        <v>2236152</v>
      </c>
      <c r="D28" s="179"/>
    </row>
    <row r="29" spans="1:4" x14ac:dyDescent="0.2">
      <c r="A29" s="6"/>
      <c r="B29" s="179"/>
      <c r="C29" s="179"/>
      <c r="D29" s="17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2" t="s">
        <v>787</v>
      </c>
      <c r="B35" s="71" t="s">
        <v>788</v>
      </c>
    </row>
    <row r="36" spans="1:2" x14ac:dyDescent="0.2">
      <c r="A36" s="123">
        <v>43726</v>
      </c>
      <c r="B36" s="71"/>
    </row>
    <row r="37" spans="1:2" x14ac:dyDescent="0.2">
      <c r="A37" s="123">
        <v>43755</v>
      </c>
      <c r="B37" s="71"/>
    </row>
    <row r="38" spans="1:2" x14ac:dyDescent="0.2">
      <c r="A38" s="123">
        <v>43788</v>
      </c>
      <c r="B38" s="71"/>
    </row>
    <row r="39" spans="1:2" x14ac:dyDescent="0.2">
      <c r="A39" s="123">
        <v>43817</v>
      </c>
      <c r="B39" s="71"/>
    </row>
    <row r="40" spans="1:2" x14ac:dyDescent="0.2">
      <c r="A40" s="123">
        <v>43847</v>
      </c>
      <c r="B40" s="71"/>
    </row>
    <row r="41" spans="1:2" x14ac:dyDescent="0.2">
      <c r="A41" s="123">
        <v>43881</v>
      </c>
      <c r="B41" s="71"/>
    </row>
    <row r="42" spans="1:2" x14ac:dyDescent="0.2">
      <c r="A42" s="123">
        <v>43908</v>
      </c>
      <c r="B42" s="71"/>
    </row>
    <row r="43" spans="1:2" x14ac:dyDescent="0.2">
      <c r="A43" s="123">
        <v>43938</v>
      </c>
      <c r="B43" s="71"/>
    </row>
    <row r="44" spans="1:2" x14ac:dyDescent="0.2">
      <c r="A44" s="123">
        <v>43970</v>
      </c>
      <c r="B44" s="71"/>
    </row>
    <row r="45" spans="1:2" x14ac:dyDescent="0.2">
      <c r="A45" s="123">
        <v>43999</v>
      </c>
      <c r="B45" s="71"/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3"/>
  <sheetViews>
    <sheetView workbookViewId="0">
      <pane ySplit="2" topLeftCell="A313" activePane="bottomLeft" state="frozen"/>
      <selection pane="bottomLeft" activeCell="A2" sqref="A2:E329"/>
    </sheetView>
  </sheetViews>
  <sheetFormatPr defaultRowHeight="15" x14ac:dyDescent="0.25"/>
  <cols>
    <col min="1" max="1" width="9.140625" style="170"/>
    <col min="2" max="2" width="8.5703125" style="125" customWidth="1"/>
    <col min="3" max="3" width="9.140625" style="170" bestFit="1" customWidth="1"/>
    <col min="4" max="4" width="41" style="125" bestFit="1" customWidth="1"/>
    <col min="5" max="5" width="31.7109375" style="125" bestFit="1" customWidth="1"/>
    <col min="6" max="16384" width="9.140625" style="125"/>
  </cols>
  <sheetData>
    <row r="1" spans="1:6" ht="43.5" customHeight="1" x14ac:dyDescent="0.25">
      <c r="D1" s="174" t="str">
        <f>CONCATENATE("FY ",$A$3," Special Education Deficit Payment
Based on FY ",$A$3-1," Special Education Balances")</f>
        <v>FY 2021 Special Education Deficit Payment
Based on FY 2020 Special Education Balances</v>
      </c>
      <c r="E1" s="169"/>
      <c r="F1" s="169"/>
    </row>
    <row r="2" spans="1:6" x14ac:dyDescent="0.25">
      <c r="A2" s="175" t="s">
        <v>353</v>
      </c>
      <c r="B2" s="176" t="s">
        <v>799</v>
      </c>
      <c r="C2" s="175" t="s">
        <v>354</v>
      </c>
      <c r="D2" s="176" t="s">
        <v>804</v>
      </c>
      <c r="E2" s="176" t="s">
        <v>805</v>
      </c>
    </row>
    <row r="3" spans="1:6" x14ac:dyDescent="0.25">
      <c r="A3" s="172">
        <v>2021</v>
      </c>
      <c r="B3" s="167" t="s">
        <v>21</v>
      </c>
      <c r="C3" s="171" t="s">
        <v>21</v>
      </c>
      <c r="D3" s="167" t="s">
        <v>381</v>
      </c>
      <c r="E3" s="168">
        <v>133</v>
      </c>
    </row>
    <row r="4" spans="1:6" x14ac:dyDescent="0.25">
      <c r="A4" s="172">
        <v>2021</v>
      </c>
      <c r="B4" s="167" t="s">
        <v>22</v>
      </c>
      <c r="C4" s="171" t="s">
        <v>22</v>
      </c>
      <c r="D4" s="167" t="s">
        <v>382</v>
      </c>
      <c r="E4" s="168">
        <v>4436</v>
      </c>
    </row>
    <row r="5" spans="1:6" x14ac:dyDescent="0.25">
      <c r="A5" s="172">
        <v>2021</v>
      </c>
      <c r="B5" s="167" t="s">
        <v>20</v>
      </c>
      <c r="C5" s="171" t="s">
        <v>20</v>
      </c>
      <c r="D5" s="167" t="s">
        <v>0</v>
      </c>
      <c r="E5" s="168">
        <v>1132</v>
      </c>
    </row>
    <row r="6" spans="1:6" x14ac:dyDescent="0.25">
      <c r="A6" s="172">
        <v>2021</v>
      </c>
      <c r="B6" s="167" t="s">
        <v>42</v>
      </c>
      <c r="C6" s="171" t="s">
        <v>42</v>
      </c>
      <c r="D6" s="167" t="s">
        <v>19</v>
      </c>
      <c r="E6" s="168">
        <v>1727</v>
      </c>
    </row>
    <row r="7" spans="1:6" x14ac:dyDescent="0.25">
      <c r="A7" s="172">
        <v>2021</v>
      </c>
      <c r="B7" s="167" t="s">
        <v>23</v>
      </c>
      <c r="C7" s="171" t="s">
        <v>23</v>
      </c>
      <c r="D7" s="167" t="s">
        <v>383</v>
      </c>
      <c r="E7" s="168">
        <v>1149</v>
      </c>
    </row>
    <row r="8" spans="1:6" x14ac:dyDescent="0.25">
      <c r="A8" s="172">
        <v>2021</v>
      </c>
      <c r="B8" s="167" t="s">
        <v>24</v>
      </c>
      <c r="C8" s="171" t="s">
        <v>24</v>
      </c>
      <c r="D8" s="167" t="s">
        <v>384</v>
      </c>
      <c r="E8" s="168">
        <v>1155</v>
      </c>
    </row>
    <row r="9" spans="1:6" x14ac:dyDescent="0.25">
      <c r="A9" s="172">
        <v>2021</v>
      </c>
      <c r="B9" s="167" t="s">
        <v>25</v>
      </c>
      <c r="C9" s="171" t="s">
        <v>25</v>
      </c>
      <c r="D9" s="167" t="s">
        <v>385</v>
      </c>
      <c r="E9" s="168">
        <v>1317</v>
      </c>
    </row>
    <row r="10" spans="1:6" x14ac:dyDescent="0.25">
      <c r="A10" s="172">
        <v>2021</v>
      </c>
      <c r="B10" s="167" t="s">
        <v>26</v>
      </c>
      <c r="C10" s="171" t="s">
        <v>26</v>
      </c>
      <c r="D10" s="167" t="s">
        <v>386</v>
      </c>
      <c r="E10" s="168">
        <v>0</v>
      </c>
    </row>
    <row r="11" spans="1:6" x14ac:dyDescent="0.25">
      <c r="A11" s="172">
        <v>2021</v>
      </c>
      <c r="B11" s="167" t="s">
        <v>27</v>
      </c>
      <c r="C11" s="171" t="s">
        <v>27</v>
      </c>
      <c r="D11" s="167" t="s">
        <v>387</v>
      </c>
      <c r="E11" s="168">
        <v>795</v>
      </c>
    </row>
    <row r="12" spans="1:6" x14ac:dyDescent="0.25">
      <c r="A12" s="172">
        <v>2021</v>
      </c>
      <c r="B12" s="167" t="s">
        <v>28</v>
      </c>
      <c r="C12" s="171" t="s">
        <v>28</v>
      </c>
      <c r="D12" s="167" t="s">
        <v>388</v>
      </c>
      <c r="E12" s="168">
        <v>5498</v>
      </c>
    </row>
    <row r="13" spans="1:6" x14ac:dyDescent="0.25">
      <c r="A13" s="172">
        <v>2021</v>
      </c>
      <c r="B13" s="167" t="s">
        <v>29</v>
      </c>
      <c r="C13" s="171" t="s">
        <v>29</v>
      </c>
      <c r="D13" s="167" t="s">
        <v>389</v>
      </c>
      <c r="E13" s="168">
        <v>1454</v>
      </c>
    </row>
    <row r="14" spans="1:6" x14ac:dyDescent="0.25">
      <c r="A14" s="172">
        <v>2021</v>
      </c>
      <c r="B14" s="167" t="s">
        <v>31</v>
      </c>
      <c r="C14" s="171" t="s">
        <v>31</v>
      </c>
      <c r="D14" s="167" t="s">
        <v>800</v>
      </c>
      <c r="E14" s="168">
        <v>1309</v>
      </c>
    </row>
    <row r="15" spans="1:6" x14ac:dyDescent="0.25">
      <c r="A15" s="172">
        <v>2021</v>
      </c>
      <c r="B15" s="167" t="s">
        <v>32</v>
      </c>
      <c r="C15" s="171" t="s">
        <v>32</v>
      </c>
      <c r="D15" s="167" t="s">
        <v>391</v>
      </c>
      <c r="E15" s="168">
        <v>14134</v>
      </c>
    </row>
    <row r="16" spans="1:6" x14ac:dyDescent="0.25">
      <c r="A16" s="172">
        <v>2021</v>
      </c>
      <c r="B16" s="167" t="s">
        <v>33</v>
      </c>
      <c r="C16" s="171" t="s">
        <v>33</v>
      </c>
      <c r="D16" s="167" t="s">
        <v>392</v>
      </c>
      <c r="E16" s="168">
        <v>2727</v>
      </c>
    </row>
    <row r="17" spans="1:5" x14ac:dyDescent="0.25">
      <c r="A17" s="172">
        <v>2021</v>
      </c>
      <c r="B17" s="167" t="s">
        <v>34</v>
      </c>
      <c r="C17" s="171" t="s">
        <v>34</v>
      </c>
      <c r="D17" s="167" t="s">
        <v>393</v>
      </c>
      <c r="E17" s="168">
        <v>732</v>
      </c>
    </row>
    <row r="18" spans="1:5" x14ac:dyDescent="0.25">
      <c r="A18" s="172">
        <v>2021</v>
      </c>
      <c r="B18" s="167" t="s">
        <v>35</v>
      </c>
      <c r="C18" s="171" t="s">
        <v>35</v>
      </c>
      <c r="D18" s="167" t="s">
        <v>394</v>
      </c>
      <c r="E18" s="168">
        <v>30976</v>
      </c>
    </row>
    <row r="19" spans="1:5" x14ac:dyDescent="0.25">
      <c r="A19" s="172">
        <v>2021</v>
      </c>
      <c r="B19" s="167" t="s">
        <v>36</v>
      </c>
      <c r="C19" s="171" t="s">
        <v>36</v>
      </c>
      <c r="D19" s="167" t="s">
        <v>395</v>
      </c>
      <c r="E19" s="168">
        <v>685</v>
      </c>
    </row>
    <row r="20" spans="1:5" x14ac:dyDescent="0.25">
      <c r="A20" s="172">
        <v>2021</v>
      </c>
      <c r="B20" s="167" t="s">
        <v>38</v>
      </c>
      <c r="C20" s="171" t="s">
        <v>38</v>
      </c>
      <c r="D20" s="167" t="s">
        <v>397</v>
      </c>
      <c r="E20" s="168">
        <v>572</v>
      </c>
    </row>
    <row r="21" spans="1:5" x14ac:dyDescent="0.25">
      <c r="A21" s="172">
        <v>2021</v>
      </c>
      <c r="B21" s="167" t="s">
        <v>39</v>
      </c>
      <c r="C21" s="171" t="s">
        <v>39</v>
      </c>
      <c r="D21" s="167" t="s">
        <v>398</v>
      </c>
      <c r="E21" s="168">
        <v>3666</v>
      </c>
    </row>
    <row r="22" spans="1:5" x14ac:dyDescent="0.25">
      <c r="A22" s="172">
        <v>2021</v>
      </c>
      <c r="B22" s="167" t="s">
        <v>40</v>
      </c>
      <c r="C22" s="171" t="s">
        <v>40</v>
      </c>
      <c r="D22" s="167" t="s">
        <v>399</v>
      </c>
      <c r="E22" s="168">
        <v>84</v>
      </c>
    </row>
    <row r="23" spans="1:5" x14ac:dyDescent="0.25">
      <c r="A23" s="172">
        <v>2021</v>
      </c>
      <c r="B23" s="167" t="s">
        <v>43</v>
      </c>
      <c r="C23" s="171" t="s">
        <v>43</v>
      </c>
      <c r="D23" s="167" t="s">
        <v>400</v>
      </c>
      <c r="E23" s="168">
        <v>3724</v>
      </c>
    </row>
    <row r="24" spans="1:5" x14ac:dyDescent="0.25">
      <c r="A24" s="172">
        <v>2021</v>
      </c>
      <c r="B24" s="167" t="s">
        <v>45</v>
      </c>
      <c r="C24" s="171" t="s">
        <v>45</v>
      </c>
      <c r="D24" s="167" t="s">
        <v>401</v>
      </c>
      <c r="E24" s="168">
        <v>424</v>
      </c>
    </row>
    <row r="25" spans="1:5" x14ac:dyDescent="0.25">
      <c r="A25" s="172">
        <v>2021</v>
      </c>
      <c r="B25" s="167" t="s">
        <v>46</v>
      </c>
      <c r="C25" s="171" t="s">
        <v>46</v>
      </c>
      <c r="D25" s="167" t="s">
        <v>1</v>
      </c>
      <c r="E25" s="168">
        <v>1879</v>
      </c>
    </row>
    <row r="26" spans="1:5" x14ac:dyDescent="0.25">
      <c r="A26" s="172">
        <v>2021</v>
      </c>
      <c r="B26" s="167" t="s">
        <v>47</v>
      </c>
      <c r="C26" s="171" t="s">
        <v>47</v>
      </c>
      <c r="D26" s="167" t="s">
        <v>402</v>
      </c>
      <c r="E26" s="168">
        <v>714</v>
      </c>
    </row>
    <row r="27" spans="1:5" x14ac:dyDescent="0.25">
      <c r="A27" s="172">
        <v>2021</v>
      </c>
      <c r="B27" s="167" t="s">
        <v>48</v>
      </c>
      <c r="C27" s="171" t="s">
        <v>48</v>
      </c>
      <c r="D27" s="167" t="s">
        <v>403</v>
      </c>
      <c r="E27" s="168">
        <v>1123</v>
      </c>
    </row>
    <row r="28" spans="1:5" x14ac:dyDescent="0.25">
      <c r="A28" s="172">
        <v>2021</v>
      </c>
      <c r="B28" s="167" t="s">
        <v>49</v>
      </c>
      <c r="C28" s="171" t="s">
        <v>49</v>
      </c>
      <c r="D28" s="167" t="s">
        <v>404</v>
      </c>
      <c r="E28" s="168">
        <v>0</v>
      </c>
    </row>
    <row r="29" spans="1:5" x14ac:dyDescent="0.25">
      <c r="A29" s="172">
        <v>2021</v>
      </c>
      <c r="B29" s="167" t="s">
        <v>50</v>
      </c>
      <c r="C29" s="171" t="s">
        <v>50</v>
      </c>
      <c r="D29" s="167" t="s">
        <v>405</v>
      </c>
      <c r="E29" s="168">
        <v>2720</v>
      </c>
    </row>
    <row r="30" spans="1:5" x14ac:dyDescent="0.25">
      <c r="A30" s="172">
        <v>2021</v>
      </c>
      <c r="B30" s="167" t="s">
        <v>51</v>
      </c>
      <c r="C30" s="171" t="s">
        <v>51</v>
      </c>
      <c r="D30" s="167" t="s">
        <v>406</v>
      </c>
      <c r="E30" s="168">
        <v>473</v>
      </c>
    </row>
    <row r="31" spans="1:5" x14ac:dyDescent="0.25">
      <c r="A31" s="172">
        <v>2021</v>
      </c>
      <c r="B31" s="167" t="s">
        <v>52</v>
      </c>
      <c r="C31" s="171" t="s">
        <v>52</v>
      </c>
      <c r="D31" s="167" t="s">
        <v>407</v>
      </c>
      <c r="E31" s="168">
        <v>3755</v>
      </c>
    </row>
    <row r="32" spans="1:5" x14ac:dyDescent="0.25">
      <c r="A32" s="172">
        <v>2021</v>
      </c>
      <c r="B32" s="167" t="s">
        <v>53</v>
      </c>
      <c r="C32" s="171" t="s">
        <v>53</v>
      </c>
      <c r="D32" s="167" t="s">
        <v>408</v>
      </c>
      <c r="E32" s="168">
        <v>5658</v>
      </c>
    </row>
    <row r="33" spans="1:5" x14ac:dyDescent="0.25">
      <c r="A33" s="172">
        <v>2021</v>
      </c>
      <c r="B33" s="167" t="s">
        <v>55</v>
      </c>
      <c r="C33" s="171" t="s">
        <v>55</v>
      </c>
      <c r="D33" s="167" t="s">
        <v>410</v>
      </c>
      <c r="E33" s="168">
        <v>3097</v>
      </c>
    </row>
    <row r="34" spans="1:5" x14ac:dyDescent="0.25">
      <c r="A34" s="172">
        <v>2021</v>
      </c>
      <c r="B34" s="167" t="s">
        <v>56</v>
      </c>
      <c r="C34" s="171" t="s">
        <v>56</v>
      </c>
      <c r="D34" s="167" t="s">
        <v>411</v>
      </c>
      <c r="E34" s="168">
        <v>7419</v>
      </c>
    </row>
    <row r="35" spans="1:5" x14ac:dyDescent="0.25">
      <c r="A35" s="172">
        <v>2021</v>
      </c>
      <c r="B35" s="167" t="s">
        <v>57</v>
      </c>
      <c r="C35" s="171" t="s">
        <v>57</v>
      </c>
      <c r="D35" s="167" t="s">
        <v>412</v>
      </c>
      <c r="E35" s="168">
        <v>1038</v>
      </c>
    </row>
    <row r="36" spans="1:5" x14ac:dyDescent="0.25">
      <c r="A36" s="172">
        <v>2021</v>
      </c>
      <c r="B36" s="167" t="s">
        <v>113</v>
      </c>
      <c r="C36" s="171" t="s">
        <v>113</v>
      </c>
      <c r="D36" s="167" t="s">
        <v>466</v>
      </c>
      <c r="E36" s="168">
        <v>194</v>
      </c>
    </row>
    <row r="37" spans="1:5" x14ac:dyDescent="0.25">
      <c r="A37" s="172">
        <v>2021</v>
      </c>
      <c r="B37" s="167" t="s">
        <v>59</v>
      </c>
      <c r="C37" s="171" t="s">
        <v>59</v>
      </c>
      <c r="D37" s="167" t="s">
        <v>414</v>
      </c>
      <c r="E37" s="168">
        <v>220</v>
      </c>
    </row>
    <row r="38" spans="1:5" x14ac:dyDescent="0.25">
      <c r="A38" s="172">
        <v>2021</v>
      </c>
      <c r="B38" s="167" t="s">
        <v>61</v>
      </c>
      <c r="C38" s="171" t="s">
        <v>61</v>
      </c>
      <c r="D38" s="167" t="s">
        <v>416</v>
      </c>
      <c r="E38" s="168">
        <v>0</v>
      </c>
    </row>
    <row r="39" spans="1:5" x14ac:dyDescent="0.25">
      <c r="A39" s="172">
        <v>2021</v>
      </c>
      <c r="B39" s="167" t="s">
        <v>63</v>
      </c>
      <c r="C39" s="171" t="s">
        <v>63</v>
      </c>
      <c r="D39" s="167" t="s">
        <v>3</v>
      </c>
      <c r="E39" s="168">
        <v>597</v>
      </c>
    </row>
    <row r="40" spans="1:5" x14ac:dyDescent="0.25">
      <c r="A40" s="172">
        <v>2021</v>
      </c>
      <c r="B40" s="167" t="s">
        <v>64</v>
      </c>
      <c r="C40" s="171" t="s">
        <v>64</v>
      </c>
      <c r="D40" s="167" t="s">
        <v>417</v>
      </c>
      <c r="E40" s="168">
        <v>972</v>
      </c>
    </row>
    <row r="41" spans="1:5" x14ac:dyDescent="0.25">
      <c r="A41" s="172">
        <v>2021</v>
      </c>
      <c r="B41" s="167" t="s">
        <v>62</v>
      </c>
      <c r="C41" s="171" t="s">
        <v>62</v>
      </c>
      <c r="D41" s="167" t="s">
        <v>2</v>
      </c>
      <c r="E41" s="168">
        <v>1403</v>
      </c>
    </row>
    <row r="42" spans="1:5" x14ac:dyDescent="0.25">
      <c r="A42" s="172">
        <v>2021</v>
      </c>
      <c r="B42" s="167" t="s">
        <v>65</v>
      </c>
      <c r="C42" s="171" t="s">
        <v>65</v>
      </c>
      <c r="D42" s="167" t="s">
        <v>418</v>
      </c>
      <c r="E42" s="168">
        <v>3905</v>
      </c>
    </row>
    <row r="43" spans="1:5" x14ac:dyDescent="0.25">
      <c r="A43" s="172">
        <v>2021</v>
      </c>
      <c r="B43" s="167" t="s">
        <v>66</v>
      </c>
      <c r="C43" s="171" t="s">
        <v>66</v>
      </c>
      <c r="D43" s="167" t="s">
        <v>419</v>
      </c>
      <c r="E43" s="168">
        <v>492</v>
      </c>
    </row>
    <row r="44" spans="1:5" x14ac:dyDescent="0.25">
      <c r="A44" s="172">
        <v>2021</v>
      </c>
      <c r="B44" s="167" t="s">
        <v>67</v>
      </c>
      <c r="C44" s="171" t="s">
        <v>67</v>
      </c>
      <c r="D44" s="167" t="s">
        <v>420</v>
      </c>
      <c r="E44" s="168">
        <v>1941</v>
      </c>
    </row>
    <row r="45" spans="1:5" x14ac:dyDescent="0.25">
      <c r="A45" s="172">
        <v>2021</v>
      </c>
      <c r="B45" s="167" t="s">
        <v>68</v>
      </c>
      <c r="C45" s="171" t="s">
        <v>68</v>
      </c>
      <c r="D45" s="167" t="s">
        <v>421</v>
      </c>
      <c r="E45" s="168">
        <v>4053</v>
      </c>
    </row>
    <row r="46" spans="1:5" x14ac:dyDescent="0.25">
      <c r="A46" s="172">
        <v>2021</v>
      </c>
      <c r="B46" s="167" t="s">
        <v>69</v>
      </c>
      <c r="C46" s="171" t="s">
        <v>69</v>
      </c>
      <c r="D46" s="167" t="s">
        <v>422</v>
      </c>
      <c r="E46" s="168">
        <v>7310</v>
      </c>
    </row>
    <row r="47" spans="1:5" x14ac:dyDescent="0.25">
      <c r="A47" s="172">
        <v>2021</v>
      </c>
      <c r="B47" s="167" t="s">
        <v>70</v>
      </c>
      <c r="C47" s="171" t="s">
        <v>70</v>
      </c>
      <c r="D47" s="167" t="s">
        <v>423</v>
      </c>
      <c r="E47" s="168">
        <v>70192</v>
      </c>
    </row>
    <row r="48" spans="1:5" x14ac:dyDescent="0.25">
      <c r="A48" s="172">
        <v>2021</v>
      </c>
      <c r="B48" s="167" t="s">
        <v>71</v>
      </c>
      <c r="C48" s="171" t="s">
        <v>71</v>
      </c>
      <c r="D48" s="167" t="s">
        <v>424</v>
      </c>
      <c r="E48" s="168">
        <v>1295</v>
      </c>
    </row>
    <row r="49" spans="1:5" x14ac:dyDescent="0.25">
      <c r="A49" s="172">
        <v>2021</v>
      </c>
      <c r="B49" s="167" t="s">
        <v>72</v>
      </c>
      <c r="C49" s="171" t="s">
        <v>72</v>
      </c>
      <c r="D49" s="167" t="s">
        <v>425</v>
      </c>
      <c r="E49" s="168">
        <v>0</v>
      </c>
    </row>
    <row r="50" spans="1:5" x14ac:dyDescent="0.25">
      <c r="A50" s="172">
        <v>2021</v>
      </c>
      <c r="B50" s="167" t="s">
        <v>76</v>
      </c>
      <c r="C50" s="171" t="s">
        <v>76</v>
      </c>
      <c r="D50" s="167" t="s">
        <v>429</v>
      </c>
      <c r="E50" s="168">
        <v>457</v>
      </c>
    </row>
    <row r="51" spans="1:5" x14ac:dyDescent="0.25">
      <c r="A51" s="172">
        <v>2021</v>
      </c>
      <c r="B51" s="167" t="s">
        <v>74</v>
      </c>
      <c r="C51" s="171" t="s">
        <v>74</v>
      </c>
      <c r="D51" s="167" t="s">
        <v>427</v>
      </c>
      <c r="E51" s="168">
        <v>601</v>
      </c>
    </row>
    <row r="52" spans="1:5" x14ac:dyDescent="0.25">
      <c r="A52" s="172">
        <v>2021</v>
      </c>
      <c r="B52" s="167" t="s">
        <v>75</v>
      </c>
      <c r="C52" s="171" t="s">
        <v>75</v>
      </c>
      <c r="D52" s="167" t="s">
        <v>428</v>
      </c>
      <c r="E52" s="168">
        <v>4330</v>
      </c>
    </row>
    <row r="53" spans="1:5" x14ac:dyDescent="0.25">
      <c r="A53" s="172">
        <v>2021</v>
      </c>
      <c r="B53" s="167" t="s">
        <v>77</v>
      </c>
      <c r="C53" s="171" t="s">
        <v>77</v>
      </c>
      <c r="D53" s="167" t="s">
        <v>430</v>
      </c>
      <c r="E53" s="168">
        <v>1235</v>
      </c>
    </row>
    <row r="54" spans="1:5" x14ac:dyDescent="0.25">
      <c r="A54" s="172">
        <v>2021</v>
      </c>
      <c r="B54" s="167" t="s">
        <v>73</v>
      </c>
      <c r="C54" s="171" t="s">
        <v>73</v>
      </c>
      <c r="D54" s="167" t="s">
        <v>426</v>
      </c>
      <c r="E54" s="168">
        <v>1427</v>
      </c>
    </row>
    <row r="55" spans="1:5" x14ac:dyDescent="0.25">
      <c r="A55" s="172">
        <v>2021</v>
      </c>
      <c r="B55" s="167" t="s">
        <v>78</v>
      </c>
      <c r="C55" s="171" t="s">
        <v>78</v>
      </c>
      <c r="D55" s="167" t="s">
        <v>431</v>
      </c>
      <c r="E55" s="168">
        <v>1157</v>
      </c>
    </row>
    <row r="56" spans="1:5" x14ac:dyDescent="0.25">
      <c r="A56" s="172">
        <v>2021</v>
      </c>
      <c r="B56" s="167" t="s">
        <v>230</v>
      </c>
      <c r="C56" s="171" t="s">
        <v>230</v>
      </c>
      <c r="D56" s="167" t="s">
        <v>580</v>
      </c>
      <c r="E56" s="168">
        <v>516</v>
      </c>
    </row>
    <row r="57" spans="1:5" x14ac:dyDescent="0.25">
      <c r="A57" s="172">
        <v>2021</v>
      </c>
      <c r="B57" s="167" t="s">
        <v>79</v>
      </c>
      <c r="C57" s="171" t="s">
        <v>79</v>
      </c>
      <c r="D57" s="167" t="s">
        <v>432</v>
      </c>
      <c r="E57" s="168">
        <v>645</v>
      </c>
    </row>
    <row r="58" spans="1:5" x14ac:dyDescent="0.25">
      <c r="A58" s="172">
        <v>2021</v>
      </c>
      <c r="B58" s="167" t="s">
        <v>80</v>
      </c>
      <c r="C58" s="171" t="s">
        <v>80</v>
      </c>
      <c r="D58" s="167" t="s">
        <v>433</v>
      </c>
      <c r="E58" s="168">
        <v>3264</v>
      </c>
    </row>
    <row r="59" spans="1:5" x14ac:dyDescent="0.25">
      <c r="A59" s="172">
        <v>2021</v>
      </c>
      <c r="B59" s="167" t="s">
        <v>81</v>
      </c>
      <c r="C59" s="171" t="s">
        <v>81</v>
      </c>
      <c r="D59" s="167" t="s">
        <v>434</v>
      </c>
      <c r="E59" s="168">
        <v>339</v>
      </c>
    </row>
    <row r="60" spans="1:5" x14ac:dyDescent="0.25">
      <c r="A60" s="172">
        <v>2021</v>
      </c>
      <c r="B60" s="167" t="s">
        <v>82</v>
      </c>
      <c r="C60" s="171" t="s">
        <v>82</v>
      </c>
      <c r="D60" s="167" t="s">
        <v>435</v>
      </c>
      <c r="E60" s="168">
        <v>782</v>
      </c>
    </row>
    <row r="61" spans="1:5" x14ac:dyDescent="0.25">
      <c r="A61" s="172">
        <v>2021</v>
      </c>
      <c r="B61" s="167" t="s">
        <v>83</v>
      </c>
      <c r="C61" s="171" t="s">
        <v>83</v>
      </c>
      <c r="D61" s="167" t="s">
        <v>436</v>
      </c>
      <c r="E61" s="168">
        <v>2414</v>
      </c>
    </row>
    <row r="62" spans="1:5" x14ac:dyDescent="0.25">
      <c r="A62" s="172">
        <v>2021</v>
      </c>
      <c r="B62" s="167" t="s">
        <v>84</v>
      </c>
      <c r="C62" s="171" t="s">
        <v>84</v>
      </c>
      <c r="D62" s="167" t="s">
        <v>437</v>
      </c>
      <c r="E62" s="168">
        <v>1798</v>
      </c>
    </row>
    <row r="63" spans="1:5" x14ac:dyDescent="0.25">
      <c r="A63" s="172">
        <v>2021</v>
      </c>
      <c r="B63" s="167" t="s">
        <v>85</v>
      </c>
      <c r="C63" s="171" t="s">
        <v>85</v>
      </c>
      <c r="D63" s="167" t="s">
        <v>438</v>
      </c>
      <c r="E63" s="168">
        <v>3895</v>
      </c>
    </row>
    <row r="64" spans="1:5" x14ac:dyDescent="0.25">
      <c r="A64" s="172">
        <v>2021</v>
      </c>
      <c r="B64" s="167" t="s">
        <v>86</v>
      </c>
      <c r="C64" s="171" t="s">
        <v>86</v>
      </c>
      <c r="D64" s="167" t="s">
        <v>439</v>
      </c>
      <c r="E64" s="168">
        <v>564</v>
      </c>
    </row>
    <row r="65" spans="1:5" x14ac:dyDescent="0.25">
      <c r="A65" s="172">
        <v>2021</v>
      </c>
      <c r="B65" s="167" t="s">
        <v>87</v>
      </c>
      <c r="C65" s="171" t="s">
        <v>87</v>
      </c>
      <c r="D65" s="167" t="s">
        <v>440</v>
      </c>
      <c r="E65" s="168">
        <v>958</v>
      </c>
    </row>
    <row r="66" spans="1:5" x14ac:dyDescent="0.25">
      <c r="A66" s="172">
        <v>2021</v>
      </c>
      <c r="B66" s="167" t="s">
        <v>150</v>
      </c>
      <c r="C66" s="171" t="s">
        <v>150</v>
      </c>
      <c r="D66" s="167" t="s">
        <v>502</v>
      </c>
      <c r="E66" s="168">
        <v>479</v>
      </c>
    </row>
    <row r="67" spans="1:5" x14ac:dyDescent="0.25">
      <c r="A67" s="172">
        <v>2021</v>
      </c>
      <c r="B67" s="167" t="s">
        <v>88</v>
      </c>
      <c r="C67" s="171" t="s">
        <v>88</v>
      </c>
      <c r="D67" s="167" t="s">
        <v>441</v>
      </c>
      <c r="E67" s="168">
        <v>5763</v>
      </c>
    </row>
    <row r="68" spans="1:5" x14ac:dyDescent="0.25">
      <c r="A68" s="172">
        <v>2021</v>
      </c>
      <c r="B68" s="167" t="s">
        <v>89</v>
      </c>
      <c r="C68" s="171" t="s">
        <v>89</v>
      </c>
      <c r="D68" s="167" t="s">
        <v>442</v>
      </c>
      <c r="E68" s="168">
        <v>1291</v>
      </c>
    </row>
    <row r="69" spans="1:5" x14ac:dyDescent="0.25">
      <c r="A69" s="172">
        <v>2021</v>
      </c>
      <c r="B69" s="167" t="s">
        <v>90</v>
      </c>
      <c r="C69" s="171" t="s">
        <v>90</v>
      </c>
      <c r="D69" s="167" t="s">
        <v>443</v>
      </c>
      <c r="E69" s="168">
        <v>3739</v>
      </c>
    </row>
    <row r="70" spans="1:5" x14ac:dyDescent="0.25">
      <c r="A70" s="172">
        <v>2021</v>
      </c>
      <c r="B70" s="167" t="s">
        <v>91</v>
      </c>
      <c r="C70" s="171" t="s">
        <v>91</v>
      </c>
      <c r="D70" s="167" t="s">
        <v>444</v>
      </c>
      <c r="E70" s="168">
        <v>1833</v>
      </c>
    </row>
    <row r="71" spans="1:5" x14ac:dyDescent="0.25">
      <c r="A71" s="172">
        <v>2021</v>
      </c>
      <c r="B71" s="167" t="s">
        <v>92</v>
      </c>
      <c r="C71" s="171" t="s">
        <v>92</v>
      </c>
      <c r="D71" s="167" t="s">
        <v>445</v>
      </c>
      <c r="E71" s="168">
        <v>10034</v>
      </c>
    </row>
    <row r="72" spans="1:5" x14ac:dyDescent="0.25">
      <c r="A72" s="172">
        <v>2021</v>
      </c>
      <c r="B72" s="167" t="s">
        <v>93</v>
      </c>
      <c r="C72" s="171" t="s">
        <v>93</v>
      </c>
      <c r="D72" s="167" t="s">
        <v>446</v>
      </c>
      <c r="E72" s="168">
        <v>855</v>
      </c>
    </row>
    <row r="73" spans="1:5" x14ac:dyDescent="0.25">
      <c r="A73" s="172">
        <v>2021</v>
      </c>
      <c r="B73" s="167" t="s">
        <v>94</v>
      </c>
      <c r="C73" s="171" t="s">
        <v>94</v>
      </c>
      <c r="D73" s="167" t="s">
        <v>447</v>
      </c>
      <c r="E73" s="168">
        <v>858</v>
      </c>
    </row>
    <row r="74" spans="1:5" x14ac:dyDescent="0.25">
      <c r="A74" s="172">
        <v>2021</v>
      </c>
      <c r="B74" s="167" t="s">
        <v>95</v>
      </c>
      <c r="C74" s="171" t="s">
        <v>95</v>
      </c>
      <c r="D74" s="167" t="s">
        <v>448</v>
      </c>
      <c r="E74" s="168">
        <v>300</v>
      </c>
    </row>
    <row r="75" spans="1:5" x14ac:dyDescent="0.25">
      <c r="A75" s="172">
        <v>2021</v>
      </c>
      <c r="B75" s="167" t="s">
        <v>96</v>
      </c>
      <c r="C75" s="171" t="s">
        <v>96</v>
      </c>
      <c r="D75" s="167" t="s">
        <v>449</v>
      </c>
      <c r="E75" s="168">
        <v>52</v>
      </c>
    </row>
    <row r="76" spans="1:5" x14ac:dyDescent="0.25">
      <c r="A76" s="172">
        <v>2021</v>
      </c>
      <c r="B76" s="167" t="s">
        <v>97</v>
      </c>
      <c r="C76" s="171" t="s">
        <v>97</v>
      </c>
      <c r="D76" s="167" t="s">
        <v>450</v>
      </c>
      <c r="E76" s="168">
        <v>1383</v>
      </c>
    </row>
    <row r="77" spans="1:5" x14ac:dyDescent="0.25">
      <c r="A77" s="172">
        <v>2021</v>
      </c>
      <c r="B77" s="167" t="s">
        <v>98</v>
      </c>
      <c r="C77" s="171" t="s">
        <v>98</v>
      </c>
      <c r="D77" s="167" t="s">
        <v>451</v>
      </c>
      <c r="E77" s="168">
        <v>8660</v>
      </c>
    </row>
    <row r="78" spans="1:5" x14ac:dyDescent="0.25">
      <c r="A78" s="172">
        <v>2021</v>
      </c>
      <c r="B78" s="167" t="s">
        <v>99</v>
      </c>
      <c r="C78" s="171" t="s">
        <v>99</v>
      </c>
      <c r="D78" s="167" t="s">
        <v>452</v>
      </c>
      <c r="E78" s="168">
        <v>4945</v>
      </c>
    </row>
    <row r="79" spans="1:5" x14ac:dyDescent="0.25">
      <c r="A79" s="172">
        <v>2021</v>
      </c>
      <c r="B79" s="167" t="s">
        <v>100</v>
      </c>
      <c r="C79" s="171" t="s">
        <v>100</v>
      </c>
      <c r="D79" s="167" t="s">
        <v>453</v>
      </c>
      <c r="E79" s="168">
        <v>10214</v>
      </c>
    </row>
    <row r="80" spans="1:5" x14ac:dyDescent="0.25">
      <c r="A80" s="172">
        <v>2021</v>
      </c>
      <c r="B80" s="167" t="s">
        <v>101</v>
      </c>
      <c r="C80" s="171" t="s">
        <v>101</v>
      </c>
      <c r="D80" s="167" t="s">
        <v>454</v>
      </c>
      <c r="E80" s="168">
        <v>127</v>
      </c>
    </row>
    <row r="81" spans="1:5" x14ac:dyDescent="0.25">
      <c r="A81" s="172">
        <v>2021</v>
      </c>
      <c r="B81" s="167" t="s">
        <v>102</v>
      </c>
      <c r="C81" s="171" t="s">
        <v>102</v>
      </c>
      <c r="D81" s="167" t="s">
        <v>455</v>
      </c>
      <c r="E81" s="168">
        <v>0</v>
      </c>
    </row>
    <row r="82" spans="1:5" x14ac:dyDescent="0.25">
      <c r="A82" s="172">
        <v>2021</v>
      </c>
      <c r="B82" s="167" t="s">
        <v>103</v>
      </c>
      <c r="C82" s="171" t="s">
        <v>103</v>
      </c>
      <c r="D82" s="167" t="s">
        <v>456</v>
      </c>
      <c r="E82" s="168">
        <v>2267</v>
      </c>
    </row>
    <row r="83" spans="1:5" x14ac:dyDescent="0.25">
      <c r="A83" s="172">
        <v>2021</v>
      </c>
      <c r="B83" s="167" t="s">
        <v>104</v>
      </c>
      <c r="C83" s="171" t="s">
        <v>104</v>
      </c>
      <c r="D83" s="167" t="s">
        <v>457</v>
      </c>
      <c r="E83" s="168">
        <v>4343</v>
      </c>
    </row>
    <row r="84" spans="1:5" x14ac:dyDescent="0.25">
      <c r="A84" s="172">
        <v>2021</v>
      </c>
      <c r="B84" s="167" t="s">
        <v>105</v>
      </c>
      <c r="C84" s="171" t="s">
        <v>105</v>
      </c>
      <c r="D84" s="167" t="s">
        <v>458</v>
      </c>
      <c r="E84" s="168">
        <v>0</v>
      </c>
    </row>
    <row r="85" spans="1:5" x14ac:dyDescent="0.25">
      <c r="A85" s="172">
        <v>2021</v>
      </c>
      <c r="B85" s="167" t="s">
        <v>106</v>
      </c>
      <c r="C85" s="171" t="s">
        <v>106</v>
      </c>
      <c r="D85" s="167" t="s">
        <v>459</v>
      </c>
      <c r="E85" s="168">
        <v>0</v>
      </c>
    </row>
    <row r="86" spans="1:5" x14ac:dyDescent="0.25">
      <c r="A86" s="172">
        <v>2021</v>
      </c>
      <c r="B86" s="167" t="s">
        <v>107</v>
      </c>
      <c r="C86" s="171" t="s">
        <v>107</v>
      </c>
      <c r="D86" s="167" t="s">
        <v>460</v>
      </c>
      <c r="E86" s="168">
        <v>580</v>
      </c>
    </row>
    <row r="87" spans="1:5" x14ac:dyDescent="0.25">
      <c r="A87" s="172">
        <v>2021</v>
      </c>
      <c r="B87" s="167" t="s">
        <v>108</v>
      </c>
      <c r="C87" s="171" t="s">
        <v>108</v>
      </c>
      <c r="D87" s="167" t="s">
        <v>461</v>
      </c>
      <c r="E87" s="168">
        <v>43490</v>
      </c>
    </row>
    <row r="88" spans="1:5" x14ac:dyDescent="0.25">
      <c r="A88" s="172">
        <v>2021</v>
      </c>
      <c r="B88" s="167" t="s">
        <v>109</v>
      </c>
      <c r="C88" s="171" t="s">
        <v>109</v>
      </c>
      <c r="D88" s="167" t="s">
        <v>462</v>
      </c>
      <c r="E88" s="168">
        <v>593</v>
      </c>
    </row>
    <row r="89" spans="1:5" x14ac:dyDescent="0.25">
      <c r="A89" s="172">
        <v>2021</v>
      </c>
      <c r="B89" s="167" t="s">
        <v>110</v>
      </c>
      <c r="C89" s="171" t="s">
        <v>110</v>
      </c>
      <c r="D89" s="167" t="s">
        <v>463</v>
      </c>
      <c r="E89" s="168">
        <v>1709</v>
      </c>
    </row>
    <row r="90" spans="1:5" x14ac:dyDescent="0.25">
      <c r="A90" s="172">
        <v>2021</v>
      </c>
      <c r="B90" s="167" t="s">
        <v>111</v>
      </c>
      <c r="C90" s="171" t="s">
        <v>111</v>
      </c>
      <c r="D90" s="167" t="s">
        <v>464</v>
      </c>
      <c r="E90" s="168">
        <v>33052</v>
      </c>
    </row>
    <row r="91" spans="1:5" x14ac:dyDescent="0.25">
      <c r="A91" s="172">
        <v>2021</v>
      </c>
      <c r="B91" s="167" t="s">
        <v>112</v>
      </c>
      <c r="C91" s="171" t="s">
        <v>112</v>
      </c>
      <c r="D91" s="167" t="s">
        <v>465</v>
      </c>
      <c r="E91" s="168">
        <v>757</v>
      </c>
    </row>
    <row r="92" spans="1:5" x14ac:dyDescent="0.25">
      <c r="A92" s="172">
        <v>2021</v>
      </c>
      <c r="B92" s="167" t="s">
        <v>114</v>
      </c>
      <c r="C92" s="171" t="s">
        <v>114</v>
      </c>
      <c r="D92" s="167" t="s">
        <v>467</v>
      </c>
      <c r="E92" s="168">
        <v>365</v>
      </c>
    </row>
    <row r="93" spans="1:5" x14ac:dyDescent="0.25">
      <c r="A93" s="172">
        <v>2021</v>
      </c>
      <c r="B93" s="167" t="s">
        <v>116</v>
      </c>
      <c r="C93" s="171" t="s">
        <v>116</v>
      </c>
      <c r="D93" s="167" t="s">
        <v>469</v>
      </c>
      <c r="E93" s="168">
        <v>2061</v>
      </c>
    </row>
    <row r="94" spans="1:5" x14ac:dyDescent="0.25">
      <c r="A94" s="172">
        <v>2021</v>
      </c>
      <c r="B94" s="167" t="s">
        <v>117</v>
      </c>
      <c r="C94" s="171" t="s">
        <v>117</v>
      </c>
      <c r="D94" s="167" t="s">
        <v>470</v>
      </c>
      <c r="E94" s="168">
        <v>226</v>
      </c>
    </row>
    <row r="95" spans="1:5" x14ac:dyDescent="0.25">
      <c r="A95" s="172">
        <v>2021</v>
      </c>
      <c r="B95" s="167" t="s">
        <v>118</v>
      </c>
      <c r="C95" s="171" t="s">
        <v>118</v>
      </c>
      <c r="D95" s="167" t="s">
        <v>471</v>
      </c>
      <c r="E95" s="168">
        <v>334</v>
      </c>
    </row>
    <row r="96" spans="1:5" x14ac:dyDescent="0.25">
      <c r="A96" s="172">
        <v>2021</v>
      </c>
      <c r="B96" s="167" t="s">
        <v>183</v>
      </c>
      <c r="C96" s="171" t="s">
        <v>697</v>
      </c>
      <c r="D96" s="167" t="s">
        <v>533</v>
      </c>
      <c r="E96" s="168">
        <v>435</v>
      </c>
    </row>
    <row r="97" spans="1:5" x14ac:dyDescent="0.25">
      <c r="A97" s="172">
        <v>2021</v>
      </c>
      <c r="B97" s="167" t="s">
        <v>196</v>
      </c>
      <c r="C97" s="171" t="s">
        <v>196</v>
      </c>
      <c r="D97" s="167" t="s">
        <v>546</v>
      </c>
      <c r="E97" s="168">
        <v>1981</v>
      </c>
    </row>
    <row r="98" spans="1:5" x14ac:dyDescent="0.25">
      <c r="A98" s="172">
        <v>2021</v>
      </c>
      <c r="B98" s="167" t="s">
        <v>322</v>
      </c>
      <c r="C98" s="171" t="s">
        <v>322</v>
      </c>
      <c r="D98" s="167" t="s">
        <v>665</v>
      </c>
      <c r="E98" s="168">
        <v>0</v>
      </c>
    </row>
    <row r="99" spans="1:5" x14ac:dyDescent="0.25">
      <c r="A99" s="172">
        <v>2021</v>
      </c>
      <c r="B99" s="167" t="s">
        <v>120</v>
      </c>
      <c r="C99" s="171" t="s">
        <v>120</v>
      </c>
      <c r="D99" s="167" t="s">
        <v>473</v>
      </c>
      <c r="E99" s="168">
        <v>1436</v>
      </c>
    </row>
    <row r="100" spans="1:5" x14ac:dyDescent="0.25">
      <c r="A100" s="172">
        <v>2021</v>
      </c>
      <c r="B100" s="167" t="s">
        <v>121</v>
      </c>
      <c r="C100" s="171" t="s">
        <v>121</v>
      </c>
      <c r="D100" s="167" t="s">
        <v>474</v>
      </c>
      <c r="E100" s="168">
        <v>299</v>
      </c>
    </row>
    <row r="101" spans="1:5" x14ac:dyDescent="0.25">
      <c r="A101" s="172">
        <v>2021</v>
      </c>
      <c r="B101" s="167" t="s">
        <v>119</v>
      </c>
      <c r="C101" s="171" t="s">
        <v>119</v>
      </c>
      <c r="D101" s="167" t="s">
        <v>472</v>
      </c>
      <c r="E101" s="168">
        <v>2060</v>
      </c>
    </row>
    <row r="102" spans="1:5" x14ac:dyDescent="0.25">
      <c r="A102" s="172">
        <v>2021</v>
      </c>
      <c r="B102" s="167" t="s">
        <v>54</v>
      </c>
      <c r="C102" s="171" t="s">
        <v>54</v>
      </c>
      <c r="D102" s="167" t="s">
        <v>409</v>
      </c>
      <c r="E102" s="168">
        <v>0</v>
      </c>
    </row>
    <row r="103" spans="1:5" x14ac:dyDescent="0.25">
      <c r="A103" s="172">
        <v>2021</v>
      </c>
      <c r="B103" s="167" t="s">
        <v>123</v>
      </c>
      <c r="C103" s="171" t="s">
        <v>123</v>
      </c>
      <c r="D103" s="167" t="s">
        <v>476</v>
      </c>
      <c r="E103" s="168">
        <v>0</v>
      </c>
    </row>
    <row r="104" spans="1:5" x14ac:dyDescent="0.25">
      <c r="A104" s="172">
        <v>2021</v>
      </c>
      <c r="B104" s="167" t="s">
        <v>124</v>
      </c>
      <c r="C104" s="171" t="s">
        <v>124</v>
      </c>
      <c r="D104" s="167" t="s">
        <v>477</v>
      </c>
      <c r="E104" s="168">
        <v>957</v>
      </c>
    </row>
    <row r="105" spans="1:5" x14ac:dyDescent="0.25">
      <c r="A105" s="172">
        <v>2021</v>
      </c>
      <c r="B105" s="167" t="s">
        <v>125</v>
      </c>
      <c r="C105" s="171" t="s">
        <v>125</v>
      </c>
      <c r="D105" s="167" t="s">
        <v>478</v>
      </c>
      <c r="E105" s="168">
        <v>1666</v>
      </c>
    </row>
    <row r="106" spans="1:5" x14ac:dyDescent="0.25">
      <c r="A106" s="172">
        <v>2021</v>
      </c>
      <c r="B106" s="167" t="s">
        <v>126</v>
      </c>
      <c r="C106" s="171" t="s">
        <v>126</v>
      </c>
      <c r="D106" s="167" t="s">
        <v>479</v>
      </c>
      <c r="E106" s="168">
        <v>287</v>
      </c>
    </row>
    <row r="107" spans="1:5" x14ac:dyDescent="0.25">
      <c r="A107" s="172">
        <v>2021</v>
      </c>
      <c r="B107" s="167" t="s">
        <v>127</v>
      </c>
      <c r="C107" s="171" t="s">
        <v>127</v>
      </c>
      <c r="D107" s="167" t="s">
        <v>480</v>
      </c>
      <c r="E107" s="168">
        <v>551</v>
      </c>
    </row>
    <row r="108" spans="1:5" x14ac:dyDescent="0.25">
      <c r="A108" s="172">
        <v>2021</v>
      </c>
      <c r="B108" s="167" t="s">
        <v>128</v>
      </c>
      <c r="C108" s="171" t="s">
        <v>128</v>
      </c>
      <c r="D108" s="167" t="s">
        <v>481</v>
      </c>
      <c r="E108" s="168">
        <v>3070</v>
      </c>
    </row>
    <row r="109" spans="1:5" x14ac:dyDescent="0.25">
      <c r="A109" s="172">
        <v>2021</v>
      </c>
      <c r="B109" s="167" t="s">
        <v>129</v>
      </c>
      <c r="C109" s="171" t="s">
        <v>129</v>
      </c>
      <c r="D109" s="167" t="s">
        <v>482</v>
      </c>
      <c r="E109" s="168">
        <v>231</v>
      </c>
    </row>
    <row r="110" spans="1:5" x14ac:dyDescent="0.25">
      <c r="A110" s="172">
        <v>2021</v>
      </c>
      <c r="B110" s="167" t="s">
        <v>130</v>
      </c>
      <c r="C110" s="171" t="s">
        <v>130</v>
      </c>
      <c r="D110" s="167" t="s">
        <v>483</v>
      </c>
      <c r="E110" s="168">
        <v>4689</v>
      </c>
    </row>
    <row r="111" spans="1:5" x14ac:dyDescent="0.25">
      <c r="A111" s="172">
        <v>2021</v>
      </c>
      <c r="B111" s="167" t="s">
        <v>131</v>
      </c>
      <c r="C111" s="171" t="s">
        <v>131</v>
      </c>
      <c r="D111" s="167" t="s">
        <v>484</v>
      </c>
      <c r="E111" s="168">
        <v>3997</v>
      </c>
    </row>
    <row r="112" spans="1:5" x14ac:dyDescent="0.25">
      <c r="A112" s="172">
        <v>2021</v>
      </c>
      <c r="B112" s="167" t="s">
        <v>132</v>
      </c>
      <c r="C112" s="171" t="s">
        <v>132</v>
      </c>
      <c r="D112" s="167" t="s">
        <v>485</v>
      </c>
      <c r="E112" s="168">
        <v>0</v>
      </c>
    </row>
    <row r="113" spans="1:5" x14ac:dyDescent="0.25">
      <c r="A113" s="172">
        <v>2021</v>
      </c>
      <c r="B113" s="167" t="s">
        <v>133</v>
      </c>
      <c r="C113" s="171" t="s">
        <v>133</v>
      </c>
      <c r="D113" s="167" t="s">
        <v>486</v>
      </c>
      <c r="E113" s="168">
        <v>0</v>
      </c>
    </row>
    <row r="114" spans="1:5" x14ac:dyDescent="0.25">
      <c r="A114" s="172">
        <v>2021</v>
      </c>
      <c r="B114" s="167" t="s">
        <v>134</v>
      </c>
      <c r="C114" s="171" t="s">
        <v>134</v>
      </c>
      <c r="D114" s="167" t="s">
        <v>487</v>
      </c>
      <c r="E114" s="168">
        <v>1015</v>
      </c>
    </row>
    <row r="115" spans="1:5" x14ac:dyDescent="0.25">
      <c r="A115" s="172">
        <v>2021</v>
      </c>
      <c r="B115" s="167" t="s">
        <v>135</v>
      </c>
      <c r="C115" s="171" t="s">
        <v>135</v>
      </c>
      <c r="D115" s="167" t="s">
        <v>488</v>
      </c>
      <c r="E115" s="168">
        <v>53</v>
      </c>
    </row>
    <row r="116" spans="1:5" x14ac:dyDescent="0.25">
      <c r="A116" s="172">
        <v>2021</v>
      </c>
      <c r="B116" s="167" t="s">
        <v>136</v>
      </c>
      <c r="C116" s="171" t="s">
        <v>136</v>
      </c>
      <c r="D116" s="167" t="s">
        <v>489</v>
      </c>
      <c r="E116" s="168">
        <v>229</v>
      </c>
    </row>
    <row r="117" spans="1:5" x14ac:dyDescent="0.25">
      <c r="A117" s="172">
        <v>2021</v>
      </c>
      <c r="B117" s="167" t="s">
        <v>137</v>
      </c>
      <c r="C117" s="171" t="s">
        <v>137</v>
      </c>
      <c r="D117" s="167" t="s">
        <v>490</v>
      </c>
      <c r="E117" s="168">
        <v>389</v>
      </c>
    </row>
    <row r="118" spans="1:5" x14ac:dyDescent="0.25">
      <c r="A118" s="172">
        <v>2021</v>
      </c>
      <c r="B118" s="167" t="s">
        <v>138</v>
      </c>
      <c r="C118" s="171" t="s">
        <v>138</v>
      </c>
      <c r="D118" s="167" t="s">
        <v>491</v>
      </c>
      <c r="E118" s="168">
        <v>2909</v>
      </c>
    </row>
    <row r="119" spans="1:5" x14ac:dyDescent="0.25">
      <c r="A119" s="172">
        <v>2021</v>
      </c>
      <c r="B119" s="167" t="s">
        <v>139</v>
      </c>
      <c r="C119" s="171" t="s">
        <v>139</v>
      </c>
      <c r="D119" s="167" t="s">
        <v>492</v>
      </c>
      <c r="E119" s="168">
        <v>265</v>
      </c>
    </row>
    <row r="120" spans="1:5" x14ac:dyDescent="0.25">
      <c r="A120" s="172">
        <v>2021</v>
      </c>
      <c r="B120" s="167" t="s">
        <v>140</v>
      </c>
      <c r="C120" s="171" t="s">
        <v>140</v>
      </c>
      <c r="D120" s="167" t="s">
        <v>493</v>
      </c>
      <c r="E120" s="168">
        <v>2001</v>
      </c>
    </row>
    <row r="121" spans="1:5" x14ac:dyDescent="0.25">
      <c r="A121" s="172">
        <v>2021</v>
      </c>
      <c r="B121" s="167" t="s">
        <v>141</v>
      </c>
      <c r="C121" s="171" t="s">
        <v>141</v>
      </c>
      <c r="D121" s="167" t="s">
        <v>494</v>
      </c>
      <c r="E121" s="168">
        <v>2571</v>
      </c>
    </row>
    <row r="122" spans="1:5" x14ac:dyDescent="0.25">
      <c r="A122" s="172">
        <v>2021</v>
      </c>
      <c r="B122" s="167" t="s">
        <v>142</v>
      </c>
      <c r="C122" s="171" t="s">
        <v>142</v>
      </c>
      <c r="D122" s="167" t="s">
        <v>495</v>
      </c>
      <c r="E122" s="168">
        <v>965</v>
      </c>
    </row>
    <row r="123" spans="1:5" x14ac:dyDescent="0.25">
      <c r="A123" s="172">
        <v>2021</v>
      </c>
      <c r="B123" s="167" t="s">
        <v>145</v>
      </c>
      <c r="C123" s="171" t="s">
        <v>145</v>
      </c>
      <c r="D123" s="167" t="s">
        <v>4</v>
      </c>
      <c r="E123" s="168">
        <v>541</v>
      </c>
    </row>
    <row r="124" spans="1:5" x14ac:dyDescent="0.25">
      <c r="A124" s="172">
        <v>2021</v>
      </c>
      <c r="B124" s="167" t="s">
        <v>143</v>
      </c>
      <c r="C124" s="171" t="s">
        <v>143</v>
      </c>
      <c r="D124" s="167" t="s">
        <v>496</v>
      </c>
      <c r="E124" s="168">
        <v>1338</v>
      </c>
    </row>
    <row r="125" spans="1:5" x14ac:dyDescent="0.25">
      <c r="A125" s="172">
        <v>2021</v>
      </c>
      <c r="B125" s="167" t="s">
        <v>172</v>
      </c>
      <c r="C125" s="171" t="s">
        <v>172</v>
      </c>
      <c r="D125" s="167" t="s">
        <v>522</v>
      </c>
      <c r="E125" s="168">
        <v>4072</v>
      </c>
    </row>
    <row r="126" spans="1:5" x14ac:dyDescent="0.25">
      <c r="A126" s="172">
        <v>2021</v>
      </c>
      <c r="B126" s="167" t="s">
        <v>146</v>
      </c>
      <c r="C126" s="171" t="s">
        <v>146</v>
      </c>
      <c r="D126" s="167" t="s">
        <v>498</v>
      </c>
      <c r="E126" s="168">
        <v>1561</v>
      </c>
    </row>
    <row r="127" spans="1:5" x14ac:dyDescent="0.25">
      <c r="A127" s="172">
        <v>2021</v>
      </c>
      <c r="B127" s="167" t="s">
        <v>147</v>
      </c>
      <c r="C127" s="171" t="s">
        <v>147</v>
      </c>
      <c r="D127" s="167" t="s">
        <v>499</v>
      </c>
      <c r="E127" s="168">
        <v>1888</v>
      </c>
    </row>
    <row r="128" spans="1:5" x14ac:dyDescent="0.25">
      <c r="A128" s="172">
        <v>2021</v>
      </c>
      <c r="B128" s="167" t="s">
        <v>148</v>
      </c>
      <c r="C128" s="171" t="s">
        <v>148</v>
      </c>
      <c r="D128" s="167" t="s">
        <v>500</v>
      </c>
      <c r="E128" s="168">
        <v>2367</v>
      </c>
    </row>
    <row r="129" spans="1:5" x14ac:dyDescent="0.25">
      <c r="A129" s="172">
        <v>2021</v>
      </c>
      <c r="B129" s="167" t="s">
        <v>149</v>
      </c>
      <c r="C129" s="171" t="s">
        <v>149</v>
      </c>
      <c r="D129" s="167" t="s">
        <v>501</v>
      </c>
      <c r="E129" s="168">
        <v>166</v>
      </c>
    </row>
    <row r="130" spans="1:5" x14ac:dyDescent="0.25">
      <c r="A130" s="172">
        <v>2021</v>
      </c>
      <c r="B130" s="167" t="s">
        <v>152</v>
      </c>
      <c r="C130" s="171" t="s">
        <v>152</v>
      </c>
      <c r="D130" s="167" t="s">
        <v>503</v>
      </c>
      <c r="E130" s="168">
        <v>764</v>
      </c>
    </row>
    <row r="131" spans="1:5" x14ac:dyDescent="0.25">
      <c r="A131" s="172">
        <v>2021</v>
      </c>
      <c r="B131" s="167" t="s">
        <v>153</v>
      </c>
      <c r="C131" s="171" t="s">
        <v>153</v>
      </c>
      <c r="D131" s="167" t="s">
        <v>504</v>
      </c>
      <c r="E131" s="168">
        <v>572</v>
      </c>
    </row>
    <row r="132" spans="1:5" x14ac:dyDescent="0.25">
      <c r="A132" s="172">
        <v>2021</v>
      </c>
      <c r="B132" s="167" t="s">
        <v>154</v>
      </c>
      <c r="C132" s="171" t="s">
        <v>154</v>
      </c>
      <c r="D132" s="167" t="s">
        <v>505</v>
      </c>
      <c r="E132" s="168">
        <v>2314</v>
      </c>
    </row>
    <row r="133" spans="1:5" x14ac:dyDescent="0.25">
      <c r="A133" s="172">
        <v>2021</v>
      </c>
      <c r="B133" s="167" t="s">
        <v>156</v>
      </c>
      <c r="C133" s="171" t="s">
        <v>156</v>
      </c>
      <c r="D133" s="167" t="s">
        <v>506</v>
      </c>
      <c r="E133" s="168">
        <v>0</v>
      </c>
    </row>
    <row r="134" spans="1:5" x14ac:dyDescent="0.25">
      <c r="A134" s="172">
        <v>2021</v>
      </c>
      <c r="B134" s="167" t="s">
        <v>157</v>
      </c>
      <c r="C134" s="171" t="s">
        <v>157</v>
      </c>
      <c r="D134" s="167" t="s">
        <v>507</v>
      </c>
      <c r="E134" s="168">
        <v>1243</v>
      </c>
    </row>
    <row r="135" spans="1:5" x14ac:dyDescent="0.25">
      <c r="A135" s="172">
        <v>2021</v>
      </c>
      <c r="B135" s="167" t="s">
        <v>158</v>
      </c>
      <c r="C135" s="171" t="s">
        <v>158</v>
      </c>
      <c r="D135" s="167" t="s">
        <v>508</v>
      </c>
      <c r="E135" s="168">
        <v>2990</v>
      </c>
    </row>
    <row r="136" spans="1:5" x14ac:dyDescent="0.25">
      <c r="A136" s="172">
        <v>2021</v>
      </c>
      <c r="B136" s="167" t="s">
        <v>159</v>
      </c>
      <c r="C136" s="171" t="s">
        <v>159</v>
      </c>
      <c r="D136" s="167" t="s">
        <v>509</v>
      </c>
      <c r="E136" s="168">
        <v>466</v>
      </c>
    </row>
    <row r="137" spans="1:5" x14ac:dyDescent="0.25">
      <c r="A137" s="172">
        <v>2021</v>
      </c>
      <c r="B137" s="167" t="s">
        <v>151</v>
      </c>
      <c r="C137" s="171" t="s">
        <v>151</v>
      </c>
      <c r="D137" s="167" t="s">
        <v>5</v>
      </c>
      <c r="E137" s="168">
        <v>757</v>
      </c>
    </row>
    <row r="138" spans="1:5" x14ac:dyDescent="0.25">
      <c r="A138" s="172">
        <v>2021</v>
      </c>
      <c r="B138" s="167" t="s">
        <v>160</v>
      </c>
      <c r="C138" s="171" t="s">
        <v>160</v>
      </c>
      <c r="D138" s="167" t="s">
        <v>510</v>
      </c>
      <c r="E138" s="168">
        <v>3499</v>
      </c>
    </row>
    <row r="139" spans="1:5" x14ac:dyDescent="0.25">
      <c r="A139" s="172">
        <v>2021</v>
      </c>
      <c r="B139" s="167" t="s">
        <v>161</v>
      </c>
      <c r="C139" s="171" t="s">
        <v>161</v>
      </c>
      <c r="D139" s="167" t="s">
        <v>511</v>
      </c>
      <c r="E139" s="168">
        <v>829</v>
      </c>
    </row>
    <row r="140" spans="1:5" x14ac:dyDescent="0.25">
      <c r="A140" s="172">
        <v>2021</v>
      </c>
      <c r="B140" s="167" t="s">
        <v>162</v>
      </c>
      <c r="C140" s="171" t="s">
        <v>162</v>
      </c>
      <c r="D140" s="167" t="s">
        <v>512</v>
      </c>
      <c r="E140" s="168">
        <v>1475</v>
      </c>
    </row>
    <row r="141" spans="1:5" x14ac:dyDescent="0.25">
      <c r="A141" s="172">
        <v>2021</v>
      </c>
      <c r="B141" s="167" t="s">
        <v>163</v>
      </c>
      <c r="C141" s="171" t="s">
        <v>163</v>
      </c>
      <c r="D141" s="167" t="s">
        <v>513</v>
      </c>
      <c r="E141" s="168">
        <v>3622</v>
      </c>
    </row>
    <row r="142" spans="1:5" x14ac:dyDescent="0.25">
      <c r="A142" s="172">
        <v>2021</v>
      </c>
      <c r="B142" s="167" t="s">
        <v>170</v>
      </c>
      <c r="C142" s="171" t="s">
        <v>170</v>
      </c>
      <c r="D142" s="167" t="s">
        <v>520</v>
      </c>
      <c r="E142" s="168">
        <v>2734</v>
      </c>
    </row>
    <row r="143" spans="1:5" x14ac:dyDescent="0.25">
      <c r="A143" s="172">
        <v>2021</v>
      </c>
      <c r="B143" s="167" t="s">
        <v>164</v>
      </c>
      <c r="C143" s="171" t="s">
        <v>164</v>
      </c>
      <c r="D143" s="167" t="s">
        <v>514</v>
      </c>
      <c r="E143" s="168">
        <v>1271</v>
      </c>
    </row>
    <row r="144" spans="1:5" x14ac:dyDescent="0.25">
      <c r="A144" s="172">
        <v>2021</v>
      </c>
      <c r="B144" s="167" t="s">
        <v>165</v>
      </c>
      <c r="C144" s="171" t="s">
        <v>165</v>
      </c>
      <c r="D144" s="167" t="s">
        <v>515</v>
      </c>
      <c r="E144" s="168">
        <v>4697</v>
      </c>
    </row>
    <row r="145" spans="1:5" x14ac:dyDescent="0.25">
      <c r="A145" s="172">
        <v>2021</v>
      </c>
      <c r="B145" s="167" t="s">
        <v>166</v>
      </c>
      <c r="C145" s="171" t="s">
        <v>166</v>
      </c>
      <c r="D145" s="167" t="s">
        <v>516</v>
      </c>
      <c r="E145" s="168">
        <v>241</v>
      </c>
    </row>
    <row r="146" spans="1:5" x14ac:dyDescent="0.25">
      <c r="A146" s="172">
        <v>2021</v>
      </c>
      <c r="B146" s="167" t="s">
        <v>167</v>
      </c>
      <c r="C146" s="171" t="s">
        <v>167</v>
      </c>
      <c r="D146" s="167" t="s">
        <v>517</v>
      </c>
      <c r="E146" s="168">
        <v>49597</v>
      </c>
    </row>
    <row r="147" spans="1:5" x14ac:dyDescent="0.25">
      <c r="A147" s="172">
        <v>2021</v>
      </c>
      <c r="B147" s="167" t="s">
        <v>168</v>
      </c>
      <c r="C147" s="171" t="s">
        <v>168</v>
      </c>
      <c r="D147" s="167" t="s">
        <v>518</v>
      </c>
      <c r="E147" s="168">
        <v>1668</v>
      </c>
    </row>
    <row r="148" spans="1:5" x14ac:dyDescent="0.25">
      <c r="A148" s="172">
        <v>2021</v>
      </c>
      <c r="B148" s="167" t="s">
        <v>169</v>
      </c>
      <c r="C148" s="171" t="s">
        <v>169</v>
      </c>
      <c r="D148" s="167" t="s">
        <v>519</v>
      </c>
      <c r="E148" s="168">
        <v>875</v>
      </c>
    </row>
    <row r="149" spans="1:5" x14ac:dyDescent="0.25">
      <c r="A149" s="172">
        <v>2021</v>
      </c>
      <c r="B149" s="167" t="s">
        <v>171</v>
      </c>
      <c r="C149" s="171" t="s">
        <v>171</v>
      </c>
      <c r="D149" s="167" t="s">
        <v>521</v>
      </c>
      <c r="E149" s="168">
        <v>399</v>
      </c>
    </row>
    <row r="150" spans="1:5" x14ac:dyDescent="0.25">
      <c r="A150" s="172">
        <v>2021</v>
      </c>
      <c r="B150" s="167" t="s">
        <v>173</v>
      </c>
      <c r="C150" s="171" t="s">
        <v>173</v>
      </c>
      <c r="D150" s="167" t="s">
        <v>523</v>
      </c>
      <c r="E150" s="168">
        <v>1168</v>
      </c>
    </row>
    <row r="151" spans="1:5" x14ac:dyDescent="0.25">
      <c r="A151" s="172">
        <v>2021</v>
      </c>
      <c r="B151" s="167" t="s">
        <v>174</v>
      </c>
      <c r="C151" s="171" t="s">
        <v>174</v>
      </c>
      <c r="D151" s="167" t="s">
        <v>524</v>
      </c>
      <c r="E151" s="168">
        <v>22644</v>
      </c>
    </row>
    <row r="152" spans="1:5" x14ac:dyDescent="0.25">
      <c r="A152" s="172">
        <v>2021</v>
      </c>
      <c r="B152" s="167" t="s">
        <v>175</v>
      </c>
      <c r="C152" s="171" t="s">
        <v>175</v>
      </c>
      <c r="D152" s="167" t="s">
        <v>525</v>
      </c>
      <c r="E152" s="168">
        <v>0</v>
      </c>
    </row>
    <row r="153" spans="1:5" x14ac:dyDescent="0.25">
      <c r="A153" s="172">
        <v>2021</v>
      </c>
      <c r="B153" s="167" t="s">
        <v>176</v>
      </c>
      <c r="C153" s="171" t="s">
        <v>176</v>
      </c>
      <c r="D153" s="167" t="s">
        <v>526</v>
      </c>
      <c r="E153" s="168">
        <v>288</v>
      </c>
    </row>
    <row r="154" spans="1:5" x14ac:dyDescent="0.25">
      <c r="A154" s="172">
        <v>2021</v>
      </c>
      <c r="B154" s="167" t="s">
        <v>177</v>
      </c>
      <c r="C154" s="171" t="s">
        <v>177</v>
      </c>
      <c r="D154" s="167" t="s">
        <v>527</v>
      </c>
      <c r="E154" s="168">
        <v>301</v>
      </c>
    </row>
    <row r="155" spans="1:5" x14ac:dyDescent="0.25">
      <c r="A155" s="172">
        <v>2021</v>
      </c>
      <c r="B155" s="167" t="s">
        <v>178</v>
      </c>
      <c r="C155" s="171" t="s">
        <v>178</v>
      </c>
      <c r="D155" s="167" t="s">
        <v>528</v>
      </c>
      <c r="E155" s="168">
        <v>317</v>
      </c>
    </row>
    <row r="156" spans="1:5" x14ac:dyDescent="0.25">
      <c r="A156" s="172">
        <v>2021</v>
      </c>
      <c r="B156" s="167" t="s">
        <v>179</v>
      </c>
      <c r="C156" s="171" t="s">
        <v>179</v>
      </c>
      <c r="D156" s="167" t="s">
        <v>529</v>
      </c>
      <c r="E156" s="168">
        <v>1202</v>
      </c>
    </row>
    <row r="157" spans="1:5" x14ac:dyDescent="0.25">
      <c r="A157" s="172">
        <v>2021</v>
      </c>
      <c r="B157" s="167" t="s">
        <v>180</v>
      </c>
      <c r="C157" s="171" t="s">
        <v>180</v>
      </c>
      <c r="D157" s="167" t="s">
        <v>530</v>
      </c>
      <c r="E157" s="168">
        <v>123</v>
      </c>
    </row>
    <row r="158" spans="1:5" x14ac:dyDescent="0.25">
      <c r="A158" s="172">
        <v>2021</v>
      </c>
      <c r="B158" s="167" t="s">
        <v>181</v>
      </c>
      <c r="C158" s="171" t="s">
        <v>181</v>
      </c>
      <c r="D158" s="167" t="s">
        <v>531</v>
      </c>
      <c r="E158" s="168">
        <v>1601</v>
      </c>
    </row>
    <row r="159" spans="1:5" x14ac:dyDescent="0.25">
      <c r="A159" s="172">
        <v>2021</v>
      </c>
      <c r="B159" s="167" t="s">
        <v>182</v>
      </c>
      <c r="C159" s="171" t="s">
        <v>182</v>
      </c>
      <c r="D159" s="167" t="s">
        <v>532</v>
      </c>
      <c r="E159" s="168">
        <v>162</v>
      </c>
    </row>
    <row r="160" spans="1:5" x14ac:dyDescent="0.25">
      <c r="A160" s="172">
        <v>2021</v>
      </c>
      <c r="B160" s="167" t="s">
        <v>184</v>
      </c>
      <c r="C160" s="171" t="s">
        <v>184</v>
      </c>
      <c r="D160" s="167" t="s">
        <v>534</v>
      </c>
      <c r="E160" s="168">
        <v>0</v>
      </c>
    </row>
    <row r="161" spans="1:5" x14ac:dyDescent="0.25">
      <c r="A161" s="172">
        <v>2021</v>
      </c>
      <c r="B161" s="167" t="s">
        <v>185</v>
      </c>
      <c r="C161" s="171" t="s">
        <v>185</v>
      </c>
      <c r="D161" s="167" t="s">
        <v>535</v>
      </c>
      <c r="E161" s="168">
        <v>491</v>
      </c>
    </row>
    <row r="162" spans="1:5" x14ac:dyDescent="0.25">
      <c r="A162" s="172">
        <v>2021</v>
      </c>
      <c r="B162" s="167" t="s">
        <v>186</v>
      </c>
      <c r="C162" s="171" t="s">
        <v>186</v>
      </c>
      <c r="D162" s="167" t="s">
        <v>536</v>
      </c>
      <c r="E162" s="168">
        <v>0</v>
      </c>
    </row>
    <row r="163" spans="1:5" x14ac:dyDescent="0.25">
      <c r="A163" s="172">
        <v>2021</v>
      </c>
      <c r="B163" s="167" t="s">
        <v>188</v>
      </c>
      <c r="C163" s="171" t="s">
        <v>188</v>
      </c>
      <c r="D163" s="167" t="s">
        <v>538</v>
      </c>
      <c r="E163" s="168">
        <v>21385</v>
      </c>
    </row>
    <row r="164" spans="1:5" x14ac:dyDescent="0.25">
      <c r="A164" s="172">
        <v>2021</v>
      </c>
      <c r="B164" s="167" t="s">
        <v>189</v>
      </c>
      <c r="C164" s="171" t="s">
        <v>189</v>
      </c>
      <c r="D164" s="167" t="s">
        <v>539</v>
      </c>
      <c r="E164" s="168">
        <v>1256</v>
      </c>
    </row>
    <row r="165" spans="1:5" x14ac:dyDescent="0.25">
      <c r="A165" s="172">
        <v>2021</v>
      </c>
      <c r="B165" s="167" t="s">
        <v>190</v>
      </c>
      <c r="C165" s="171" t="s">
        <v>190</v>
      </c>
      <c r="D165" s="167" t="s">
        <v>540</v>
      </c>
      <c r="E165" s="168">
        <v>1801</v>
      </c>
    </row>
    <row r="166" spans="1:5" x14ac:dyDescent="0.25">
      <c r="A166" s="172">
        <v>2021</v>
      </c>
      <c r="B166" s="167" t="s">
        <v>191</v>
      </c>
      <c r="C166" s="171" t="s">
        <v>191</v>
      </c>
      <c r="D166" s="167" t="s">
        <v>541</v>
      </c>
      <c r="E166" s="168">
        <v>447</v>
      </c>
    </row>
    <row r="167" spans="1:5" x14ac:dyDescent="0.25">
      <c r="A167" s="172">
        <v>2021</v>
      </c>
      <c r="B167" s="167" t="s">
        <v>192</v>
      </c>
      <c r="C167" s="171" t="s">
        <v>192</v>
      </c>
      <c r="D167" s="167" t="s">
        <v>542</v>
      </c>
      <c r="E167" s="168">
        <v>849</v>
      </c>
    </row>
    <row r="168" spans="1:5" x14ac:dyDescent="0.25">
      <c r="A168" s="172">
        <v>2021</v>
      </c>
      <c r="B168" s="167" t="s">
        <v>193</v>
      </c>
      <c r="C168" s="171" t="s">
        <v>193</v>
      </c>
      <c r="D168" s="167" t="s">
        <v>543</v>
      </c>
      <c r="E168" s="168">
        <v>681</v>
      </c>
    </row>
    <row r="169" spans="1:5" x14ac:dyDescent="0.25">
      <c r="A169" s="172">
        <v>2021</v>
      </c>
      <c r="B169" s="167" t="s">
        <v>194</v>
      </c>
      <c r="C169" s="171" t="s">
        <v>194</v>
      </c>
      <c r="D169" s="167" t="s">
        <v>544</v>
      </c>
      <c r="E169" s="168">
        <v>1511</v>
      </c>
    </row>
    <row r="170" spans="1:5" x14ac:dyDescent="0.25">
      <c r="A170" s="172">
        <v>2021</v>
      </c>
      <c r="B170" s="167" t="s">
        <v>195</v>
      </c>
      <c r="C170" s="171" t="s">
        <v>195</v>
      </c>
      <c r="D170" s="167" t="s">
        <v>545</v>
      </c>
      <c r="E170" s="168">
        <v>1212</v>
      </c>
    </row>
    <row r="171" spans="1:5" x14ac:dyDescent="0.25">
      <c r="A171" s="172">
        <v>2021</v>
      </c>
      <c r="B171" s="167" t="s">
        <v>197</v>
      </c>
      <c r="C171" s="171" t="s">
        <v>197</v>
      </c>
      <c r="D171" s="167" t="s">
        <v>547</v>
      </c>
      <c r="E171" s="168">
        <v>1348</v>
      </c>
    </row>
    <row r="172" spans="1:5" x14ac:dyDescent="0.25">
      <c r="A172" s="172">
        <v>2021</v>
      </c>
      <c r="B172" s="167" t="s">
        <v>198</v>
      </c>
      <c r="C172" s="171" t="s">
        <v>198</v>
      </c>
      <c r="D172" s="167" t="s">
        <v>548</v>
      </c>
      <c r="E172" s="168">
        <v>35</v>
      </c>
    </row>
    <row r="173" spans="1:5" x14ac:dyDescent="0.25">
      <c r="A173" s="172">
        <v>2021</v>
      </c>
      <c r="B173" s="167" t="s">
        <v>199</v>
      </c>
      <c r="C173" s="171" t="s">
        <v>199</v>
      </c>
      <c r="D173" s="167" t="s">
        <v>549</v>
      </c>
      <c r="E173" s="168">
        <v>553</v>
      </c>
    </row>
    <row r="174" spans="1:5" x14ac:dyDescent="0.25">
      <c r="A174" s="172">
        <v>2021</v>
      </c>
      <c r="B174" s="167" t="s">
        <v>200</v>
      </c>
      <c r="C174" s="171" t="s">
        <v>200</v>
      </c>
      <c r="D174" s="167" t="s">
        <v>550</v>
      </c>
      <c r="E174" s="168">
        <v>64</v>
      </c>
    </row>
    <row r="175" spans="1:5" x14ac:dyDescent="0.25">
      <c r="A175" s="172">
        <v>2021</v>
      </c>
      <c r="B175" s="167" t="s">
        <v>201</v>
      </c>
      <c r="C175" s="171" t="s">
        <v>201</v>
      </c>
      <c r="D175" s="167" t="s">
        <v>551</v>
      </c>
      <c r="E175" s="168">
        <v>815</v>
      </c>
    </row>
    <row r="176" spans="1:5" x14ac:dyDescent="0.25">
      <c r="A176" s="172">
        <v>2021</v>
      </c>
      <c r="B176" s="167" t="s">
        <v>202</v>
      </c>
      <c r="C176" s="171" t="s">
        <v>202</v>
      </c>
      <c r="D176" s="167" t="s">
        <v>552</v>
      </c>
      <c r="E176" s="168">
        <v>3666</v>
      </c>
    </row>
    <row r="177" spans="1:5" x14ac:dyDescent="0.25">
      <c r="A177" s="172">
        <v>2021</v>
      </c>
      <c r="B177" s="167" t="s">
        <v>203</v>
      </c>
      <c r="C177" s="171" t="s">
        <v>203</v>
      </c>
      <c r="D177" s="167" t="s">
        <v>553</v>
      </c>
      <c r="E177" s="168">
        <v>13460</v>
      </c>
    </row>
    <row r="178" spans="1:5" x14ac:dyDescent="0.25">
      <c r="A178" s="172">
        <v>2021</v>
      </c>
      <c r="B178" s="167" t="s">
        <v>204</v>
      </c>
      <c r="C178" s="171" t="s">
        <v>204</v>
      </c>
      <c r="D178" s="167" t="s">
        <v>554</v>
      </c>
      <c r="E178" s="168">
        <v>608</v>
      </c>
    </row>
    <row r="179" spans="1:5" x14ac:dyDescent="0.25">
      <c r="A179" s="172">
        <v>2021</v>
      </c>
      <c r="B179" s="167" t="s">
        <v>205</v>
      </c>
      <c r="C179" s="171" t="s">
        <v>205</v>
      </c>
      <c r="D179" s="167" t="s">
        <v>555</v>
      </c>
      <c r="E179" s="168">
        <v>32966</v>
      </c>
    </row>
    <row r="180" spans="1:5" x14ac:dyDescent="0.25">
      <c r="A180" s="172">
        <v>2021</v>
      </c>
      <c r="B180" s="167" t="s">
        <v>207</v>
      </c>
      <c r="C180" s="171" t="s">
        <v>207</v>
      </c>
      <c r="D180" s="167" t="s">
        <v>557</v>
      </c>
      <c r="E180" s="168">
        <v>874</v>
      </c>
    </row>
    <row r="181" spans="1:5" x14ac:dyDescent="0.25">
      <c r="A181" s="172">
        <v>2021</v>
      </c>
      <c r="B181" s="167" t="s">
        <v>208</v>
      </c>
      <c r="C181" s="171" t="s">
        <v>208</v>
      </c>
      <c r="D181" s="167" t="s">
        <v>558</v>
      </c>
      <c r="E181" s="168">
        <v>0</v>
      </c>
    </row>
    <row r="182" spans="1:5" x14ac:dyDescent="0.25">
      <c r="A182" s="172">
        <v>2021</v>
      </c>
      <c r="B182" s="167" t="s">
        <v>212</v>
      </c>
      <c r="C182" s="171" t="s">
        <v>212</v>
      </c>
      <c r="D182" s="167" t="s">
        <v>562</v>
      </c>
      <c r="E182" s="168">
        <v>1539</v>
      </c>
    </row>
    <row r="183" spans="1:5" x14ac:dyDescent="0.25">
      <c r="A183" s="172">
        <v>2021</v>
      </c>
      <c r="B183" s="167" t="s">
        <v>209</v>
      </c>
      <c r="C183" s="171" t="s">
        <v>209</v>
      </c>
      <c r="D183" s="167" t="s">
        <v>559</v>
      </c>
      <c r="E183" s="168">
        <v>355</v>
      </c>
    </row>
    <row r="184" spans="1:5" x14ac:dyDescent="0.25">
      <c r="A184" s="172">
        <v>2021</v>
      </c>
      <c r="B184" s="167" t="s">
        <v>210</v>
      </c>
      <c r="C184" s="171" t="s">
        <v>210</v>
      </c>
      <c r="D184" s="167" t="s">
        <v>560</v>
      </c>
      <c r="E184" s="168">
        <v>2630</v>
      </c>
    </row>
    <row r="185" spans="1:5" x14ac:dyDescent="0.25">
      <c r="A185" s="172">
        <v>2021</v>
      </c>
      <c r="B185" s="167" t="s">
        <v>211</v>
      </c>
      <c r="C185" s="171" t="s">
        <v>211</v>
      </c>
      <c r="D185" s="167" t="s">
        <v>561</v>
      </c>
      <c r="E185" s="168">
        <v>354</v>
      </c>
    </row>
    <row r="186" spans="1:5" x14ac:dyDescent="0.25">
      <c r="A186" s="172">
        <v>2021</v>
      </c>
      <c r="B186" s="167" t="s">
        <v>206</v>
      </c>
      <c r="C186" s="171" t="s">
        <v>206</v>
      </c>
      <c r="D186" s="167" t="s">
        <v>556</v>
      </c>
      <c r="E186" s="168">
        <v>931</v>
      </c>
    </row>
    <row r="187" spans="1:5" x14ac:dyDescent="0.25">
      <c r="A187" s="172">
        <v>2021</v>
      </c>
      <c r="B187" s="167" t="s">
        <v>213</v>
      </c>
      <c r="C187" s="171" t="s">
        <v>213</v>
      </c>
      <c r="D187" s="167" t="s">
        <v>563</v>
      </c>
      <c r="E187" s="168">
        <v>397</v>
      </c>
    </row>
    <row r="188" spans="1:5" x14ac:dyDescent="0.25">
      <c r="A188" s="172">
        <v>2021</v>
      </c>
      <c r="B188" s="167" t="s">
        <v>214</v>
      </c>
      <c r="C188" s="171" t="s">
        <v>214</v>
      </c>
      <c r="D188" s="167" t="s">
        <v>564</v>
      </c>
      <c r="E188" s="168">
        <v>2205</v>
      </c>
    </row>
    <row r="189" spans="1:5" x14ac:dyDescent="0.25">
      <c r="A189" s="172">
        <v>2021</v>
      </c>
      <c r="B189" s="167" t="s">
        <v>215</v>
      </c>
      <c r="C189" s="171" t="s">
        <v>215</v>
      </c>
      <c r="D189" s="167" t="s">
        <v>565</v>
      </c>
      <c r="E189" s="168">
        <v>0</v>
      </c>
    </row>
    <row r="190" spans="1:5" x14ac:dyDescent="0.25">
      <c r="A190" s="172">
        <v>2021</v>
      </c>
      <c r="B190" s="167" t="s">
        <v>216</v>
      </c>
      <c r="C190" s="171" t="s">
        <v>216</v>
      </c>
      <c r="D190" s="167" t="s">
        <v>566</v>
      </c>
      <c r="E190" s="168">
        <v>0</v>
      </c>
    </row>
    <row r="191" spans="1:5" x14ac:dyDescent="0.25">
      <c r="A191" s="172">
        <v>2021</v>
      </c>
      <c r="B191" s="167" t="s">
        <v>217</v>
      </c>
      <c r="C191" s="171" t="s">
        <v>217</v>
      </c>
      <c r="D191" s="167" t="s">
        <v>567</v>
      </c>
      <c r="E191" s="168">
        <v>1044</v>
      </c>
    </row>
    <row r="192" spans="1:5" x14ac:dyDescent="0.25">
      <c r="A192" s="172">
        <v>2021</v>
      </c>
      <c r="B192" s="167" t="s">
        <v>218</v>
      </c>
      <c r="C192" s="171" t="s">
        <v>218</v>
      </c>
      <c r="D192" s="167" t="s">
        <v>568</v>
      </c>
      <c r="E192" s="168">
        <v>0</v>
      </c>
    </row>
    <row r="193" spans="1:5" x14ac:dyDescent="0.25">
      <c r="A193" s="172">
        <v>2021</v>
      </c>
      <c r="B193" s="167" t="s">
        <v>219</v>
      </c>
      <c r="C193" s="171" t="s">
        <v>219</v>
      </c>
      <c r="D193" s="167" t="s">
        <v>569</v>
      </c>
      <c r="E193" s="168">
        <v>1294</v>
      </c>
    </row>
    <row r="194" spans="1:5" x14ac:dyDescent="0.25">
      <c r="A194" s="172">
        <v>2021</v>
      </c>
      <c r="B194" s="167" t="s">
        <v>220</v>
      </c>
      <c r="C194" s="171" t="s">
        <v>220</v>
      </c>
      <c r="D194" s="167" t="s">
        <v>570</v>
      </c>
      <c r="E194" s="168">
        <v>1837</v>
      </c>
    </row>
    <row r="195" spans="1:5" x14ac:dyDescent="0.25">
      <c r="A195" s="172">
        <v>2021</v>
      </c>
      <c r="B195" s="167" t="s">
        <v>221</v>
      </c>
      <c r="C195" s="171" t="s">
        <v>221</v>
      </c>
      <c r="D195" s="167" t="s">
        <v>571</v>
      </c>
      <c r="E195" s="168">
        <v>2771</v>
      </c>
    </row>
    <row r="196" spans="1:5" x14ac:dyDescent="0.25">
      <c r="A196" s="172">
        <v>2021</v>
      </c>
      <c r="B196" s="167" t="s">
        <v>222</v>
      </c>
      <c r="C196" s="171" t="s">
        <v>222</v>
      </c>
      <c r="D196" s="167" t="s">
        <v>572</v>
      </c>
      <c r="E196" s="168">
        <v>73</v>
      </c>
    </row>
    <row r="197" spans="1:5" x14ac:dyDescent="0.25">
      <c r="A197" s="172">
        <v>2021</v>
      </c>
      <c r="B197" s="167" t="s">
        <v>223</v>
      </c>
      <c r="C197" s="171" t="s">
        <v>223</v>
      </c>
      <c r="D197" s="167" t="s">
        <v>573</v>
      </c>
      <c r="E197" s="168">
        <v>4162</v>
      </c>
    </row>
    <row r="198" spans="1:5" x14ac:dyDescent="0.25">
      <c r="A198" s="172">
        <v>2021</v>
      </c>
      <c r="B198" s="167" t="s">
        <v>224</v>
      </c>
      <c r="C198" s="171" t="s">
        <v>224</v>
      </c>
      <c r="D198" s="167" t="s">
        <v>574</v>
      </c>
      <c r="E198" s="168">
        <v>234</v>
      </c>
    </row>
    <row r="199" spans="1:5" x14ac:dyDescent="0.25">
      <c r="A199" s="172">
        <v>2021</v>
      </c>
      <c r="B199" s="167" t="s">
        <v>225</v>
      </c>
      <c r="C199" s="171" t="s">
        <v>225</v>
      </c>
      <c r="D199" s="167" t="s">
        <v>575</v>
      </c>
      <c r="E199" s="168">
        <v>2122</v>
      </c>
    </row>
    <row r="200" spans="1:5" x14ac:dyDescent="0.25">
      <c r="A200" s="172">
        <v>2021</v>
      </c>
      <c r="B200" s="167" t="s">
        <v>227</v>
      </c>
      <c r="C200" s="171" t="s">
        <v>227</v>
      </c>
      <c r="D200" s="167" t="s">
        <v>577</v>
      </c>
      <c r="E200" s="168">
        <v>3330</v>
      </c>
    </row>
    <row r="201" spans="1:5" x14ac:dyDescent="0.25">
      <c r="A201" s="172">
        <v>2021</v>
      </c>
      <c r="B201" s="167" t="s">
        <v>228</v>
      </c>
      <c r="C201" s="171" t="s">
        <v>228</v>
      </c>
      <c r="D201" s="167" t="s">
        <v>578</v>
      </c>
      <c r="E201" s="168">
        <v>323</v>
      </c>
    </row>
    <row r="202" spans="1:5" x14ac:dyDescent="0.25">
      <c r="A202" s="172">
        <v>2021</v>
      </c>
      <c r="B202" s="167" t="s">
        <v>226</v>
      </c>
      <c r="C202" s="171" t="s">
        <v>226</v>
      </c>
      <c r="D202" s="167" t="s">
        <v>576</v>
      </c>
      <c r="E202" s="168">
        <v>468</v>
      </c>
    </row>
    <row r="203" spans="1:5" x14ac:dyDescent="0.25">
      <c r="A203" s="172">
        <v>2021</v>
      </c>
      <c r="B203" s="167" t="s">
        <v>229</v>
      </c>
      <c r="C203" s="171" t="s">
        <v>229</v>
      </c>
      <c r="D203" s="167" t="s">
        <v>579</v>
      </c>
      <c r="E203" s="168">
        <v>4400</v>
      </c>
    </row>
    <row r="204" spans="1:5" x14ac:dyDescent="0.25">
      <c r="A204" s="172">
        <v>2021</v>
      </c>
      <c r="B204" s="167" t="s">
        <v>144</v>
      </c>
      <c r="C204" s="171" t="s">
        <v>144</v>
      </c>
      <c r="D204" s="167" t="s">
        <v>497</v>
      </c>
      <c r="E204" s="168">
        <v>1824</v>
      </c>
    </row>
    <row r="205" spans="1:5" x14ac:dyDescent="0.25">
      <c r="A205" s="172">
        <v>2021</v>
      </c>
      <c r="B205" s="167" t="s">
        <v>30</v>
      </c>
      <c r="C205" s="171" t="s">
        <v>30</v>
      </c>
      <c r="D205" s="167" t="s">
        <v>390</v>
      </c>
      <c r="E205" s="168">
        <v>1450</v>
      </c>
    </row>
    <row r="206" spans="1:5" x14ac:dyDescent="0.25">
      <c r="A206" s="172">
        <v>2021</v>
      </c>
      <c r="B206" s="167" t="s">
        <v>187</v>
      </c>
      <c r="C206" s="171" t="s">
        <v>187</v>
      </c>
      <c r="D206" s="167" t="s">
        <v>537</v>
      </c>
      <c r="E206" s="168">
        <v>915</v>
      </c>
    </row>
    <row r="207" spans="1:5" x14ac:dyDescent="0.25">
      <c r="A207" s="172">
        <v>2021</v>
      </c>
      <c r="B207" s="167" t="s">
        <v>232</v>
      </c>
      <c r="C207" s="171" t="s">
        <v>232</v>
      </c>
      <c r="D207" s="167" t="s">
        <v>801</v>
      </c>
      <c r="E207" s="168">
        <v>4424</v>
      </c>
    </row>
    <row r="208" spans="1:5" x14ac:dyDescent="0.25">
      <c r="A208" s="172">
        <v>2021</v>
      </c>
      <c r="B208" s="167" t="s">
        <v>60</v>
      </c>
      <c r="C208" s="171" t="s">
        <v>60</v>
      </c>
      <c r="D208" s="167" t="s">
        <v>415</v>
      </c>
      <c r="E208" s="168">
        <v>1470</v>
      </c>
    </row>
    <row r="209" spans="1:5" x14ac:dyDescent="0.25">
      <c r="A209" s="172">
        <v>2021</v>
      </c>
      <c r="B209" s="167" t="s">
        <v>236</v>
      </c>
      <c r="C209" s="171" t="s">
        <v>236</v>
      </c>
      <c r="D209" s="167" t="s">
        <v>584</v>
      </c>
      <c r="E209" s="168">
        <v>1154</v>
      </c>
    </row>
    <row r="210" spans="1:5" x14ac:dyDescent="0.25">
      <c r="A210" s="172">
        <v>2021</v>
      </c>
      <c r="B210" s="167" t="s">
        <v>235</v>
      </c>
      <c r="C210" s="171" t="s">
        <v>235</v>
      </c>
      <c r="D210" s="167" t="s">
        <v>583</v>
      </c>
      <c r="E210" s="168">
        <v>547</v>
      </c>
    </row>
    <row r="211" spans="1:5" x14ac:dyDescent="0.25">
      <c r="A211" s="172">
        <v>2021</v>
      </c>
      <c r="B211" s="167" t="s">
        <v>234</v>
      </c>
      <c r="C211" s="171" t="s">
        <v>234</v>
      </c>
      <c r="D211" s="167" t="s">
        <v>582</v>
      </c>
      <c r="E211" s="168">
        <v>1448</v>
      </c>
    </row>
    <row r="212" spans="1:5" x14ac:dyDescent="0.25">
      <c r="A212" s="172">
        <v>2021</v>
      </c>
      <c r="B212" s="167" t="s">
        <v>237</v>
      </c>
      <c r="C212" s="171" t="s">
        <v>237</v>
      </c>
      <c r="D212" s="167" t="s">
        <v>585</v>
      </c>
      <c r="E212" s="168">
        <v>5244</v>
      </c>
    </row>
    <row r="213" spans="1:5" x14ac:dyDescent="0.25">
      <c r="A213" s="172">
        <v>2021</v>
      </c>
      <c r="B213" s="167" t="s">
        <v>238</v>
      </c>
      <c r="C213" s="171" t="s">
        <v>238</v>
      </c>
      <c r="D213" s="167" t="s">
        <v>586</v>
      </c>
      <c r="E213" s="168">
        <v>1808</v>
      </c>
    </row>
    <row r="214" spans="1:5" x14ac:dyDescent="0.25">
      <c r="A214" s="172">
        <v>2021</v>
      </c>
      <c r="B214" s="167" t="s">
        <v>239</v>
      </c>
      <c r="C214" s="171" t="s">
        <v>239</v>
      </c>
      <c r="D214" s="167" t="s">
        <v>587</v>
      </c>
      <c r="E214" s="168">
        <v>380</v>
      </c>
    </row>
    <row r="215" spans="1:5" x14ac:dyDescent="0.25">
      <c r="A215" s="172">
        <v>2021</v>
      </c>
      <c r="B215" s="167" t="s">
        <v>37</v>
      </c>
      <c r="C215" s="171" t="s">
        <v>37</v>
      </c>
      <c r="D215" s="167" t="s">
        <v>396</v>
      </c>
      <c r="E215" s="168">
        <v>1297</v>
      </c>
    </row>
    <row r="216" spans="1:5" x14ac:dyDescent="0.25">
      <c r="A216" s="172">
        <v>2021</v>
      </c>
      <c r="B216" s="167" t="s">
        <v>231</v>
      </c>
      <c r="C216" s="171" t="s">
        <v>231</v>
      </c>
      <c r="D216" s="167" t="s">
        <v>581</v>
      </c>
      <c r="E216" s="168">
        <v>2276</v>
      </c>
    </row>
    <row r="217" spans="1:5" x14ac:dyDescent="0.25">
      <c r="A217" s="172">
        <v>2021</v>
      </c>
      <c r="B217" s="167" t="s">
        <v>241</v>
      </c>
      <c r="C217" s="171" t="s">
        <v>241</v>
      </c>
      <c r="D217" s="167" t="s">
        <v>588</v>
      </c>
      <c r="E217" s="168">
        <v>189</v>
      </c>
    </row>
    <row r="218" spans="1:5" x14ac:dyDescent="0.25">
      <c r="A218" s="172">
        <v>2021</v>
      </c>
      <c r="B218" s="167" t="s">
        <v>242</v>
      </c>
      <c r="C218" s="171" t="s">
        <v>242</v>
      </c>
      <c r="D218" s="167" t="s">
        <v>589</v>
      </c>
      <c r="E218" s="168">
        <v>5193</v>
      </c>
    </row>
    <row r="219" spans="1:5" x14ac:dyDescent="0.25">
      <c r="A219" s="172">
        <v>2021</v>
      </c>
      <c r="B219" s="167" t="s">
        <v>244</v>
      </c>
      <c r="C219" s="171" t="s">
        <v>244</v>
      </c>
      <c r="D219" s="167" t="s">
        <v>816</v>
      </c>
      <c r="E219" s="168">
        <v>222</v>
      </c>
    </row>
    <row r="220" spans="1:5" x14ac:dyDescent="0.25">
      <c r="A220" s="172">
        <v>2021</v>
      </c>
      <c r="B220" s="167" t="s">
        <v>245</v>
      </c>
      <c r="C220" s="171" t="s">
        <v>245</v>
      </c>
      <c r="D220" s="167" t="s">
        <v>591</v>
      </c>
      <c r="E220" s="168">
        <v>2330</v>
      </c>
    </row>
    <row r="221" spans="1:5" x14ac:dyDescent="0.25">
      <c r="A221" s="172">
        <v>2021</v>
      </c>
      <c r="B221" s="167" t="s">
        <v>246</v>
      </c>
      <c r="C221" s="171" t="s">
        <v>246</v>
      </c>
      <c r="D221" s="167" t="s">
        <v>592</v>
      </c>
      <c r="E221" s="168">
        <v>326</v>
      </c>
    </row>
    <row r="222" spans="1:5" x14ac:dyDescent="0.25">
      <c r="A222" s="172">
        <v>2021</v>
      </c>
      <c r="B222" s="167" t="s">
        <v>247</v>
      </c>
      <c r="C222" s="171" t="s">
        <v>247</v>
      </c>
      <c r="D222" s="167" t="s">
        <v>593</v>
      </c>
      <c r="E222" s="168">
        <v>2481</v>
      </c>
    </row>
    <row r="223" spans="1:5" x14ac:dyDescent="0.25">
      <c r="A223" s="172">
        <v>2021</v>
      </c>
      <c r="B223" s="167" t="s">
        <v>248</v>
      </c>
      <c r="C223" s="171" t="s">
        <v>248</v>
      </c>
      <c r="D223" s="167" t="s">
        <v>594</v>
      </c>
      <c r="E223" s="168">
        <v>1255</v>
      </c>
    </row>
    <row r="224" spans="1:5" x14ac:dyDescent="0.25">
      <c r="A224" s="172">
        <v>2021</v>
      </c>
      <c r="B224" s="167" t="s">
        <v>249</v>
      </c>
      <c r="C224" s="171" t="s">
        <v>249</v>
      </c>
      <c r="D224" s="167" t="s">
        <v>595</v>
      </c>
      <c r="E224" s="168">
        <v>676</v>
      </c>
    </row>
    <row r="225" spans="1:5" x14ac:dyDescent="0.25">
      <c r="A225" s="172">
        <v>2021</v>
      </c>
      <c r="B225" s="167" t="s">
        <v>250</v>
      </c>
      <c r="C225" s="171" t="s">
        <v>250</v>
      </c>
      <c r="D225" s="167" t="s">
        <v>596</v>
      </c>
      <c r="E225" s="168">
        <v>1612</v>
      </c>
    </row>
    <row r="226" spans="1:5" x14ac:dyDescent="0.25">
      <c r="A226" s="172">
        <v>2021</v>
      </c>
      <c r="B226" s="167" t="s">
        <v>251</v>
      </c>
      <c r="C226" s="171" t="s">
        <v>251</v>
      </c>
      <c r="D226" s="167" t="s">
        <v>597</v>
      </c>
      <c r="E226" s="168">
        <v>1169</v>
      </c>
    </row>
    <row r="227" spans="1:5" x14ac:dyDescent="0.25">
      <c r="A227" s="172">
        <v>2021</v>
      </c>
      <c r="B227" s="167" t="s">
        <v>252</v>
      </c>
      <c r="C227" s="171" t="s">
        <v>252</v>
      </c>
      <c r="D227" s="167" t="s">
        <v>598</v>
      </c>
      <c r="E227" s="168">
        <v>5637</v>
      </c>
    </row>
    <row r="228" spans="1:5" x14ac:dyDescent="0.25">
      <c r="A228" s="172">
        <v>2021</v>
      </c>
      <c r="B228" s="167" t="s">
        <v>253</v>
      </c>
      <c r="C228" s="171" t="s">
        <v>253</v>
      </c>
      <c r="D228" s="167" t="s">
        <v>599</v>
      </c>
      <c r="E228" s="168">
        <v>2126</v>
      </c>
    </row>
    <row r="229" spans="1:5" x14ac:dyDescent="0.25">
      <c r="A229" s="172">
        <v>2021</v>
      </c>
      <c r="B229" s="167" t="s">
        <v>254</v>
      </c>
      <c r="C229" s="171" t="s">
        <v>254</v>
      </c>
      <c r="D229" s="167" t="s">
        <v>600</v>
      </c>
      <c r="E229" s="168">
        <v>0</v>
      </c>
    </row>
    <row r="230" spans="1:5" x14ac:dyDescent="0.25">
      <c r="A230" s="172">
        <v>2021</v>
      </c>
      <c r="B230" s="167" t="s">
        <v>263</v>
      </c>
      <c r="C230" s="171" t="s">
        <v>700</v>
      </c>
      <c r="D230" s="167" t="s">
        <v>6</v>
      </c>
      <c r="E230" s="168">
        <v>2816</v>
      </c>
    </row>
    <row r="231" spans="1:5" x14ac:dyDescent="0.25">
      <c r="A231" s="172">
        <v>2021</v>
      </c>
      <c r="B231" s="167" t="s">
        <v>256</v>
      </c>
      <c r="C231" s="171" t="s">
        <v>256</v>
      </c>
      <c r="D231" s="167" t="s">
        <v>602</v>
      </c>
      <c r="E231" s="168">
        <v>2496</v>
      </c>
    </row>
    <row r="232" spans="1:5" x14ac:dyDescent="0.25">
      <c r="A232" s="172">
        <v>2021</v>
      </c>
      <c r="B232" s="167" t="s">
        <v>257</v>
      </c>
      <c r="C232" s="171" t="s">
        <v>257</v>
      </c>
      <c r="D232" s="167" t="s">
        <v>603</v>
      </c>
      <c r="E232" s="168">
        <v>3440</v>
      </c>
    </row>
    <row r="233" spans="1:5" x14ac:dyDescent="0.25">
      <c r="A233" s="172">
        <v>2021</v>
      </c>
      <c r="B233" s="167" t="s">
        <v>258</v>
      </c>
      <c r="C233" s="171" t="s">
        <v>258</v>
      </c>
      <c r="D233" s="167" t="s">
        <v>604</v>
      </c>
      <c r="E233" s="168">
        <v>5374</v>
      </c>
    </row>
    <row r="234" spans="1:5" x14ac:dyDescent="0.25">
      <c r="A234" s="172">
        <v>2021</v>
      </c>
      <c r="B234" s="167" t="s">
        <v>259</v>
      </c>
      <c r="C234" s="171" t="s">
        <v>259</v>
      </c>
      <c r="D234" s="167" t="s">
        <v>605</v>
      </c>
      <c r="E234" s="168">
        <v>7542</v>
      </c>
    </row>
    <row r="235" spans="1:5" x14ac:dyDescent="0.25">
      <c r="A235" s="172">
        <v>2021</v>
      </c>
      <c r="B235" s="167" t="s">
        <v>260</v>
      </c>
      <c r="C235" s="171" t="s">
        <v>260</v>
      </c>
      <c r="D235" s="167" t="s">
        <v>606</v>
      </c>
      <c r="E235" s="168">
        <v>1805</v>
      </c>
    </row>
    <row r="236" spans="1:5" x14ac:dyDescent="0.25">
      <c r="A236" s="172">
        <v>2021</v>
      </c>
      <c r="B236" s="167" t="s">
        <v>261</v>
      </c>
      <c r="C236" s="171" t="s">
        <v>261</v>
      </c>
      <c r="D236" s="167" t="s">
        <v>607</v>
      </c>
      <c r="E236" s="168">
        <v>1337</v>
      </c>
    </row>
    <row r="237" spans="1:5" x14ac:dyDescent="0.25">
      <c r="A237" s="172">
        <v>2021</v>
      </c>
      <c r="B237" s="167" t="s">
        <v>262</v>
      </c>
      <c r="C237" s="171" t="s">
        <v>262</v>
      </c>
      <c r="D237" s="167" t="s">
        <v>608</v>
      </c>
      <c r="E237" s="168">
        <v>432</v>
      </c>
    </row>
    <row r="238" spans="1:5" x14ac:dyDescent="0.25">
      <c r="A238" s="172">
        <v>2021</v>
      </c>
      <c r="B238" s="167" t="s">
        <v>264</v>
      </c>
      <c r="C238" s="171" t="s">
        <v>701</v>
      </c>
      <c r="D238" s="167" t="s">
        <v>609</v>
      </c>
      <c r="E238" s="168">
        <v>1309</v>
      </c>
    </row>
    <row r="239" spans="1:5" x14ac:dyDescent="0.25">
      <c r="A239" s="172">
        <v>2021</v>
      </c>
      <c r="B239" s="167" t="s">
        <v>265</v>
      </c>
      <c r="C239" s="171" t="s">
        <v>265</v>
      </c>
      <c r="D239" s="167" t="s">
        <v>610</v>
      </c>
      <c r="E239" s="168">
        <v>417</v>
      </c>
    </row>
    <row r="240" spans="1:5" x14ac:dyDescent="0.25">
      <c r="A240" s="172">
        <v>2021</v>
      </c>
      <c r="B240" s="167" t="s">
        <v>266</v>
      </c>
      <c r="C240" s="171" t="s">
        <v>266</v>
      </c>
      <c r="D240" s="167" t="s">
        <v>611</v>
      </c>
      <c r="E240" s="168">
        <v>1023</v>
      </c>
    </row>
    <row r="241" spans="1:5" x14ac:dyDescent="0.25">
      <c r="A241" s="172">
        <v>2021</v>
      </c>
      <c r="B241" s="167" t="s">
        <v>267</v>
      </c>
      <c r="C241" s="171" t="s">
        <v>267</v>
      </c>
      <c r="D241" s="167" t="s">
        <v>612</v>
      </c>
      <c r="E241" s="168">
        <v>83</v>
      </c>
    </row>
    <row r="242" spans="1:5" x14ac:dyDescent="0.25">
      <c r="A242" s="172">
        <v>2021</v>
      </c>
      <c r="B242" s="167" t="s">
        <v>122</v>
      </c>
      <c r="C242" s="171" t="s">
        <v>122</v>
      </c>
      <c r="D242" s="167" t="s">
        <v>475</v>
      </c>
      <c r="E242" s="168">
        <v>547</v>
      </c>
    </row>
    <row r="243" spans="1:5" x14ac:dyDescent="0.25">
      <c r="A243" s="172">
        <v>2021</v>
      </c>
      <c r="B243" s="167" t="s">
        <v>243</v>
      </c>
      <c r="C243" s="171" t="s">
        <v>698</v>
      </c>
      <c r="D243" s="167" t="s">
        <v>590</v>
      </c>
      <c r="E243" s="168">
        <v>2803</v>
      </c>
    </row>
    <row r="244" spans="1:5" x14ac:dyDescent="0.25">
      <c r="A244" s="172">
        <v>2021</v>
      </c>
      <c r="B244" s="167" t="s">
        <v>268</v>
      </c>
      <c r="C244" s="171" t="s">
        <v>268</v>
      </c>
      <c r="D244" s="167" t="s">
        <v>613</v>
      </c>
      <c r="E244" s="168">
        <v>571</v>
      </c>
    </row>
    <row r="245" spans="1:5" x14ac:dyDescent="0.25">
      <c r="A245" s="172">
        <v>2021</v>
      </c>
      <c r="B245" s="167" t="s">
        <v>269</v>
      </c>
      <c r="C245" s="171" t="s">
        <v>269</v>
      </c>
      <c r="D245" s="167" t="s">
        <v>614</v>
      </c>
      <c r="E245" s="168">
        <v>1991</v>
      </c>
    </row>
    <row r="246" spans="1:5" x14ac:dyDescent="0.25">
      <c r="A246" s="172">
        <v>2021</v>
      </c>
      <c r="B246" s="167" t="s">
        <v>270</v>
      </c>
      <c r="C246" s="171" t="s">
        <v>270</v>
      </c>
      <c r="D246" s="167" t="s">
        <v>615</v>
      </c>
      <c r="E246" s="168">
        <v>449</v>
      </c>
    </row>
    <row r="247" spans="1:5" x14ac:dyDescent="0.25">
      <c r="A247" s="172">
        <v>2021</v>
      </c>
      <c r="B247" s="167" t="s">
        <v>271</v>
      </c>
      <c r="C247" s="171" t="s">
        <v>271</v>
      </c>
      <c r="D247" s="167" t="s">
        <v>616</v>
      </c>
      <c r="E247" s="168">
        <v>549</v>
      </c>
    </row>
    <row r="248" spans="1:5" x14ac:dyDescent="0.25">
      <c r="A248" s="172">
        <v>2021</v>
      </c>
      <c r="B248" s="167" t="s">
        <v>273</v>
      </c>
      <c r="C248" s="171" t="s">
        <v>273</v>
      </c>
      <c r="D248" s="167" t="s">
        <v>618</v>
      </c>
      <c r="E248" s="168">
        <v>3143</v>
      </c>
    </row>
    <row r="249" spans="1:5" x14ac:dyDescent="0.25">
      <c r="A249" s="172">
        <v>2021</v>
      </c>
      <c r="B249" s="167" t="s">
        <v>274</v>
      </c>
      <c r="C249" s="171" t="s">
        <v>274</v>
      </c>
      <c r="D249" s="167" t="s">
        <v>619</v>
      </c>
      <c r="E249" s="168">
        <v>485</v>
      </c>
    </row>
    <row r="250" spans="1:5" x14ac:dyDescent="0.25">
      <c r="A250" s="172">
        <v>2021</v>
      </c>
      <c r="B250" s="167" t="s">
        <v>275</v>
      </c>
      <c r="C250" s="171" t="s">
        <v>275</v>
      </c>
      <c r="D250" s="167" t="s">
        <v>620</v>
      </c>
      <c r="E250" s="168">
        <v>208</v>
      </c>
    </row>
    <row r="251" spans="1:5" x14ac:dyDescent="0.25">
      <c r="A251" s="172">
        <v>2021</v>
      </c>
      <c r="B251" s="167" t="s">
        <v>276</v>
      </c>
      <c r="C251" s="171" t="s">
        <v>276</v>
      </c>
      <c r="D251" s="167" t="s">
        <v>621</v>
      </c>
      <c r="E251" s="168">
        <v>1590</v>
      </c>
    </row>
    <row r="252" spans="1:5" x14ac:dyDescent="0.25">
      <c r="A252" s="172">
        <v>2021</v>
      </c>
      <c r="B252" s="167" t="s">
        <v>277</v>
      </c>
      <c r="C252" s="171" t="s">
        <v>277</v>
      </c>
      <c r="D252" s="167" t="s">
        <v>622</v>
      </c>
      <c r="E252" s="168">
        <v>9</v>
      </c>
    </row>
    <row r="253" spans="1:5" x14ac:dyDescent="0.25">
      <c r="A253" s="172">
        <v>2021</v>
      </c>
      <c r="B253" s="167" t="s">
        <v>279</v>
      </c>
      <c r="C253" s="171" t="s">
        <v>279</v>
      </c>
      <c r="D253" s="167" t="s">
        <v>624</v>
      </c>
      <c r="E253" s="168">
        <v>711</v>
      </c>
    </row>
    <row r="254" spans="1:5" x14ac:dyDescent="0.25">
      <c r="A254" s="172">
        <v>2021</v>
      </c>
      <c r="B254" s="167" t="s">
        <v>280</v>
      </c>
      <c r="C254" s="171" t="s">
        <v>280</v>
      </c>
      <c r="D254" s="167" t="s">
        <v>625</v>
      </c>
      <c r="E254" s="168">
        <v>1461</v>
      </c>
    </row>
    <row r="255" spans="1:5" x14ac:dyDescent="0.25">
      <c r="A255" s="172">
        <v>2021</v>
      </c>
      <c r="B255" s="167" t="s">
        <v>281</v>
      </c>
      <c r="C255" s="171" t="s">
        <v>281</v>
      </c>
      <c r="D255" s="167" t="s">
        <v>626</v>
      </c>
      <c r="E255" s="168">
        <v>982</v>
      </c>
    </row>
    <row r="256" spans="1:5" x14ac:dyDescent="0.25">
      <c r="A256" s="172">
        <v>2021</v>
      </c>
      <c r="B256" s="167" t="s">
        <v>282</v>
      </c>
      <c r="C256" s="171" t="s">
        <v>282</v>
      </c>
      <c r="D256" s="167" t="s">
        <v>627</v>
      </c>
      <c r="E256" s="168">
        <v>484</v>
      </c>
    </row>
    <row r="257" spans="1:5" x14ac:dyDescent="0.25">
      <c r="A257" s="172">
        <v>2021</v>
      </c>
      <c r="B257" s="167" t="s">
        <v>283</v>
      </c>
      <c r="C257" s="171" t="s">
        <v>283</v>
      </c>
      <c r="D257" s="167" t="s">
        <v>628</v>
      </c>
      <c r="E257" s="168">
        <v>264</v>
      </c>
    </row>
    <row r="258" spans="1:5" x14ac:dyDescent="0.25">
      <c r="A258" s="172">
        <v>2021</v>
      </c>
      <c r="B258" s="167" t="s">
        <v>284</v>
      </c>
      <c r="C258" s="171" t="s">
        <v>284</v>
      </c>
      <c r="D258" s="167" t="s">
        <v>629</v>
      </c>
      <c r="E258" s="168">
        <v>2890</v>
      </c>
    </row>
    <row r="259" spans="1:5" x14ac:dyDescent="0.25">
      <c r="A259" s="172">
        <v>2021</v>
      </c>
      <c r="B259" s="167" t="s">
        <v>286</v>
      </c>
      <c r="C259" s="171" t="s">
        <v>702</v>
      </c>
      <c r="D259" s="167" t="s">
        <v>631</v>
      </c>
      <c r="E259" s="168">
        <v>0</v>
      </c>
    </row>
    <row r="260" spans="1:5" x14ac:dyDescent="0.25">
      <c r="A260" s="172">
        <v>2021</v>
      </c>
      <c r="B260" s="167" t="s">
        <v>285</v>
      </c>
      <c r="C260" s="171" t="s">
        <v>285</v>
      </c>
      <c r="D260" s="167" t="s">
        <v>630</v>
      </c>
      <c r="E260" s="168">
        <v>2242</v>
      </c>
    </row>
    <row r="261" spans="1:5" x14ac:dyDescent="0.25">
      <c r="A261" s="172">
        <v>2021</v>
      </c>
      <c r="B261" s="167" t="s">
        <v>288</v>
      </c>
      <c r="C261" s="171" t="s">
        <v>288</v>
      </c>
      <c r="D261" s="167" t="s">
        <v>633</v>
      </c>
      <c r="E261" s="168">
        <v>1661</v>
      </c>
    </row>
    <row r="262" spans="1:5" x14ac:dyDescent="0.25">
      <c r="A262" s="172">
        <v>2021</v>
      </c>
      <c r="B262" s="167" t="s">
        <v>287</v>
      </c>
      <c r="C262" s="171" t="s">
        <v>287</v>
      </c>
      <c r="D262" s="167" t="s">
        <v>632</v>
      </c>
      <c r="E262" s="168">
        <v>1290</v>
      </c>
    </row>
    <row r="263" spans="1:5" x14ac:dyDescent="0.25">
      <c r="A263" s="172">
        <v>2021</v>
      </c>
      <c r="B263" s="167" t="s">
        <v>290</v>
      </c>
      <c r="C263" s="171" t="s">
        <v>290</v>
      </c>
      <c r="D263" s="167" t="s">
        <v>635</v>
      </c>
      <c r="E263" s="168">
        <v>1341</v>
      </c>
    </row>
    <row r="264" spans="1:5" x14ac:dyDescent="0.25">
      <c r="A264" s="172">
        <v>2021</v>
      </c>
      <c r="B264" s="167" t="s">
        <v>255</v>
      </c>
      <c r="C264" s="171" t="s">
        <v>699</v>
      </c>
      <c r="D264" s="167" t="s">
        <v>601</v>
      </c>
      <c r="E264" s="168">
        <v>730</v>
      </c>
    </row>
    <row r="265" spans="1:5" x14ac:dyDescent="0.25">
      <c r="A265" s="172">
        <v>2021</v>
      </c>
      <c r="B265" s="167" t="s">
        <v>292</v>
      </c>
      <c r="C265" s="171" t="s">
        <v>292</v>
      </c>
      <c r="D265" s="167" t="s">
        <v>637</v>
      </c>
      <c r="E265" s="168">
        <v>900</v>
      </c>
    </row>
    <row r="266" spans="1:5" x14ac:dyDescent="0.25">
      <c r="A266" s="172">
        <v>2021</v>
      </c>
      <c r="B266" s="167" t="s">
        <v>293</v>
      </c>
      <c r="C266" s="171" t="s">
        <v>293</v>
      </c>
      <c r="D266" s="167" t="s">
        <v>638</v>
      </c>
      <c r="E266" s="168">
        <v>0</v>
      </c>
    </row>
    <row r="267" spans="1:5" x14ac:dyDescent="0.25">
      <c r="A267" s="172">
        <v>2021</v>
      </c>
      <c r="B267" s="167" t="s">
        <v>294</v>
      </c>
      <c r="C267" s="171" t="s">
        <v>294</v>
      </c>
      <c r="D267" s="167" t="s">
        <v>639</v>
      </c>
      <c r="E267" s="168">
        <v>835</v>
      </c>
    </row>
    <row r="268" spans="1:5" x14ac:dyDescent="0.25">
      <c r="A268" s="172">
        <v>2021</v>
      </c>
      <c r="B268" s="167" t="s">
        <v>295</v>
      </c>
      <c r="C268" s="171" t="s">
        <v>295</v>
      </c>
      <c r="D268" s="167" t="s">
        <v>640</v>
      </c>
      <c r="E268" s="168">
        <v>22283</v>
      </c>
    </row>
    <row r="269" spans="1:5" x14ac:dyDescent="0.25">
      <c r="A269" s="172">
        <v>2021</v>
      </c>
      <c r="B269" s="167" t="s">
        <v>289</v>
      </c>
      <c r="C269" s="171" t="s">
        <v>289</v>
      </c>
      <c r="D269" s="167" t="s">
        <v>634</v>
      </c>
      <c r="E269" s="168">
        <v>601</v>
      </c>
    </row>
    <row r="270" spans="1:5" x14ac:dyDescent="0.25">
      <c r="A270" s="172">
        <v>2021</v>
      </c>
      <c r="B270" s="167" t="s">
        <v>291</v>
      </c>
      <c r="C270" s="171" t="s">
        <v>291</v>
      </c>
      <c r="D270" s="167" t="s">
        <v>636</v>
      </c>
      <c r="E270" s="168">
        <v>951</v>
      </c>
    </row>
    <row r="271" spans="1:5" x14ac:dyDescent="0.25">
      <c r="A271" s="172">
        <v>2021</v>
      </c>
      <c r="B271" s="167" t="s">
        <v>296</v>
      </c>
      <c r="C271" s="171" t="s">
        <v>296</v>
      </c>
      <c r="D271" s="167" t="s">
        <v>641</v>
      </c>
      <c r="E271" s="168">
        <v>3512</v>
      </c>
    </row>
    <row r="272" spans="1:5" x14ac:dyDescent="0.25">
      <c r="A272" s="172">
        <v>2021</v>
      </c>
      <c r="B272" s="167" t="s">
        <v>297</v>
      </c>
      <c r="C272" s="171" t="s">
        <v>297</v>
      </c>
      <c r="D272" s="167" t="s">
        <v>642</v>
      </c>
      <c r="E272" s="168">
        <v>2313</v>
      </c>
    </row>
    <row r="273" spans="1:5" x14ac:dyDescent="0.25">
      <c r="A273" s="172">
        <v>2021</v>
      </c>
      <c r="B273" s="167" t="s">
        <v>298</v>
      </c>
      <c r="C273" s="171" t="s">
        <v>298</v>
      </c>
      <c r="D273" s="167" t="s">
        <v>643</v>
      </c>
      <c r="E273" s="168">
        <v>304</v>
      </c>
    </row>
    <row r="274" spans="1:5" x14ac:dyDescent="0.25">
      <c r="A274" s="172">
        <v>2021</v>
      </c>
      <c r="B274" s="167" t="s">
        <v>272</v>
      </c>
      <c r="C274" s="171" t="s">
        <v>272</v>
      </c>
      <c r="D274" s="167" t="s">
        <v>617</v>
      </c>
      <c r="E274" s="168">
        <v>1131</v>
      </c>
    </row>
    <row r="275" spans="1:5" x14ac:dyDescent="0.25">
      <c r="A275" s="172">
        <v>2021</v>
      </c>
      <c r="B275" s="167" t="s">
        <v>299</v>
      </c>
      <c r="C275" s="171" t="s">
        <v>299</v>
      </c>
      <c r="D275" s="167" t="s">
        <v>644</v>
      </c>
      <c r="E275" s="168">
        <v>704</v>
      </c>
    </row>
    <row r="276" spans="1:5" x14ac:dyDescent="0.25">
      <c r="A276" s="172">
        <v>2021</v>
      </c>
      <c r="B276" s="167" t="s">
        <v>300</v>
      </c>
      <c r="C276" s="171" t="s">
        <v>300</v>
      </c>
      <c r="D276" s="167" t="s">
        <v>645</v>
      </c>
      <c r="E276" s="168">
        <v>305</v>
      </c>
    </row>
    <row r="277" spans="1:5" x14ac:dyDescent="0.25">
      <c r="A277" s="172">
        <v>2021</v>
      </c>
      <c r="B277" s="167" t="s">
        <v>301</v>
      </c>
      <c r="C277" s="171" t="s">
        <v>301</v>
      </c>
      <c r="D277" s="167" t="s">
        <v>646</v>
      </c>
      <c r="E277" s="168">
        <v>3705</v>
      </c>
    </row>
    <row r="278" spans="1:5" x14ac:dyDescent="0.25">
      <c r="A278" s="172">
        <v>2021</v>
      </c>
      <c r="B278" s="167" t="s">
        <v>302</v>
      </c>
      <c r="C278" s="171" t="s">
        <v>302</v>
      </c>
      <c r="D278" s="167" t="s">
        <v>647</v>
      </c>
      <c r="E278" s="168">
        <v>1308</v>
      </c>
    </row>
    <row r="279" spans="1:5" x14ac:dyDescent="0.25">
      <c r="A279" s="172">
        <v>2021</v>
      </c>
      <c r="B279" s="167" t="s">
        <v>304</v>
      </c>
      <c r="C279" s="171" t="s">
        <v>304</v>
      </c>
      <c r="D279" s="167" t="s">
        <v>649</v>
      </c>
      <c r="E279" s="168">
        <v>288</v>
      </c>
    </row>
    <row r="280" spans="1:5" x14ac:dyDescent="0.25">
      <c r="A280" s="172">
        <v>2021</v>
      </c>
      <c r="B280" s="167" t="s">
        <v>305</v>
      </c>
      <c r="C280" s="171" t="s">
        <v>305</v>
      </c>
      <c r="D280" s="167" t="s">
        <v>650</v>
      </c>
      <c r="E280" s="168">
        <v>1152</v>
      </c>
    </row>
    <row r="281" spans="1:5" x14ac:dyDescent="0.25">
      <c r="A281" s="172">
        <v>2021</v>
      </c>
      <c r="B281" s="167" t="s">
        <v>306</v>
      </c>
      <c r="C281" s="171" t="s">
        <v>306</v>
      </c>
      <c r="D281" s="167" t="s">
        <v>651</v>
      </c>
      <c r="E281" s="168">
        <v>976</v>
      </c>
    </row>
    <row r="282" spans="1:5" x14ac:dyDescent="0.25">
      <c r="A282" s="172">
        <v>2021</v>
      </c>
      <c r="B282" s="167" t="s">
        <v>307</v>
      </c>
      <c r="C282" s="171" t="s">
        <v>307</v>
      </c>
      <c r="D282" s="167" t="s">
        <v>652</v>
      </c>
      <c r="E282" s="168">
        <v>0</v>
      </c>
    </row>
    <row r="283" spans="1:5" x14ac:dyDescent="0.25">
      <c r="A283" s="172">
        <v>2021</v>
      </c>
      <c r="B283" s="167" t="s">
        <v>308</v>
      </c>
      <c r="C283" s="171" t="s">
        <v>308</v>
      </c>
      <c r="D283" s="167" t="s">
        <v>653</v>
      </c>
      <c r="E283" s="168">
        <v>0</v>
      </c>
    </row>
    <row r="284" spans="1:5" x14ac:dyDescent="0.25">
      <c r="A284" s="172">
        <v>2021</v>
      </c>
      <c r="B284" s="167" t="s">
        <v>309</v>
      </c>
      <c r="C284" s="171" t="s">
        <v>309</v>
      </c>
      <c r="D284" s="167" t="s">
        <v>654</v>
      </c>
      <c r="E284" s="168">
        <v>948</v>
      </c>
    </row>
    <row r="285" spans="1:5" x14ac:dyDescent="0.25">
      <c r="A285" s="172">
        <v>2021</v>
      </c>
      <c r="B285" s="167" t="s">
        <v>310</v>
      </c>
      <c r="C285" s="171" t="s">
        <v>310</v>
      </c>
      <c r="D285" s="167" t="s">
        <v>655</v>
      </c>
      <c r="E285" s="168">
        <v>211</v>
      </c>
    </row>
    <row r="286" spans="1:5" x14ac:dyDescent="0.25">
      <c r="A286" s="172">
        <v>2021</v>
      </c>
      <c r="B286" s="167" t="s">
        <v>311</v>
      </c>
      <c r="C286" s="171" t="s">
        <v>311</v>
      </c>
      <c r="D286" s="167" t="s">
        <v>656</v>
      </c>
      <c r="E286" s="168">
        <v>941</v>
      </c>
    </row>
    <row r="287" spans="1:5" x14ac:dyDescent="0.25">
      <c r="A287" s="172">
        <v>2021</v>
      </c>
      <c r="B287" s="167" t="s">
        <v>312</v>
      </c>
      <c r="C287" s="171" t="s">
        <v>312</v>
      </c>
      <c r="D287" s="167" t="s">
        <v>657</v>
      </c>
      <c r="E287" s="168">
        <v>421</v>
      </c>
    </row>
    <row r="288" spans="1:5" x14ac:dyDescent="0.25">
      <c r="A288" s="172">
        <v>2021</v>
      </c>
      <c r="B288" s="167" t="s">
        <v>313</v>
      </c>
      <c r="C288" s="171" t="s">
        <v>313</v>
      </c>
      <c r="D288" s="167" t="s">
        <v>658</v>
      </c>
      <c r="E288" s="168">
        <v>457</v>
      </c>
    </row>
    <row r="289" spans="1:5" x14ac:dyDescent="0.25">
      <c r="A289" s="172">
        <v>2021</v>
      </c>
      <c r="B289" s="167" t="s">
        <v>115</v>
      </c>
      <c r="C289" s="171" t="s">
        <v>696</v>
      </c>
      <c r="D289" s="167" t="s">
        <v>468</v>
      </c>
      <c r="E289" s="168">
        <v>3352</v>
      </c>
    </row>
    <row r="290" spans="1:5" x14ac:dyDescent="0.25">
      <c r="A290" s="172">
        <v>2021</v>
      </c>
      <c r="B290" s="167" t="s">
        <v>314</v>
      </c>
      <c r="C290" s="171" t="s">
        <v>314</v>
      </c>
      <c r="D290" s="167" t="s">
        <v>659</v>
      </c>
      <c r="E290" s="168">
        <v>1605</v>
      </c>
    </row>
    <row r="291" spans="1:5" x14ac:dyDescent="0.25">
      <c r="A291" s="172">
        <v>2021</v>
      </c>
      <c r="B291" s="167" t="s">
        <v>315</v>
      </c>
      <c r="C291" s="171" t="s">
        <v>315</v>
      </c>
      <c r="D291" s="167" t="s">
        <v>660</v>
      </c>
      <c r="E291" s="168">
        <v>12016</v>
      </c>
    </row>
    <row r="292" spans="1:5" x14ac:dyDescent="0.25">
      <c r="A292" s="172">
        <v>2021</v>
      </c>
      <c r="B292" s="167" t="s">
        <v>317</v>
      </c>
      <c r="C292" s="171" t="s">
        <v>317</v>
      </c>
      <c r="D292" s="167" t="s">
        <v>806</v>
      </c>
      <c r="E292" s="168">
        <v>1296</v>
      </c>
    </row>
    <row r="293" spans="1:5" x14ac:dyDescent="0.25">
      <c r="A293" s="172">
        <v>2021</v>
      </c>
      <c r="B293" s="167" t="s">
        <v>318</v>
      </c>
      <c r="C293" s="171" t="s">
        <v>318</v>
      </c>
      <c r="D293" s="167" t="s">
        <v>661</v>
      </c>
      <c r="E293" s="168">
        <v>456</v>
      </c>
    </row>
    <row r="294" spans="1:5" x14ac:dyDescent="0.25">
      <c r="A294" s="172">
        <v>2021</v>
      </c>
      <c r="B294" s="167" t="s">
        <v>319</v>
      </c>
      <c r="C294" s="171" t="s">
        <v>319</v>
      </c>
      <c r="D294" s="167" t="s">
        <v>662</v>
      </c>
      <c r="E294" s="168">
        <v>0</v>
      </c>
    </row>
    <row r="295" spans="1:5" x14ac:dyDescent="0.25">
      <c r="A295" s="172">
        <v>2021</v>
      </c>
      <c r="B295" s="167" t="s">
        <v>320</v>
      </c>
      <c r="C295" s="171" t="s">
        <v>320</v>
      </c>
      <c r="D295" s="167" t="s">
        <v>663</v>
      </c>
      <c r="E295" s="168">
        <v>6075</v>
      </c>
    </row>
    <row r="296" spans="1:5" x14ac:dyDescent="0.25">
      <c r="A296" s="172">
        <v>2021</v>
      </c>
      <c r="B296" s="167" t="s">
        <v>321</v>
      </c>
      <c r="C296" s="171" t="s">
        <v>321</v>
      </c>
      <c r="D296" s="167" t="s">
        <v>664</v>
      </c>
      <c r="E296" s="168">
        <v>837</v>
      </c>
    </row>
    <row r="297" spans="1:5" x14ac:dyDescent="0.25">
      <c r="A297" s="172">
        <v>2021</v>
      </c>
      <c r="B297" s="167" t="s">
        <v>323</v>
      </c>
      <c r="C297" s="171" t="s">
        <v>323</v>
      </c>
      <c r="D297" s="167" t="s">
        <v>666</v>
      </c>
      <c r="E297" s="168">
        <v>1367</v>
      </c>
    </row>
    <row r="298" spans="1:5" x14ac:dyDescent="0.25">
      <c r="A298" s="172">
        <v>2021</v>
      </c>
      <c r="B298" s="167" t="s">
        <v>324</v>
      </c>
      <c r="C298" s="171" t="s">
        <v>324</v>
      </c>
      <c r="D298" s="167" t="s">
        <v>667</v>
      </c>
      <c r="E298" s="168">
        <v>1698</v>
      </c>
    </row>
    <row r="299" spans="1:5" x14ac:dyDescent="0.25">
      <c r="A299" s="172">
        <v>2021</v>
      </c>
      <c r="B299" s="167" t="s">
        <v>325</v>
      </c>
      <c r="C299" s="171" t="s">
        <v>325</v>
      </c>
      <c r="D299" s="167" t="s">
        <v>668</v>
      </c>
      <c r="E299" s="168">
        <v>6557</v>
      </c>
    </row>
    <row r="300" spans="1:5" x14ac:dyDescent="0.25">
      <c r="A300" s="172">
        <v>2021</v>
      </c>
      <c r="B300" s="167" t="s">
        <v>326</v>
      </c>
      <c r="C300" s="171" t="s">
        <v>326</v>
      </c>
      <c r="D300" s="167" t="s">
        <v>669</v>
      </c>
      <c r="E300" s="168">
        <v>3882</v>
      </c>
    </row>
    <row r="301" spans="1:5" x14ac:dyDescent="0.25">
      <c r="A301" s="172">
        <v>2021</v>
      </c>
      <c r="B301" s="167" t="s">
        <v>327</v>
      </c>
      <c r="C301" s="171" t="s">
        <v>327</v>
      </c>
      <c r="D301" s="167" t="s">
        <v>670</v>
      </c>
      <c r="E301" s="168">
        <v>46815</v>
      </c>
    </row>
    <row r="302" spans="1:5" x14ac:dyDescent="0.25">
      <c r="A302" s="172">
        <v>2021</v>
      </c>
      <c r="B302" s="167" t="s">
        <v>328</v>
      </c>
      <c r="C302" s="171" t="s">
        <v>328</v>
      </c>
      <c r="D302" s="167" t="s">
        <v>671</v>
      </c>
      <c r="E302" s="168">
        <v>3687</v>
      </c>
    </row>
    <row r="303" spans="1:5" x14ac:dyDescent="0.25">
      <c r="A303" s="172">
        <v>2021</v>
      </c>
      <c r="B303" s="167" t="s">
        <v>329</v>
      </c>
      <c r="C303" s="171" t="s">
        <v>329</v>
      </c>
      <c r="D303" s="167" t="s">
        <v>672</v>
      </c>
      <c r="E303" s="168">
        <v>83</v>
      </c>
    </row>
    <row r="304" spans="1:5" x14ac:dyDescent="0.25">
      <c r="A304" s="172">
        <v>2021</v>
      </c>
      <c r="B304" s="167" t="s">
        <v>330</v>
      </c>
      <c r="C304" s="171" t="s">
        <v>330</v>
      </c>
      <c r="D304" s="167" t="s">
        <v>673</v>
      </c>
      <c r="E304" s="168">
        <v>4008</v>
      </c>
    </row>
    <row r="305" spans="1:5" x14ac:dyDescent="0.25">
      <c r="A305" s="172">
        <v>2021</v>
      </c>
      <c r="B305" s="167" t="s">
        <v>331</v>
      </c>
      <c r="C305" s="171" t="s">
        <v>331</v>
      </c>
      <c r="D305" s="167" t="s">
        <v>674</v>
      </c>
      <c r="E305" s="168">
        <v>608</v>
      </c>
    </row>
    <row r="306" spans="1:5" x14ac:dyDescent="0.25">
      <c r="A306" s="172">
        <v>2021</v>
      </c>
      <c r="B306" s="167" t="s">
        <v>332</v>
      </c>
      <c r="C306" s="171" t="s">
        <v>332</v>
      </c>
      <c r="D306" s="167" t="s">
        <v>675</v>
      </c>
      <c r="E306" s="168">
        <v>652</v>
      </c>
    </row>
    <row r="307" spans="1:5" x14ac:dyDescent="0.25">
      <c r="A307" s="172">
        <v>2021</v>
      </c>
      <c r="B307" s="167" t="s">
        <v>333</v>
      </c>
      <c r="C307" s="171" t="s">
        <v>333</v>
      </c>
      <c r="D307" s="167" t="s">
        <v>676</v>
      </c>
      <c r="E307" s="168">
        <v>776</v>
      </c>
    </row>
    <row r="308" spans="1:5" x14ac:dyDescent="0.25">
      <c r="A308" s="172">
        <v>2021</v>
      </c>
      <c r="B308" s="167" t="s">
        <v>334</v>
      </c>
      <c r="C308" s="171" t="s">
        <v>334</v>
      </c>
      <c r="D308" s="167" t="s">
        <v>677</v>
      </c>
      <c r="E308" s="168">
        <v>1009</v>
      </c>
    </row>
    <row r="309" spans="1:5" x14ac:dyDescent="0.25">
      <c r="A309" s="172">
        <v>2021</v>
      </c>
      <c r="B309" s="167" t="s">
        <v>303</v>
      </c>
      <c r="C309" s="171" t="s">
        <v>303</v>
      </c>
      <c r="D309" s="167" t="s">
        <v>648</v>
      </c>
      <c r="E309" s="168">
        <v>2053</v>
      </c>
    </row>
    <row r="310" spans="1:5" x14ac:dyDescent="0.25">
      <c r="A310" s="172">
        <v>2021</v>
      </c>
      <c r="B310" s="167" t="s">
        <v>335</v>
      </c>
      <c r="C310" s="171" t="s">
        <v>335</v>
      </c>
      <c r="D310" s="167" t="s">
        <v>678</v>
      </c>
      <c r="E310" s="168">
        <v>2338</v>
      </c>
    </row>
    <row r="311" spans="1:5" x14ac:dyDescent="0.25">
      <c r="A311" s="172">
        <v>2021</v>
      </c>
      <c r="B311" s="167" t="s">
        <v>336</v>
      </c>
      <c r="C311" s="171" t="s">
        <v>336</v>
      </c>
      <c r="D311" s="167" t="s">
        <v>679</v>
      </c>
      <c r="E311" s="168">
        <v>22559</v>
      </c>
    </row>
    <row r="312" spans="1:5" x14ac:dyDescent="0.25">
      <c r="A312" s="172">
        <v>2021</v>
      </c>
      <c r="B312" s="167" t="s">
        <v>278</v>
      </c>
      <c r="C312" s="171" t="s">
        <v>278</v>
      </c>
      <c r="D312" s="167" t="s">
        <v>623</v>
      </c>
      <c r="E312" s="168">
        <v>2489</v>
      </c>
    </row>
    <row r="313" spans="1:5" x14ac:dyDescent="0.25">
      <c r="A313" s="172">
        <v>2021</v>
      </c>
      <c r="B313" s="167" t="s">
        <v>58</v>
      </c>
      <c r="C313" s="171" t="s">
        <v>58</v>
      </c>
      <c r="D313" s="167" t="s">
        <v>413</v>
      </c>
      <c r="E313" s="168">
        <v>606</v>
      </c>
    </row>
    <row r="314" spans="1:5" x14ac:dyDescent="0.25">
      <c r="A314" s="172">
        <v>2021</v>
      </c>
      <c r="B314" s="167" t="s">
        <v>338</v>
      </c>
      <c r="C314" s="171" t="s">
        <v>338</v>
      </c>
      <c r="D314" s="167" t="s">
        <v>681</v>
      </c>
      <c r="E314" s="168">
        <v>0</v>
      </c>
    </row>
    <row r="315" spans="1:5" x14ac:dyDescent="0.25">
      <c r="A315" s="172">
        <v>2021</v>
      </c>
      <c r="B315" s="167" t="s">
        <v>339</v>
      </c>
      <c r="C315" s="171" t="s">
        <v>339</v>
      </c>
      <c r="D315" s="167" t="s">
        <v>682</v>
      </c>
      <c r="E315" s="168">
        <v>0</v>
      </c>
    </row>
    <row r="316" spans="1:5" x14ac:dyDescent="0.25">
      <c r="A316" s="172">
        <v>2021</v>
      </c>
      <c r="B316" s="167" t="s">
        <v>340</v>
      </c>
      <c r="C316" s="171" t="s">
        <v>340</v>
      </c>
      <c r="D316" s="167" t="s">
        <v>683</v>
      </c>
      <c r="E316" s="168">
        <v>2487</v>
      </c>
    </row>
    <row r="317" spans="1:5" x14ac:dyDescent="0.25">
      <c r="A317" s="172">
        <v>2021</v>
      </c>
      <c r="B317" s="167" t="s">
        <v>341</v>
      </c>
      <c r="C317" s="171" t="s">
        <v>341</v>
      </c>
      <c r="D317" s="167" t="s">
        <v>684</v>
      </c>
      <c r="E317" s="168">
        <v>502</v>
      </c>
    </row>
    <row r="318" spans="1:5" x14ac:dyDescent="0.25">
      <c r="A318" s="172">
        <v>2021</v>
      </c>
      <c r="B318" s="167" t="s">
        <v>342</v>
      </c>
      <c r="C318" s="171" t="s">
        <v>342</v>
      </c>
      <c r="D318" s="167" t="s">
        <v>685</v>
      </c>
      <c r="E318" s="168">
        <v>0</v>
      </c>
    </row>
    <row r="319" spans="1:5" x14ac:dyDescent="0.25">
      <c r="A319" s="172">
        <v>2021</v>
      </c>
      <c r="B319" s="167" t="s">
        <v>343</v>
      </c>
      <c r="C319" s="171" t="s">
        <v>343</v>
      </c>
      <c r="D319" s="167" t="s">
        <v>686</v>
      </c>
      <c r="E319" s="168">
        <v>2314</v>
      </c>
    </row>
    <row r="320" spans="1:5" x14ac:dyDescent="0.25">
      <c r="A320" s="172">
        <v>2021</v>
      </c>
      <c r="B320" s="167" t="s">
        <v>337</v>
      </c>
      <c r="C320" s="171" t="s">
        <v>337</v>
      </c>
      <c r="D320" s="167" t="s">
        <v>680</v>
      </c>
      <c r="E320" s="168">
        <v>6619</v>
      </c>
    </row>
    <row r="321" spans="1:5" x14ac:dyDescent="0.25">
      <c r="A321" s="172">
        <v>2021</v>
      </c>
      <c r="B321" s="167" t="s">
        <v>344</v>
      </c>
      <c r="C321" s="171" t="s">
        <v>344</v>
      </c>
      <c r="D321" s="167" t="s">
        <v>687</v>
      </c>
      <c r="E321" s="168">
        <v>0</v>
      </c>
    </row>
    <row r="322" spans="1:5" x14ac:dyDescent="0.25">
      <c r="A322" s="172">
        <v>2021</v>
      </c>
      <c r="B322" s="167" t="s">
        <v>345</v>
      </c>
      <c r="C322" s="171" t="s">
        <v>345</v>
      </c>
      <c r="D322" s="167" t="s">
        <v>688</v>
      </c>
      <c r="E322" s="168">
        <v>77</v>
      </c>
    </row>
    <row r="323" spans="1:5" x14ac:dyDescent="0.25">
      <c r="A323" s="172">
        <v>2021</v>
      </c>
      <c r="B323" s="167" t="s">
        <v>346</v>
      </c>
      <c r="C323" s="171" t="s">
        <v>346</v>
      </c>
      <c r="D323" s="167" t="s">
        <v>689</v>
      </c>
      <c r="E323" s="168">
        <v>2061</v>
      </c>
    </row>
    <row r="324" spans="1:5" x14ac:dyDescent="0.25">
      <c r="A324" s="172">
        <v>2021</v>
      </c>
      <c r="B324" s="167" t="s">
        <v>347</v>
      </c>
      <c r="C324" s="171" t="s">
        <v>347</v>
      </c>
      <c r="D324" s="167" t="s">
        <v>690</v>
      </c>
      <c r="E324" s="168">
        <v>701</v>
      </c>
    </row>
    <row r="325" spans="1:5" x14ac:dyDescent="0.25">
      <c r="A325" s="172">
        <v>2021</v>
      </c>
      <c r="B325" s="167" t="s">
        <v>348</v>
      </c>
      <c r="C325" s="171" t="s">
        <v>348</v>
      </c>
      <c r="D325" s="167" t="s">
        <v>691</v>
      </c>
      <c r="E325" s="168">
        <v>0</v>
      </c>
    </row>
    <row r="326" spans="1:5" x14ac:dyDescent="0.25">
      <c r="A326" s="172">
        <v>2021</v>
      </c>
      <c r="B326" s="167" t="s">
        <v>349</v>
      </c>
      <c r="C326" s="171" t="s">
        <v>349</v>
      </c>
      <c r="D326" s="167" t="s">
        <v>692</v>
      </c>
      <c r="E326" s="168">
        <v>4912</v>
      </c>
    </row>
    <row r="327" spans="1:5" x14ac:dyDescent="0.25">
      <c r="A327" s="172">
        <v>2021</v>
      </c>
      <c r="B327" s="167" t="s">
        <v>350</v>
      </c>
      <c r="C327" s="171" t="s">
        <v>350</v>
      </c>
      <c r="D327" s="167" t="s">
        <v>693</v>
      </c>
      <c r="E327" s="168">
        <v>1986</v>
      </c>
    </row>
    <row r="328" spans="1:5" x14ac:dyDescent="0.25">
      <c r="A328" s="172">
        <v>2021</v>
      </c>
      <c r="B328" s="167" t="s">
        <v>351</v>
      </c>
      <c r="C328" s="171" t="s">
        <v>351</v>
      </c>
      <c r="D328" s="167" t="s">
        <v>694</v>
      </c>
      <c r="E328" s="168">
        <v>1908</v>
      </c>
    </row>
    <row r="329" spans="1:5" x14ac:dyDescent="0.25">
      <c r="A329" s="172">
        <v>2021</v>
      </c>
      <c r="B329" s="167" t="s">
        <v>352</v>
      </c>
      <c r="C329" s="171" t="s">
        <v>352</v>
      </c>
      <c r="D329" s="167" t="s">
        <v>695</v>
      </c>
      <c r="E329" s="168">
        <v>3034</v>
      </c>
    </row>
    <row r="330" spans="1:5" ht="15.75" thickBot="1" x14ac:dyDescent="0.3">
      <c r="A330" s="173"/>
      <c r="B330" s="177" t="s">
        <v>790</v>
      </c>
      <c r="D330" s="178" t="s">
        <v>789</v>
      </c>
      <c r="E330" s="126">
        <f>SUM(E3:E329)</f>
        <v>928869</v>
      </c>
    </row>
    <row r="331" spans="1:5" ht="15.75" thickTop="1" x14ac:dyDescent="0.25">
      <c r="A331" s="173"/>
    </row>
    <row r="332" spans="1:5" x14ac:dyDescent="0.25">
      <c r="A332" s="173"/>
    </row>
    <row r="333" spans="1:5" x14ac:dyDescent="0.25">
      <c r="A333" s="173"/>
    </row>
    <row r="334" spans="1:5" x14ac:dyDescent="0.25">
      <c r="A334" s="173"/>
    </row>
    <row r="335" spans="1:5" x14ac:dyDescent="0.25">
      <c r="A335" s="173"/>
    </row>
    <row r="336" spans="1:5" x14ac:dyDescent="0.25">
      <c r="A336" s="173"/>
    </row>
    <row r="337" spans="1:1" x14ac:dyDescent="0.25">
      <c r="A337" s="173"/>
    </row>
    <row r="338" spans="1:1" x14ac:dyDescent="0.25">
      <c r="A338" s="173"/>
    </row>
    <row r="339" spans="1:1" x14ac:dyDescent="0.25">
      <c r="A339" s="173"/>
    </row>
    <row r="340" spans="1:1" x14ac:dyDescent="0.25">
      <c r="A340" s="173"/>
    </row>
    <row r="341" spans="1:1" x14ac:dyDescent="0.25">
      <c r="A341" s="173"/>
    </row>
    <row r="342" spans="1:1" x14ac:dyDescent="0.25">
      <c r="A342" s="173"/>
    </row>
    <row r="343" spans="1:1" x14ac:dyDescent="0.25">
      <c r="A343" s="173"/>
    </row>
    <row r="344" spans="1:1" x14ac:dyDescent="0.25">
      <c r="A344" s="173"/>
    </row>
    <row r="345" spans="1:1" x14ac:dyDescent="0.25">
      <c r="A345" s="173"/>
    </row>
    <row r="346" spans="1:1" x14ac:dyDescent="0.25">
      <c r="A346" s="173"/>
    </row>
    <row r="347" spans="1:1" x14ac:dyDescent="0.25">
      <c r="A347" s="173"/>
    </row>
    <row r="348" spans="1:1" x14ac:dyDescent="0.25">
      <c r="A348" s="173"/>
    </row>
    <row r="349" spans="1:1" x14ac:dyDescent="0.25">
      <c r="A349" s="173"/>
    </row>
    <row r="350" spans="1:1" x14ac:dyDescent="0.25">
      <c r="A350" s="173"/>
    </row>
    <row r="351" spans="1:1" x14ac:dyDescent="0.25">
      <c r="A351" s="173"/>
    </row>
    <row r="352" spans="1:1" x14ac:dyDescent="0.25">
      <c r="A352" s="173"/>
    </row>
    <row r="353" spans="1:1" x14ac:dyDescent="0.25">
      <c r="A353" s="173"/>
    </row>
    <row r="354" spans="1:1" x14ac:dyDescent="0.25">
      <c r="A354" s="173"/>
    </row>
    <row r="355" spans="1:1" x14ac:dyDescent="0.25">
      <c r="A355" s="173"/>
    </row>
    <row r="356" spans="1:1" x14ac:dyDescent="0.25">
      <c r="A356" s="173"/>
    </row>
    <row r="357" spans="1:1" x14ac:dyDescent="0.25">
      <c r="A357" s="173"/>
    </row>
    <row r="358" spans="1:1" x14ac:dyDescent="0.25">
      <c r="A358" s="173"/>
    </row>
    <row r="359" spans="1:1" x14ac:dyDescent="0.25">
      <c r="A359" s="173"/>
    </row>
    <row r="360" spans="1:1" x14ac:dyDescent="0.25">
      <c r="A360" s="173"/>
    </row>
    <row r="361" spans="1:1" x14ac:dyDescent="0.25">
      <c r="A361" s="173"/>
    </row>
    <row r="362" spans="1:1" x14ac:dyDescent="0.25">
      <c r="A362" s="173"/>
    </row>
    <row r="363" spans="1:1" x14ac:dyDescent="0.25">
      <c r="A363" s="173"/>
    </row>
    <row r="364" spans="1:1" x14ac:dyDescent="0.25">
      <c r="A364" s="173"/>
    </row>
    <row r="365" spans="1:1" x14ac:dyDescent="0.25">
      <c r="A365" s="173"/>
    </row>
    <row r="366" spans="1:1" x14ac:dyDescent="0.25">
      <c r="A366" s="173"/>
    </row>
    <row r="367" spans="1:1" x14ac:dyDescent="0.25">
      <c r="A367" s="173"/>
    </row>
    <row r="368" spans="1:1" x14ac:dyDescent="0.25">
      <c r="A368" s="173"/>
    </row>
    <row r="369" spans="1:1" x14ac:dyDescent="0.25">
      <c r="A369" s="173"/>
    </row>
    <row r="370" spans="1:1" x14ac:dyDescent="0.25">
      <c r="A370" s="173"/>
    </row>
    <row r="371" spans="1:1" x14ac:dyDescent="0.25">
      <c r="A371" s="173"/>
    </row>
    <row r="372" spans="1:1" x14ac:dyDescent="0.25">
      <c r="A372" s="173"/>
    </row>
    <row r="373" spans="1:1" x14ac:dyDescent="0.25">
      <c r="A373" s="173"/>
    </row>
    <row r="374" spans="1:1" x14ac:dyDescent="0.25">
      <c r="A374" s="173"/>
    </row>
    <row r="375" spans="1:1" x14ac:dyDescent="0.25">
      <c r="A375" s="173"/>
    </row>
    <row r="376" spans="1:1" x14ac:dyDescent="0.25">
      <c r="A376" s="173"/>
    </row>
    <row r="377" spans="1:1" x14ac:dyDescent="0.25">
      <c r="A377" s="173"/>
    </row>
    <row r="378" spans="1:1" x14ac:dyDescent="0.25">
      <c r="A378" s="173"/>
    </row>
    <row r="379" spans="1:1" x14ac:dyDescent="0.25">
      <c r="A379" s="173"/>
    </row>
    <row r="380" spans="1:1" x14ac:dyDescent="0.25">
      <c r="A380" s="173"/>
    </row>
    <row r="381" spans="1:1" x14ac:dyDescent="0.25">
      <c r="A381" s="173"/>
    </row>
    <row r="382" spans="1:1" x14ac:dyDescent="0.25">
      <c r="A382" s="173"/>
    </row>
    <row r="383" spans="1:1" x14ac:dyDescent="0.25">
      <c r="A383" s="173"/>
    </row>
    <row r="384" spans="1:1" x14ac:dyDescent="0.25">
      <c r="A384" s="173"/>
    </row>
    <row r="385" spans="1:1" x14ac:dyDescent="0.25">
      <c r="A385" s="173"/>
    </row>
    <row r="386" spans="1:1" x14ac:dyDescent="0.25">
      <c r="A386" s="173"/>
    </row>
    <row r="387" spans="1:1" x14ac:dyDescent="0.25">
      <c r="A387" s="173"/>
    </row>
    <row r="388" spans="1:1" x14ac:dyDescent="0.25">
      <c r="A388" s="173"/>
    </row>
    <row r="389" spans="1:1" x14ac:dyDescent="0.25">
      <c r="A389" s="173"/>
    </row>
    <row r="390" spans="1:1" x14ac:dyDescent="0.25">
      <c r="A390" s="173"/>
    </row>
    <row r="391" spans="1:1" x14ac:dyDescent="0.25">
      <c r="A391" s="173"/>
    </row>
    <row r="392" spans="1:1" x14ac:dyDescent="0.25">
      <c r="A392" s="173"/>
    </row>
    <row r="393" spans="1:1" x14ac:dyDescent="0.25">
      <c r="A393" s="173"/>
    </row>
    <row r="394" spans="1:1" x14ac:dyDescent="0.25">
      <c r="A394" s="173"/>
    </row>
    <row r="395" spans="1:1" x14ac:dyDescent="0.25">
      <c r="A395" s="173"/>
    </row>
    <row r="396" spans="1:1" x14ac:dyDescent="0.25">
      <c r="A396" s="173"/>
    </row>
    <row r="397" spans="1:1" x14ac:dyDescent="0.25">
      <c r="A397" s="173"/>
    </row>
    <row r="398" spans="1:1" x14ac:dyDescent="0.25">
      <c r="A398" s="173"/>
    </row>
    <row r="399" spans="1:1" x14ac:dyDescent="0.25">
      <c r="A399" s="173"/>
    </row>
    <row r="400" spans="1:1" x14ac:dyDescent="0.25">
      <c r="A400" s="173"/>
    </row>
    <row r="401" spans="1:1" x14ac:dyDescent="0.25">
      <c r="A401" s="173"/>
    </row>
    <row r="402" spans="1:1" x14ac:dyDescent="0.25">
      <c r="A402" s="173"/>
    </row>
    <row r="403" spans="1:1" x14ac:dyDescent="0.25">
      <c r="A403" s="17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PaymentSummary</vt:lpstr>
      <vt:lpstr>SurtaxPayment</vt:lpstr>
      <vt:lpstr>Data</vt:lpstr>
      <vt:lpstr>Notes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2022-03-10T16:43:44Z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