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3\"/>
    </mc:Choice>
  </mc:AlternateContent>
  <xr:revisionPtr revIDLastSave="0" documentId="13_ncr:1_{DD8EAE03-8A70-4561-BDE0-E80A88C9DB3B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SurtaxPayment" sheetId="17" state="hidden" r:id="rId5"/>
    <sheet name="Data" sheetId="11" state="hidden" r:id="rId6"/>
    <sheet name="Notes" sheetId="10" state="hidden" r:id="rId7"/>
    <sheet name="PaymentSummary" sheetId="12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7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4">SurtaxPayment!$1:$5</definedName>
  </definedNames>
  <calcPr calcId="191029" iterateDelta="0"/>
</workbook>
</file>

<file path=xl/calcChain.xml><?xml version="1.0" encoding="utf-8"?>
<calcChain xmlns="http://schemas.openxmlformats.org/spreadsheetml/2006/main">
  <c r="N303" i="5" l="1"/>
  <c r="J7" i="5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6" i="3"/>
  <c r="B18" i="10"/>
  <c r="E330" i="15" l="1"/>
  <c r="T333" i="17" l="1"/>
  <c r="U333" i="17"/>
  <c r="S333" i="17"/>
  <c r="P333" i="17"/>
  <c r="Q333" i="17"/>
  <c r="O333" i="17"/>
  <c r="L333" i="17"/>
  <c r="M333" i="17"/>
  <c r="K333" i="17"/>
  <c r="Q334" i="5" l="1"/>
  <c r="B19" i="10" s="1"/>
  <c r="AN329" i="11" l="1"/>
  <c r="G42" i="12"/>
  <c r="E329" i="11" l="1"/>
  <c r="D1" i="15" l="1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332" i="5"/>
  <c r="S332" i="5" s="1"/>
  <c r="T332" i="5" s="1"/>
  <c r="R333" i="5"/>
  <c r="S333" i="5" s="1"/>
  <c r="T333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G301" i="2" s="1"/>
  <c r="F4" i="2"/>
  <c r="E4" i="2"/>
  <c r="D4" i="2"/>
  <c r="D71" i="2" s="1"/>
  <c r="C4" i="2"/>
  <c r="B4" i="2"/>
  <c r="A7" i="2"/>
  <c r="A8" i="2"/>
  <c r="A9" i="2"/>
  <c r="A10" i="2"/>
  <c r="A11" i="2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G25" i="2" s="1"/>
  <c r="A26" i="2"/>
  <c r="A27" i="2"/>
  <c r="A28" i="2"/>
  <c r="G28" i="2" s="1"/>
  <c r="A29" i="2"/>
  <c r="A30" i="2"/>
  <c r="A31" i="2"/>
  <c r="A32" i="2"/>
  <c r="A33" i="2"/>
  <c r="A34" i="2"/>
  <c r="A35" i="2"/>
  <c r="A36" i="2"/>
  <c r="A37" i="2"/>
  <c r="A38" i="2"/>
  <c r="F38" i="2" s="1"/>
  <c r="A39" i="2"/>
  <c r="A40" i="2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A60" i="2"/>
  <c r="A61" i="2"/>
  <c r="A62" i="2"/>
  <c r="A63" i="2"/>
  <c r="A64" i="2"/>
  <c r="F64" i="2" s="1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G137" i="2" s="1"/>
  <c r="A138" i="2"/>
  <c r="A139" i="2"/>
  <c r="A140" i="2"/>
  <c r="F140" i="2" s="1"/>
  <c r="A141" i="2"/>
  <c r="A142" i="2"/>
  <c r="A143" i="2"/>
  <c r="A144" i="2"/>
  <c r="B144" i="2" s="1"/>
  <c r="A145" i="2"/>
  <c r="C145" i="2" s="1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A158" i="2"/>
  <c r="A159" i="2"/>
  <c r="A160" i="2"/>
  <c r="G160" i="2" s="1"/>
  <c r="A161" i="2"/>
  <c r="A162" i="2"/>
  <c r="A163" i="2"/>
  <c r="G163" i="2" s="1"/>
  <c r="A164" i="2"/>
  <c r="A165" i="2"/>
  <c r="A166" i="2"/>
  <c r="A167" i="2"/>
  <c r="A168" i="2"/>
  <c r="A169" i="2"/>
  <c r="G169" i="2" s="1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A182" i="2"/>
  <c r="A183" i="2"/>
  <c r="A184" i="2"/>
  <c r="G184" i="2" s="1"/>
  <c r="A185" i="2"/>
  <c r="C185" i="2" s="1"/>
  <c r="A186" i="2"/>
  <c r="A187" i="2"/>
  <c r="A188" i="2"/>
  <c r="A189" i="2"/>
  <c r="A190" i="2"/>
  <c r="A191" i="2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A206" i="2"/>
  <c r="A207" i="2"/>
  <c r="A208" i="2"/>
  <c r="C208" i="2" s="1"/>
  <c r="A209" i="2"/>
  <c r="G209" i="2" s="1"/>
  <c r="A210" i="2"/>
  <c r="B210" i="2" s="1"/>
  <c r="A211" i="2"/>
  <c r="G211" i="2" s="1"/>
  <c r="A212" i="2"/>
  <c r="F212" i="2" s="1"/>
  <c r="A213" i="2"/>
  <c r="A214" i="2"/>
  <c r="A215" i="2"/>
  <c r="A216" i="2"/>
  <c r="A217" i="2"/>
  <c r="G217" i="2" s="1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C244" i="2" s="1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G265" i="2" s="1"/>
  <c r="A266" i="2"/>
  <c r="A267" i="2"/>
  <c r="E267" i="2" s="1"/>
  <c r="A268" i="2"/>
  <c r="G268" i="2" s="1"/>
  <c r="A269" i="2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G328" i="2" s="1"/>
  <c r="A329" i="2"/>
  <c r="A330" i="2"/>
  <c r="C330" i="2" s="1"/>
  <c r="A331" i="2"/>
  <c r="A332" i="2"/>
  <c r="A6" i="2"/>
  <c r="B4" i="1"/>
  <c r="B87" i="1" s="1"/>
  <c r="A7" i="1"/>
  <c r="A8" i="1"/>
  <c r="A9" i="1"/>
  <c r="A10" i="1"/>
  <c r="A11" i="1"/>
  <c r="A12" i="1"/>
  <c r="D12" i="1" s="1"/>
  <c r="A13" i="1"/>
  <c r="A14" i="1"/>
  <c r="A15" i="1"/>
  <c r="A16" i="1"/>
  <c r="A17" i="1"/>
  <c r="B17" i="1" s="1"/>
  <c r="A18" i="1"/>
  <c r="A19" i="1"/>
  <c r="A20" i="1"/>
  <c r="A21" i="1"/>
  <c r="A22" i="1"/>
  <c r="A23" i="1"/>
  <c r="A24" i="1"/>
  <c r="B24" i="1" s="1"/>
  <c r="A25" i="1"/>
  <c r="A26" i="1"/>
  <c r="A27" i="1"/>
  <c r="A28" i="1"/>
  <c r="D28" i="1" s="1"/>
  <c r="A29" i="1"/>
  <c r="A30" i="1"/>
  <c r="B30" i="1" s="1"/>
  <c r="A31" i="1"/>
  <c r="A32" i="1"/>
  <c r="A33" i="1"/>
  <c r="A34" i="1"/>
  <c r="A35" i="1"/>
  <c r="A36" i="1"/>
  <c r="C36" i="1" s="1"/>
  <c r="A37" i="1"/>
  <c r="A38" i="1"/>
  <c r="A39" i="1"/>
  <c r="A40" i="1"/>
  <c r="A41" i="1"/>
  <c r="A42" i="1"/>
  <c r="A43" i="1"/>
  <c r="A44" i="1"/>
  <c r="C44" i="1" s="1"/>
  <c r="A45" i="1"/>
  <c r="A46" i="1"/>
  <c r="A47" i="1"/>
  <c r="A48" i="1"/>
  <c r="B48" i="1" s="1"/>
  <c r="A49" i="1"/>
  <c r="D49" i="1" s="1"/>
  <c r="A50" i="1"/>
  <c r="A51" i="1"/>
  <c r="B51" i="1" s="1"/>
  <c r="A52" i="1"/>
  <c r="C52" i="1" s="1"/>
  <c r="A53" i="1"/>
  <c r="A54" i="1"/>
  <c r="B54" i="1" s="1"/>
  <c r="A55" i="1"/>
  <c r="A56" i="1"/>
  <c r="A57" i="1"/>
  <c r="A58" i="1"/>
  <c r="A59" i="1"/>
  <c r="B59" i="1" s="1"/>
  <c r="A60" i="1"/>
  <c r="B60" i="1" s="1"/>
  <c r="A61" i="1"/>
  <c r="A62" i="1"/>
  <c r="A63" i="1"/>
  <c r="A64" i="1"/>
  <c r="A65" i="1"/>
  <c r="B65" i="1" s="1"/>
  <c r="A66" i="1"/>
  <c r="B66" i="1" s="1"/>
  <c r="A67" i="1"/>
  <c r="D67" i="1" s="1"/>
  <c r="A68" i="1"/>
  <c r="C68" i="1" s="1"/>
  <c r="A69" i="1"/>
  <c r="A70" i="1"/>
  <c r="A71" i="1"/>
  <c r="A72" i="1"/>
  <c r="A73" i="1"/>
  <c r="A74" i="1"/>
  <c r="A75" i="1"/>
  <c r="D75" i="1" s="1"/>
  <c r="A76" i="1"/>
  <c r="D76" i="1" s="1"/>
  <c r="A77" i="1"/>
  <c r="A78" i="1"/>
  <c r="B78" i="1" s="1"/>
  <c r="A79" i="1"/>
  <c r="A80" i="1"/>
  <c r="A81" i="1"/>
  <c r="A82" i="1"/>
  <c r="A83" i="1"/>
  <c r="A84" i="1"/>
  <c r="C84" i="1" s="1"/>
  <c r="A85" i="1"/>
  <c r="A86" i="1"/>
  <c r="A87" i="1"/>
  <c r="A88" i="1"/>
  <c r="A89" i="1"/>
  <c r="A90" i="1"/>
  <c r="A91" i="1"/>
  <c r="A92" i="1"/>
  <c r="A93" i="1"/>
  <c r="A94" i="1"/>
  <c r="A95" i="1"/>
  <c r="A96" i="1"/>
  <c r="B96" i="1" s="1"/>
  <c r="A97" i="1"/>
  <c r="A98" i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D124" i="1" s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C137" i="1" s="1"/>
  <c r="A138" i="1"/>
  <c r="A139" i="1"/>
  <c r="D139" i="1" s="1"/>
  <c r="A140" i="1"/>
  <c r="A141" i="1"/>
  <c r="A142" i="1"/>
  <c r="A143" i="1"/>
  <c r="A144" i="1"/>
  <c r="A145" i="1"/>
  <c r="D145" i="1" s="1"/>
  <c r="A146" i="1"/>
  <c r="A147" i="1"/>
  <c r="A148" i="1"/>
  <c r="C148" i="1" s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C161" i="1" s="1"/>
  <c r="A162" i="1"/>
  <c r="A163" i="1"/>
  <c r="A164" i="1"/>
  <c r="A165" i="1"/>
  <c r="A166" i="1"/>
  <c r="A167" i="1"/>
  <c r="A168" i="1"/>
  <c r="A169" i="1"/>
  <c r="C169" i="1" s="1"/>
  <c r="A170" i="1"/>
  <c r="A171" i="1"/>
  <c r="A172" i="1"/>
  <c r="D172" i="1" s="1"/>
  <c r="A173" i="1"/>
  <c r="A174" i="1"/>
  <c r="B174" i="1" s="1"/>
  <c r="A175" i="1"/>
  <c r="A176" i="1"/>
  <c r="A177" i="1"/>
  <c r="C177" i="1" s="1"/>
  <c r="A178" i="1"/>
  <c r="A179" i="1"/>
  <c r="A180" i="1"/>
  <c r="A181" i="1"/>
  <c r="A182" i="1"/>
  <c r="A183" i="1"/>
  <c r="A184" i="1"/>
  <c r="A185" i="1"/>
  <c r="A186" i="1"/>
  <c r="B186" i="1" s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A198" i="1"/>
  <c r="A199" i="1"/>
  <c r="A200" i="1"/>
  <c r="B200" i="1" s="1"/>
  <c r="A201" i="1"/>
  <c r="A202" i="1"/>
  <c r="A203" i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A215" i="1"/>
  <c r="A216" i="1"/>
  <c r="A217" i="1"/>
  <c r="D217" i="1" s="1"/>
  <c r="A218" i="1"/>
  <c r="A219" i="1"/>
  <c r="A220" i="1"/>
  <c r="A221" i="1"/>
  <c r="A222" i="1"/>
  <c r="A223" i="1"/>
  <c r="A224" i="1"/>
  <c r="A225" i="1"/>
  <c r="C225" i="1" s="1"/>
  <c r="A226" i="1"/>
  <c r="A227" i="1"/>
  <c r="A228" i="1"/>
  <c r="A229" i="1"/>
  <c r="A230" i="1"/>
  <c r="A231" i="1"/>
  <c r="A232" i="1"/>
  <c r="A233" i="1"/>
  <c r="A234" i="1"/>
  <c r="A235" i="1"/>
  <c r="C235" i="1" s="1"/>
  <c r="A236" i="1"/>
  <c r="A237" i="1"/>
  <c r="A238" i="1"/>
  <c r="A239" i="1"/>
  <c r="A240" i="1"/>
  <c r="A241" i="1"/>
  <c r="A242" i="1"/>
  <c r="A243" i="1"/>
  <c r="B243" i="1" s="1"/>
  <c r="A244" i="1"/>
  <c r="C244" i="1" s="1"/>
  <c r="A245" i="1"/>
  <c r="A246" i="1"/>
  <c r="A247" i="1"/>
  <c r="A248" i="1"/>
  <c r="A249" i="1"/>
  <c r="A250" i="1"/>
  <c r="B250" i="1" s="1"/>
  <c r="A251" i="1"/>
  <c r="C251" i="1" s="1"/>
  <c r="A252" i="1"/>
  <c r="A253" i="1"/>
  <c r="A254" i="1"/>
  <c r="A255" i="1"/>
  <c r="A256" i="1"/>
  <c r="A257" i="1"/>
  <c r="A258" i="1"/>
  <c r="A259" i="1"/>
  <c r="D259" i="1" s="1"/>
  <c r="A260" i="1"/>
  <c r="A261" i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D273" i="1" s="1"/>
  <c r="A274" i="1"/>
  <c r="A275" i="1"/>
  <c r="C275" i="1" s="1"/>
  <c r="A276" i="1"/>
  <c r="D276" i="1" s="1"/>
  <c r="A277" i="1"/>
  <c r="A278" i="1"/>
  <c r="A279" i="1"/>
  <c r="A280" i="1"/>
  <c r="A281" i="1"/>
  <c r="A282" i="1"/>
  <c r="A283" i="1"/>
  <c r="C283" i="1" s="1"/>
  <c r="A284" i="1"/>
  <c r="A285" i="1"/>
  <c r="A286" i="1"/>
  <c r="A287" i="1"/>
  <c r="A288" i="1"/>
  <c r="C288" i="1" s="1"/>
  <c r="A289" i="1"/>
  <c r="D289" i="1" s="1"/>
  <c r="A290" i="1"/>
  <c r="A291" i="1"/>
  <c r="D291" i="1" s="1"/>
  <c r="A292" i="1"/>
  <c r="A293" i="1"/>
  <c r="A294" i="1"/>
  <c r="A295" i="1"/>
  <c r="A296" i="1"/>
  <c r="A297" i="1"/>
  <c r="A298" i="1"/>
  <c r="A299" i="1"/>
  <c r="B299" i="1" s="1"/>
  <c r="A300" i="1"/>
  <c r="C300" i="1" s="1"/>
  <c r="A301" i="1"/>
  <c r="A302" i="1"/>
  <c r="A303" i="1"/>
  <c r="A304" i="1"/>
  <c r="A305" i="1"/>
  <c r="A306" i="1"/>
  <c r="B306" i="1" s="1"/>
  <c r="A307" i="1"/>
  <c r="B307" i="1" s="1"/>
  <c r="A308" i="1"/>
  <c r="A309" i="1"/>
  <c r="A310" i="1"/>
  <c r="A311" i="1"/>
  <c r="A312" i="1"/>
  <c r="A313" i="1"/>
  <c r="D313" i="1" s="1"/>
  <c r="A314" i="1"/>
  <c r="A315" i="1"/>
  <c r="A316" i="1"/>
  <c r="A317" i="1"/>
  <c r="A318" i="1"/>
  <c r="A319" i="1"/>
  <c r="A320" i="1"/>
  <c r="A321" i="1"/>
  <c r="A322" i="1"/>
  <c r="A323" i="1"/>
  <c r="B323" i="1" s="1"/>
  <c r="A324" i="1"/>
  <c r="C324" i="1" s="1"/>
  <c r="A325" i="1"/>
  <c r="A326" i="1"/>
  <c r="A327" i="1"/>
  <c r="A328" i="1"/>
  <c r="A329" i="1"/>
  <c r="A330" i="1"/>
  <c r="D330" i="1" s="1"/>
  <c r="A331" i="1"/>
  <c r="A332" i="1"/>
  <c r="C332" i="1" s="1"/>
  <c r="A6" i="1"/>
  <c r="F4" i="1"/>
  <c r="E4" i="1"/>
  <c r="D4" i="1"/>
  <c r="C4" i="1"/>
  <c r="C271" i="1" s="1"/>
  <c r="G215" i="2"/>
  <c r="G250" i="2"/>
  <c r="C202" i="2"/>
  <c r="C317" i="2"/>
  <c r="G305" i="2"/>
  <c r="G289" i="2"/>
  <c r="G281" i="2"/>
  <c r="G277" i="2"/>
  <c r="G253" i="2"/>
  <c r="C245" i="2"/>
  <c r="G229" i="2"/>
  <c r="G221" i="2"/>
  <c r="C221" i="2"/>
  <c r="C209" i="2"/>
  <c r="G193" i="2"/>
  <c r="C193" i="2"/>
  <c r="B193" i="2"/>
  <c r="G185" i="2"/>
  <c r="C173" i="2"/>
  <c r="G161" i="2"/>
  <c r="C161" i="2"/>
  <c r="C149" i="2"/>
  <c r="G145" i="2"/>
  <c r="E141" i="2"/>
  <c r="C137" i="2"/>
  <c r="G133" i="2"/>
  <c r="C133" i="2"/>
  <c r="G125" i="2"/>
  <c r="G121" i="2"/>
  <c r="C101" i="2"/>
  <c r="E93" i="2"/>
  <c r="G89" i="2"/>
  <c r="G85" i="2"/>
  <c r="C77" i="2"/>
  <c r="G73" i="2"/>
  <c r="C69" i="2"/>
  <c r="G65" i="2"/>
  <c r="C53" i="2"/>
  <c r="G49" i="2"/>
  <c r="G41" i="2"/>
  <c r="G37" i="2"/>
  <c r="G33" i="2"/>
  <c r="C25" i="2"/>
  <c r="G13" i="2"/>
  <c r="C13" i="2"/>
  <c r="B115" i="2"/>
  <c r="C280" i="2"/>
  <c r="G208" i="2"/>
  <c r="G136" i="2"/>
  <c r="C104" i="2"/>
  <c r="C88" i="2"/>
  <c r="B88" i="2"/>
  <c r="C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F163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F103" i="2"/>
  <c r="G95" i="2"/>
  <c r="F95" i="2"/>
  <c r="G91" i="2"/>
  <c r="F91" i="2"/>
  <c r="F83" i="2"/>
  <c r="F79" i="2"/>
  <c r="G79" i="2"/>
  <c r="G71" i="2"/>
  <c r="F71" i="2"/>
  <c r="F67" i="2"/>
  <c r="G67" i="2"/>
  <c r="F59" i="2"/>
  <c r="F55" i="2"/>
  <c r="G47" i="2"/>
  <c r="F47" i="2"/>
  <c r="G43" i="2"/>
  <c r="F43" i="2"/>
  <c r="F39" i="2"/>
  <c r="G35" i="2"/>
  <c r="F31" i="2"/>
  <c r="E27" i="2"/>
  <c r="G23" i="2"/>
  <c r="F23" i="2"/>
  <c r="G19" i="2"/>
  <c r="F19" i="2"/>
  <c r="F15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C155" i="2"/>
  <c r="C139" i="2"/>
  <c r="C107" i="2"/>
  <c r="C91" i="2"/>
  <c r="C43" i="2"/>
  <c r="C175" i="2"/>
  <c r="C143" i="2"/>
  <c r="C127" i="2"/>
  <c r="C95" i="2"/>
  <c r="C79" i="2"/>
  <c r="C47" i="2"/>
  <c r="C31" i="2"/>
  <c r="B267" i="1"/>
  <c r="C247" i="1"/>
  <c r="B247" i="1"/>
  <c r="C199" i="1"/>
  <c r="B199" i="1"/>
  <c r="B327" i="1"/>
  <c r="B279" i="1"/>
  <c r="D231" i="1"/>
  <c r="C231" i="1"/>
  <c r="D203" i="1"/>
  <c r="C151" i="1"/>
  <c r="B151" i="1"/>
  <c r="C123" i="1"/>
  <c r="C87" i="1"/>
  <c r="C79" i="1"/>
  <c r="C63" i="1"/>
  <c r="B39" i="1"/>
  <c r="B31" i="1"/>
  <c r="B19" i="1"/>
  <c r="C15" i="1"/>
  <c r="B15" i="1"/>
  <c r="C7" i="1"/>
  <c r="B7" i="1"/>
  <c r="B90" i="1"/>
  <c r="C66" i="1"/>
  <c r="B46" i="1"/>
  <c r="B42" i="1"/>
  <c r="C30" i="1"/>
  <c r="B22" i="1"/>
  <c r="B271" i="1"/>
  <c r="C243" i="1"/>
  <c r="C207" i="1"/>
  <c r="D183" i="1"/>
  <c r="C183" i="1"/>
  <c r="D147" i="1"/>
  <c r="C127" i="1"/>
  <c r="B127" i="1"/>
  <c r="C111" i="1"/>
  <c r="D99" i="1"/>
  <c r="C67" i="1"/>
  <c r="B43" i="1"/>
  <c r="C27" i="1"/>
  <c r="B27" i="1"/>
  <c r="C306" i="1"/>
  <c r="D210" i="1"/>
  <c r="C210" i="1"/>
  <c r="C174" i="1"/>
  <c r="C150" i="1"/>
  <c r="C138" i="1"/>
  <c r="C114" i="1"/>
  <c r="D82" i="1"/>
  <c r="C325" i="1"/>
  <c r="D301" i="1"/>
  <c r="B286" i="1"/>
  <c r="B222" i="1"/>
  <c r="C331" i="1"/>
  <c r="D319" i="1"/>
  <c r="D195" i="1"/>
  <c r="C330" i="1"/>
  <c r="D282" i="1"/>
  <c r="D270" i="1"/>
  <c r="D258" i="1"/>
  <c r="B58" i="1"/>
  <c r="C321" i="1"/>
  <c r="C313" i="1"/>
  <c r="C297" i="1"/>
  <c r="C289" i="1"/>
  <c r="C285" i="1"/>
  <c r="C273" i="1"/>
  <c r="D253" i="1"/>
  <c r="C241" i="1"/>
  <c r="C233" i="1"/>
  <c r="D229" i="1"/>
  <c r="C229" i="1"/>
  <c r="D205" i="1"/>
  <c r="C201" i="1"/>
  <c r="C193" i="1"/>
  <c r="D189" i="1"/>
  <c r="D181" i="1"/>
  <c r="C165" i="1"/>
  <c r="D157" i="1"/>
  <c r="C153" i="1"/>
  <c r="C145" i="1"/>
  <c r="C141" i="1"/>
  <c r="D133" i="1"/>
  <c r="D129" i="1"/>
  <c r="B265" i="1"/>
  <c r="B201" i="1"/>
  <c r="D324" i="1"/>
  <c r="C312" i="1"/>
  <c r="D248" i="1"/>
  <c r="C216" i="1"/>
  <c r="D192" i="1"/>
  <c r="B168" i="1"/>
  <c r="C168" i="1"/>
  <c r="B144" i="1"/>
  <c r="B120" i="1"/>
  <c r="C96" i="1"/>
  <c r="C80" i="1"/>
  <c r="C56" i="1"/>
  <c r="D52" i="1"/>
  <c r="C24" i="1"/>
  <c r="B312" i="1"/>
  <c r="B264" i="1"/>
  <c r="B253" i="1"/>
  <c r="B237" i="1"/>
  <c r="B232" i="1"/>
  <c r="B154" i="1"/>
  <c r="B114" i="1"/>
  <c r="D121" i="1"/>
  <c r="D97" i="1"/>
  <c r="D85" i="1"/>
  <c r="D73" i="1"/>
  <c r="D61" i="1"/>
  <c r="D45" i="1"/>
  <c r="B41" i="1"/>
  <c r="B37" i="1"/>
  <c r="D33" i="1"/>
  <c r="D21" i="1"/>
  <c r="B13" i="1"/>
  <c r="B9" i="1"/>
  <c r="C69" i="1"/>
  <c r="C25" i="1"/>
  <c r="C121" i="1"/>
  <c r="C105" i="1"/>
  <c r="C73" i="1"/>
  <c r="C57" i="1"/>
  <c r="C21" i="1"/>
  <c r="C97" i="1"/>
  <c r="C81" i="1"/>
  <c r="C49" i="1"/>
  <c r="B1" i="10"/>
  <c r="C203" i="1" l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A45" i="10"/>
  <c r="B25" i="12" s="1"/>
  <c r="B26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A36" i="10"/>
  <c r="B16" i="12" s="1"/>
  <c r="B84" i="1"/>
  <c r="C265" i="1"/>
  <c r="C249" i="1"/>
  <c r="C329" i="2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C265" i="2"/>
  <c r="C270" i="1"/>
  <c r="D246" i="1"/>
  <c r="C182" i="1"/>
  <c r="D175" i="2"/>
  <c r="D196" i="2"/>
  <c r="E329" i="2"/>
  <c r="B107" i="2"/>
  <c r="G40" i="2"/>
  <c r="B61" i="1"/>
  <c r="B301" i="1"/>
  <c r="B270" i="1"/>
  <c r="B6" i="1"/>
  <c r="C78" i="1"/>
  <c r="G11" i="2"/>
  <c r="G31" i="2"/>
  <c r="G55" i="2"/>
  <c r="G103" i="2"/>
  <c r="G155" i="2"/>
  <c r="D40" i="2"/>
  <c r="G61" i="2"/>
  <c r="G197" i="2"/>
  <c r="G207" i="2"/>
  <c r="G191" i="2"/>
  <c r="G63" i="2"/>
  <c r="G246" i="2"/>
  <c r="G102" i="2"/>
  <c r="C310" i="1"/>
  <c r="C246" i="1"/>
  <c r="C214" i="1"/>
  <c r="C198" i="1"/>
  <c r="C142" i="1"/>
  <c r="C126" i="1"/>
  <c r="C94" i="1"/>
  <c r="C70" i="1"/>
  <c r="C62" i="1"/>
  <c r="C38" i="1"/>
  <c r="B129" i="1"/>
  <c r="G166" i="2"/>
  <c r="B319" i="1"/>
  <c r="G59" i="2"/>
  <c r="G83" i="2"/>
  <c r="G109" i="2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G285" i="2"/>
  <c r="G269" i="2"/>
  <c r="G237" i="2"/>
  <c r="G205" i="2"/>
  <c r="G181" i="2"/>
  <c r="G157" i="2"/>
  <c r="G141" i="2"/>
  <c r="C59" i="2"/>
  <c r="F35" i="2"/>
  <c r="F11" i="2"/>
  <c r="C308" i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Q43" i="3" s="1"/>
  <c r="D43" i="3" s="1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Q99" i="3" s="1"/>
  <c r="D99" i="3" s="1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151" i="3"/>
  <c r="D151" i="3" s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R276" i="3" s="1"/>
  <c r="E276" i="3" s="1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R101" i="3" s="1"/>
  <c r="E101" i="3" s="1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R25" i="3" s="1"/>
  <c r="E25" i="3" s="1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R22" i="3" s="1"/>
  <c r="E22" i="3" s="1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Q277" i="3" s="1"/>
  <c r="D277" i="3" s="1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9" i="3"/>
  <c r="C89" i="3" s="1"/>
  <c r="Q97" i="3"/>
  <c r="D97" i="3" s="1"/>
  <c r="F109" i="2"/>
  <c r="S109" i="3" s="1"/>
  <c r="F109" i="3" s="1"/>
  <c r="Q129" i="3"/>
  <c r="D129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F310" i="1"/>
  <c r="F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E130" i="1"/>
  <c r="F130" i="1"/>
  <c r="E332" i="5"/>
  <c r="D332" i="5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M7" i="5" l="1"/>
  <c r="M224" i="5"/>
  <c r="M15" i="5"/>
  <c r="M104" i="5"/>
  <c r="M238" i="5"/>
  <c r="T9" i="3"/>
  <c r="G9" i="3"/>
  <c r="L7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H330" i="3" l="1"/>
  <c r="H26" i="3"/>
  <c r="N187" i="5"/>
  <c r="N269" i="5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<sst xmlns="http://schemas.openxmlformats.org/spreadsheetml/2006/main" count="4486" uniqueCount="1165">
  <si>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</si>
  <si>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</si>
  <si>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</si>
  <si>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</si>
  <si>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</si>
  <si>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</si>
  <si>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</si>
  <si>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</si>
  <si>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</si>
  <si>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</si>
  <si>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</si>
  <si>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</si>
  <si>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</si>
  <si>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</si>
  <si>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</si>
  <si>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</si>
  <si>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</si>
  <si>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</si>
  <si>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</si>
  <si>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</si>
  <si>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</si>
  <si>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</si>
  <si>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</si>
  <si>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</si>
  <si>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</si>
  <si>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</si>
  <si>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</si>
  <si>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</si>
  <si>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</si>
  <si>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</si>
  <si>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</si>
  <si>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</si>
  <si>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</si>
  <si>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</si>
  <si>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</si>
  <si>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</si>
  <si>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</si>
  <si>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</si>
  <si>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</si>
  <si>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</si>
  <si>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</si>
  <si>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</si>
  <si>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</si>
  <si>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</si>
  <si>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</si>
  <si>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</si>
  <si>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</si>
  <si>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</si>
  <si>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</si>
  <si>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</si>
  <si>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</si>
  <si>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</si>
  <si>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</si>
  <si>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</si>
  <si>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</si>
  <si>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</si>
  <si>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</si>
  <si>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</si>
  <si>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</si>
  <si>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</si>
  <si>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</si>
  <si>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</si>
  <si>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</si>
  <si>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</si>
  <si>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</si>
  <si>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</si>
  <si>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</si>
  <si>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</si>
  <si>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</si>
  <si>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</si>
  <si>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</si>
  <si>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</si>
  <si>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</si>
  <si>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</si>
  <si>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</si>
  <si>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</si>
  <si>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</si>
  <si>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</si>
  <si>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</si>
  <si>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</si>
  <si>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</si>
  <si>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</si>
  <si>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</si>
  <si>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</si>
  <si>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</si>
  <si>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</si>
  <si>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</si>
  <si>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</si>
  <si>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</si>
  <si>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</si>
  <si>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</si>
  <si>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</si>
  <si>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</si>
  <si>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</si>
  <si>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</si>
  <si>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</si>
  <si>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</si>
  <si>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</si>
  <si>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</si>
  <si>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</si>
  <si>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</si>
  <si>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</si>
  <si>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</si>
  <si>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</si>
  <si>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</si>
  <si>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</si>
  <si>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</si>
  <si>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</si>
  <si>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</si>
  <si>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</si>
  <si>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</si>
  <si>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</si>
  <si>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</si>
  <si>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</si>
  <si>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</si>
  <si>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</si>
  <si>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</si>
  <si>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</si>
  <si>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</si>
  <si>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</si>
  <si>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</si>
  <si>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</si>
  <si>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</si>
  <si>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</si>
  <si>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</si>
  <si>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</si>
  <si>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</si>
  <si>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</si>
  <si>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</si>
  <si>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</si>
  <si>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</si>
  <si>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</si>
  <si>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</si>
  <si>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</si>
  <si>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</si>
  <si>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</si>
  <si>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</si>
  <si>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</si>
  <si>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</si>
  <si>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</si>
  <si>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</si>
  <si>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</si>
  <si>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</si>
  <si>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</si>
  <si>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</si>
  <si>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</si>
  <si>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</si>
  <si>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</si>
  <si>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</si>
  <si>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</si>
  <si>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</si>
  <si>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</si>
  <si>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</si>
  <si>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</si>
  <si>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</si>
  <si>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</si>
  <si>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</si>
  <si>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</si>
  <si>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</si>
  <si>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</si>
  <si>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</si>
  <si>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</si>
  <si>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</si>
  <si>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</si>
  <si>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</si>
  <si>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</si>
  <si>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</si>
  <si>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</si>
  <si>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</si>
  <si>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</si>
  <si>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</si>
  <si>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</si>
  <si>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</si>
  <si>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</si>
  <si>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</si>
  <si>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</si>
  <si>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</si>
  <si>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</si>
  <si>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</si>
  <si>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</si>
  <si>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</si>
  <si>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</si>
  <si>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</si>
  <si>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</si>
  <si>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</si>
  <si>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</si>
  <si>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</si>
  <si>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</si>
  <si>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</si>
  <si>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</si>
  <si>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</si>
  <si>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</si>
  <si>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</si>
  <si>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</si>
  <si>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</si>
  <si>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</si>
  <si>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</si>
  <si>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</si>
  <si>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</si>
  <si>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</si>
  <si>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</si>
  <si>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</si>
  <si>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</si>
  <si>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</si>
  <si>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</si>
  <si>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</si>
  <si>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</si>
  <si>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</si>
  <si>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</si>
  <si>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</si>
  <si>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</si>
  <si>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</si>
  <si>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</si>
  <si>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</si>
  <si>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</si>
  <si>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</si>
  <si>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</si>
  <si>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</si>
  <si>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</si>
  <si>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</si>
  <si>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</si>
  <si>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</si>
  <si>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</si>
  <si>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</si>
  <si>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</si>
  <si>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</si>
  <si>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</si>
  <si>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</si>
  <si>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</si>
  <si>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</si>
  <si>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</si>
  <si>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</si>
  <si>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</si>
  <si>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</si>
  <si>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</si>
  <si>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</si>
  <si>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</si>
  <si>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</si>
  <si>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</si>
  <si>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</si>
  <si>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</si>
  <si>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</si>
  <si>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</si>
  <si>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</si>
  <si>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</si>
  <si>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</si>
  <si>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</si>
  <si>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</si>
  <si>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</si>
  <si>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</si>
  <si>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</si>
  <si>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</si>
  <si>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</si>
  <si>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</si>
  <si>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</si>
  <si>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</si>
  <si>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</si>
  <si>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</si>
  <si>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</si>
  <si>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</si>
  <si>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</si>
  <si>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</si>
  <si>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</si>
  <si>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</si>
  <si>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</si>
  <si>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</si>
  <si>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</si>
  <si>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</si>
  <si>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</si>
  <si>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</si>
  <si>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</si>
  <si>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</si>
  <si>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</si>
  <si>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</si>
  <si>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</si>
  <si>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</si>
  <si>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</si>
  <si>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</si>
  <si>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</si>
  <si>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</si>
  <si>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</si>
  <si>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</si>
  <si>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</si>
  <si>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</si>
  <si>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</si>
  <si>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</si>
  <si>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</si>
  <si>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</si>
  <si>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</si>
  <si>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</si>
  <si>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</si>
  <si>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</si>
  <si>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</si>
  <si>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</si>
  <si>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</si>
  <si>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</si>
  <si>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</si>
  <si>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</si>
  <si>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</si>
  <si>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</si>
  <si>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</si>
  <si>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</si>
  <si>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</si>
  <si>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</si>
  <si>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</si>
  <si>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</si>
  <si>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</si>
  <si>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</si>
  <si>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</si>
  <si>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</si>
  <si>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</si>
  <si>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</si>
  <si>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</si>
  <si>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</si>
  <si>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</si>
  <si>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</si>
  <si>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</si>
  <si>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</si>
  <si>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</si>
  <si>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</si>
  <si>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</si>
  <si>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</si>
  <si>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</si>
  <si>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</si>
  <si>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</si>
  <si>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</si>
  <si>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</si>
  <si>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</si>
  <si>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</si>
  <si>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</si>
  <si>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</si>
  <si>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</si>
  <si>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</si>
  <si>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</si>
  <si>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</si>
  <si>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</si>
  <si>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</si>
  <si>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</si>
  <si>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</si>
  <si>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</si>
  <si>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</si>
  <si>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</si>
  <si>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</si>
  <si>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</si>
  <si>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</si>
  <si>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</si>
  <si>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</si>
  <si>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</si>
  <si>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</si>
  <si>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</si>
  <si>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</si>
  <si>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</si>
  <si>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</si>
  <si>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</si>
  <si>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</si>
  <si>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</si>
  <si>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</si>
  <si>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</si>
  <si>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</si>
  <si>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</si>
  <si>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</si>
  <si>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</si>
  <si>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</si>
  <si>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</si>
  <si>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</si>
  <si>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</si>
  <si>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</si>
  <si>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</si>
  <si>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</si>
  <si>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</si>
  <si>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</si>
  <si>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</si>
  <si>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</si>
  <si>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</si>
  <si>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</si>
  <si>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</si>
  <si>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</si>
  <si>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</si>
  <si>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</si>
  <si>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</si>
  <si>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</si>
  <si>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</si>
  <si>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</si>
  <si>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</si>
  <si>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</si>
  <si>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</si>
  <si>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</si>
  <si>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</si>
  <si>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</si>
  <si>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</si>
  <si>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</si>
  <si>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</si>
  <si>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</si>
  <si>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</si>
  <si>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</si>
  <si>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</si>
  <si>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</si>
  <si>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</si>
  <si>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</si>
  <si>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</si>
  <si>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</si>
  <si>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</si>
  <si>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</si>
  <si>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</si>
  <si>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</si>
  <si>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</si>
  <si>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</si>
  <si>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</si>
  <si>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</si>
  <si>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</si>
  <si>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</si>
  <si>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</si>
  <si>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</si>
  <si>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</si>
  <si>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</si>
  <si>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</si>
  <si>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</si>
  <si>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</si>
  <si>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</si>
  <si>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</si>
  <si>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</si>
  <si>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</si>
  <si>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</si>
  <si>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</si>
  <si>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</si>
  <si>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</si>
  <si>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</si>
  <si>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</si>
  <si>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</si>
  <si>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</si>
  <si>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</si>
  <si>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</si>
  <si>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</si>
  <si>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</si>
  <si>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</si>
  <si>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</si>
  <si>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</si>
  <si>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</si>
  <si>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</si>
  <si>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</si>
  <si>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</si>
  <si>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</si>
  <si>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</si>
  <si>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</si>
  <si>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</si>
  <si>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</si>
  <si>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</si>
  <si>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</si>
  <si>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</si>
  <si>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</si>
  <si>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</si>
  <si>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</si>
  <si>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</si>
  <si>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</si>
  <si>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</si>
  <si>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</si>
  <si>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</si>
  <si>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</si>
  <si>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</si>
  <si>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</si>
  <si>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</si>
  <si>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</si>
  <si>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</si>
  <si>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</si>
  <si>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</si>
  <si>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</si>
  <si>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</si>
  <si>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</si>
  <si>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</si>
  <si>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</si>
  <si>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</si>
  <si>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</si>
  <si>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</si>
  <si>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</si>
  <si>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</si>
  <si>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</si>
  <si>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</si>
  <si>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</si>
  <si>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</si>
  <si>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</si>
  <si>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</si>
  <si>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</si>
  <si>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</si>
  <si>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</si>
  <si>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</si>
  <si>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</si>
  <si>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</si>
  <si>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</si>
  <si>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</si>
  <si>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</si>
  <si>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</si>
  <si>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</si>
  <si>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</si>
  <si>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</si>
  <si>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</si>
  <si>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</si>
  <si>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</si>
  <si>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</si>
  <si>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</si>
  <si>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</si>
  <si>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</si>
  <si>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</si>
  <si>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</si>
  <si>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</si>
  <si>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</si>
  <si>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</si>
  <si>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</si>
  <si>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</si>
  <si>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</si>
  <si>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</si>
  <si>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</si>
  <si>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</si>
  <si>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</si>
  <si>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</si>
  <si>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</si>
  <si>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</si>
  <si>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</si>
  <si>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</si>
  <si>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</si>
  <si>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</si>
  <si>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</si>
  <si>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</si>
  <si>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</si>
  <si>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</si>
  <si>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</si>
  <si>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</si>
  <si>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</si>
  <si>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</si>
  <si>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</si>
  <si>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</si>
  <si>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</si>
  <si>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</si>
  <si>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</si>
  <si>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</si>
  <si>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</si>
  <si>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</si>
  <si>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</si>
  <si>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</si>
  <si>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</si>
  <si>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</si>
  <si>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</si>
  <si>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</si>
  <si>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</si>
  <si>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</si>
  <si>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</si>
  <si>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</si>
  <si>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</si>
  <si>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</si>
  <si>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</si>
  <si>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</si>
  <si>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</si>
  <si>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</si>
  <si>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</si>
  <si>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</si>
  <si>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</si>
  <si>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</si>
  <si>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</si>
  <si>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</si>
  <si>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</si>
  <si>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</si>
  <si>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</si>
  <si>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</si>
  <si>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</si>
  <si>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</si>
  <si>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</si>
  <si>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</si>
  <si>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</si>
  <si>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</si>
  <si>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</si>
  <si>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</si>
  <si>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</si>
  <si>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</si>
  <si>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</si>
  <si>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</si>
  <si>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</si>
  <si>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</si>
  <si>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</si>
  <si>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</si>
  <si>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</si>
  <si>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</si>
  <si>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</si>
  <si>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</si>
  <si>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</si>
  <si>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</si>
  <si>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</si>
  <si>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</si>
  <si>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</si>
  <si>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</si>
  <si>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</si>
  <si>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</si>
  <si>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</si>
  <si>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</si>
  <si>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</si>
  <si>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</si>
  <si>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</si>
  <si>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</si>
  <si>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</si>
  <si>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</si>
  <si>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</si>
  <si>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</si>
  <si>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</si>
  <si>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</si>
  <si>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</si>
  <si>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</si>
  <si>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</si>
  <si>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</si>
  <si>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</si>
  <si>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</si>
  <si>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</si>
  <si>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</si>
  <si>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</si>
  <si>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</si>
  <si>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</si>
  <si>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</si>
  <si>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</si>
  <si>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</si>
  <si>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</si>
  <si>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</si>
  <si>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</si>
  <si>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</si>
  <si>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</si>
  <si>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</si>
  <si>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</si>
  <si>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</si>
  <si>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</si>
  <si>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</si>
  <si>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</si>
  <si>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</si>
  <si>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</si>
  <si>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</si>
  <si>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</si>
  <si>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</si>
  <si>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</si>
  <si>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</si>
  <si>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</si>
  <si>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</si>
  <si>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</si>
  <si>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</si>
  <si>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</si>
  <si>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</si>
  <si>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</si>
  <si>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</si>
  <si>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</si>
  <si>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</si>
  <si>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</si>
  <si>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</si>
  <si>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</si>
  <si>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</si>
  <si>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</si>
  <si>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</si>
  <si>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</si>
  <si>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</si>
  <si>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</si>
  <si>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</si>
  <si>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</si>
  <si>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</si>
  <si>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</si>
  <si>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</si>
  <si>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</si>
  <si>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</si>
  <si>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</si>
  <si>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</si>
  <si>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</si>
  <si>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</si>
  <si>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</si>
  <si>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</si>
  <si>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</si>
  <si>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</si>
  <si>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</si>
  <si>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</si>
  <si>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</si>
  <si>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</si>
  <si>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</si>
  <si>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</si>
  <si>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</si>
  <si>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</si>
  <si>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</si>
  <si>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</si>
  <si>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</si>
  <si>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</si>
  <si>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</si>
  <si>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</si>
  <si>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</si>
  <si>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</si>
  <si>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</si>
  <si>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</si>
  <si>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</si>
  <si>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</si>
  <si>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</si>
  <si>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</si>
  <si>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</si>
  <si>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</si>
  <si>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</si>
  <si>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</si>
  <si>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</si>
  <si>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</si>
  <si>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</si>
  <si>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</si>
  <si>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</si>
  <si>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</si>
  <si>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</si>
  <si>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</si>
  <si>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</si>
  <si>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</si>
  <si>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</si>
  <si>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</si>
  <si>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</si>
  <si>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</si>
  <si>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</si>
  <si>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</si>
  <si>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</si>
  <si>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</si>
  <si>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</si>
  <si>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</si>
  <si>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</si>
  <si>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</si>
  <si>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</si>
  <si>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</si>
  <si>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</si>
  <si>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</si>
  <si>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</si>
  <si>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</si>
  <si>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</si>
  <si>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</si>
  <si>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</si>
  <si>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</si>
  <si>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</si>
  <si>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</si>
  <si>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</si>
  <si>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</si>
  <si>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</si>
  <si>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</si>
  <si>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</si>
  <si>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</si>
  <si>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</si>
  <si>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</si>
  <si>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</si>
  <si>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</si>
  <si>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</si>
  <si>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</si>
  <si>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</si>
  <si>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</si>
  <si>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</si>
  <si>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</si>
  <si>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</si>
  <si>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</si>
  <si>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</si>
  <si>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</si>
  <si>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</si>
  <si>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</si>
  <si>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</si>
  <si>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</si>
  <si>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</si>
  <si>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</si>
  <si>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</si>
  <si>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</si>
  <si>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</si>
  <si>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</si>
  <si>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</si>
  <si>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</si>
  <si>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</si>
  <si>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</si>
  <si>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</si>
  <si>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</si>
  <si>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</si>
  <si>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</si>
  <si>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</si>
  <si>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</si>
  <si>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</si>
  <si>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</si>
  <si>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</si>
  <si>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</si>
  <si>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</si>
  <si>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</si>
  <si>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</si>
  <si>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</si>
  <si>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</si>
  <si>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</si>
  <si>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</si>
  <si>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</si>
  <si>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</si>
  <si>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</si>
  <si>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</si>
  <si>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</si>
  <si>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</si>
  <si>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</si>
  <si>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</si>
  <si>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</si>
  <si>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</si>
  <si>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</si>
  <si>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</si>
  <si>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</si>
  <si>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</si>
  <si>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</si>
  <si>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</si>
  <si>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</si>
  <si>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</si>
  <si>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</si>
  <si>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</si>
  <si>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</si>
  <si>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</si>
  <si>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</si>
  <si>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</si>
  <si>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</si>
  <si>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</si>
  <si>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</si>
  <si>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</si>
  <si>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</si>
  <si>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</si>
  <si>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</si>
  <si>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</si>
  <si>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</si>
  <si>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</si>
  <si>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</si>
  <si>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</si>
  <si>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</si>
  <si>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</si>
  <si>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</si>
  <si>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</si>
  <si>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</si>
  <si>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</si>
  <si>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</si>
  <si>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</si>
  <si>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</si>
  <si>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</si>
  <si>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</si>
  <si>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</si>
  <si>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</si>
  <si>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</si>
  <si>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</si>
  <si>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</si>
  <si>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</si>
  <si>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</si>
  <si>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</si>
  <si>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</si>
  <si>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</si>
  <si>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</si>
  <si>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</si>
  <si>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</si>
  <si>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</si>
  <si>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</si>
  <si>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</si>
  <si>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</si>
  <si>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</si>
  <si>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</si>
  <si>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</si>
  <si>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</si>
  <si>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</si>
  <si>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</si>
  <si>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</si>
  <si>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</si>
  <si>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</si>
  <si>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</si>
  <si>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</si>
  <si>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</si>
  <si>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</si>
  <si>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</si>
  <si>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</si>
  <si>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</si>
  <si>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</si>
  <si>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</si>
  <si>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</si>
  <si>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</si>
  <si>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</si>
  <si>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</si>
  <si>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</si>
  <si>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</si>
  <si>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</si>
  <si>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</si>
  <si>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</si>
  <si>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</si>
  <si>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</si>
  <si>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</si>
  <si>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</si>
  <si>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</si>
  <si>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</si>
  <si>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</si>
  <si>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</si>
  <si>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</si>
  <si>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</si>
  <si>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</si>
  <si>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</si>
  <si>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</si>
  <si>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</si>
  <si>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</si>
  <si>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</si>
  <si>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</si>
  <si>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</si>
  <si>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</si>
  <si>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</si>
  <si>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</si>
  <si>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</si>
  <si>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</si>
  <si>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</si>
  <si>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</si>
  <si>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</si>
  <si>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</si>
  <si>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</si>
  <si>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</si>
  <si>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</si>
  <si>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</si>
  <si>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</si>
  <si>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</si>
  <si>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</si>
  <si>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</si>
  <si>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</si>
  <si>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</si>
  <si>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</si>
  <si>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</si>
  <si>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</si>
  <si>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</si>
  <si>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</si>
  <si>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</si>
  <si>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</si>
  <si>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</si>
  <si>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</si>
  <si>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</si>
  <si>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</si>
  <si>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</si>
  <si>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</si>
  <si>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</si>
  <si>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</si>
  <si>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</si>
  <si>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</si>
  <si>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</si>
  <si>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</si>
  <si>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</si>
  <si>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</si>
  <si>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</si>
  <si>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</si>
  <si>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</si>
  <si>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</si>
  <si>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</si>
  <si>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</si>
  <si>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</si>
  <si>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</si>
  <si>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</si>
  <si>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</si>
  <si>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</si>
  <si>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</si>
  <si>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</si>
  <si>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</si>
  <si>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</si>
  <si>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</si>
  <si>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</si>
  <si>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</si>
  <si>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</si>
  <si>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</si>
  <si>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</si>
  <si>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</si>
  <si>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</si>
  <si>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</si>
  <si>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</si>
  <si>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</si>
  <si>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</si>
  <si>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</si>
  <si>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</si>
  <si>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</si>
  <si>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</si>
  <si>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</si>
  <si>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</si>
  <si>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</si>
  <si>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</si>
  <si>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</si>
  <si>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</si>
  <si>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</si>
  <si>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</si>
  <si>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</si>
  <si>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</si>
  <si>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</si>
  <si>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</si>
  <si>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</si>
  <si>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</si>
  <si>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</si>
  <si>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</si>
  <si>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</si>
  <si>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</si>
  <si>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</si>
  <si>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</si>
  <si>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</si>
  <si>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</si>
  <si>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</si>
  <si>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</si>
  <si>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</si>
  <si>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</si>
  <si>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</si>
  <si>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</si>
  <si>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</si>
  <si>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</si>
  <si>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</si>
  <si>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</si>
  <si>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</si>
  <si>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</si>
  <si>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</si>
  <si>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</si>
  <si>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</si>
  <si>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</si>
  <si>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</si>
  <si>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</si>
  <si>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</si>
  <si>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</si>
  <si>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</si>
  <si>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</si>
  <si>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</si>
  <si>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</si>
  <si>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</si>
  <si>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</si>
  <si>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</si>
  <si>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</si>
  <si>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</si>
  <si>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</si>
  <si>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</si>
  <si>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</si>
  <si>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</si>
  <si>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</si>
  <si>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</si>
  <si>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</si>
  <si>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</si>
  <si>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</si>
  <si>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</si>
  <si>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</si>
  <si>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</si>
  <si>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</si>
  <si>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</si>
  <si>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</si>
  <si>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</si>
  <si>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</si>
  <si>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</si>
  <si>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</si>
  <si>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</si>
  <si>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</si>
  <si>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</si>
  <si>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</si>
  <si>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</si>
  <si>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</si>
  <si>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</si>
  <si>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</si>
  <si>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</si>
  <si>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</si>
  <si>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</si>
  <si>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</si>
  <si>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</si>
  <si>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</si>
  <si>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</si>
  <si>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</si>
  <si>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</si>
  <si>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</si>
  <si>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</si>
  <si>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</si>
  <si>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</si>
  <si>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</si>
  <si>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</si>
  <si>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</si>
  <si>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</si>
  <si>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</si>
  <si>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</si>
  <si>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</si>
  <si>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</si>
  <si>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</si>
  <si>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</si>
  <si>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</si>
  <si>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</si>
  <si>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</si>
  <si>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</si>
  <si>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</si>
  <si>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</si>
  <si>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</si>
  <si>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</si>
  <si>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</si>
  <si>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</si>
  <si>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</si>
  <si>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</si>
  <si>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</si>
  <si>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</si>
  <si>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</si>
  <si>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</si>
  <si>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</si>
  <si>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</si>
  <si>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</si>
  <si>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</si>
  <si>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</si>
  <si>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</si>
  <si>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</si>
  <si>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</si>
  <si>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</si>
  <si>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</si>
  <si>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</si>
  <si>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</si>
  <si>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</si>
  <si>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</si>
  <si>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</si>
  <si>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</si>
  <si>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</si>
  <si>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</si>
  <si>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</si>
  <si>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</si>
  <si>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</si>
  <si>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</si>
  <si>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</si>
  <si>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</si>
  <si>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</si>
  <si>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</si>
  <si>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</si>
  <si>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</si>
  <si>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</si>
  <si>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</si>
  <si>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</si>
  <si>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</si>
  <si>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</si>
  <si>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</si>
  <si>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</si>
  <si>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</si>
  <si>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</si>
  <si>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</si>
  <si>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</si>
  <si>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</si>
  <si>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</si>
  <si>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</si>
  <si>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</si>
  <si>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</si>
  <si>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</si>
  <si>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</si>
  <si>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</si>
  <si>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</si>
  <si>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</si>
  <si>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</si>
  <si>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</si>
  <si>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</si>
  <si>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</si>
  <si>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</si>
  <si>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</si>
  <si>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</si>
  <si>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</si>
  <si>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</si>
  <si>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</si>
  <si>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</si>
  <si>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</si>
  <si>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</si>
  <si>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</si>
  <si>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</si>
  <si>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</si>
  <si>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</si>
  <si>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</si>
  <si>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</si>
  <si>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</si>
  <si>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</si>
  <si>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</si>
  <si>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</si>
  <si>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</si>
  <si>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</si>
  <si>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</si>
  <si>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</si>
  <si>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</si>
  <si>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</si>
  <si>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</si>
  <si>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</si>
  <si>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</si>
  <si>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</si>
  <si>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</si>
  <si>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</si>
  <si>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</si>
  <si>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</si>
  <si>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</si>
  <si>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</si>
  <si>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>NOT UPDATED 9/8-2022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</si>
</sst>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40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 applyFill="1" applyBorder="1"/>
    <xf numFmtId="49" fontId="27" fillId="0" borderId="0" xfId="0" applyNumberFormat="1" applyFont="1" applyFill="1" applyBorder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Border="1" applyAlignme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Border="1" applyAlignme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3" fontId="27" fillId="0" borderId="3" xfId="0" applyNumberFormat="1" applyFont="1" applyFill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3" fontId="26" fillId="0" borderId="2" xfId="0" applyNumberFormat="1" applyFont="1" applyFill="1" applyBorder="1" applyAlignment="1" applyProtection="1">
      <alignment horizontal="center" vertical="center"/>
      <protection hidden="1"/>
    </xf>
    <xf numFmtId="3" fontId="26" fillId="0" borderId="3" xfId="0" applyNumberFormat="1" applyFont="1" applyFill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Fill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3" fontId="26" fillId="0" borderId="4" xfId="0" applyNumberFormat="1" applyFont="1" applyFill="1" applyBorder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Border="1" applyAlignment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Border="1" applyAlignment="1" applyProtection="1">
      <alignment horizontal="center"/>
      <protection hidden="1"/>
    </xf>
    <xf numFmtId="0" fontId="26" fillId="34" borderId="0" xfId="0" applyFont="1" applyFill="1" applyBorder="1" applyAlignment="1" applyProtection="1">
      <alignment horizontal="center"/>
      <protection hidden="1"/>
    </xf>
    <xf numFmtId="0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7" fillId="0" borderId="0" xfId="0" applyNumberFormat="1" applyFont="1" applyBorder="1" applyAlignment="1" applyProtection="1">
      <protection hidden="1"/>
    </xf>
    <xf numFmtId="3" fontId="27" fillId="0" borderId="2" xfId="0" applyNumberFormat="1" applyFont="1" applyFill="1" applyBorder="1" applyAlignment="1" applyProtection="1">
      <alignment horizontal="center" vertical="center"/>
      <protection hidden="1"/>
    </xf>
    <xf numFmtId="3" fontId="27" fillId="0" borderId="3" xfId="0" applyNumberFormat="1" applyFont="1" applyFill="1" applyBorder="1" applyAlignment="1" applyProtection="1">
      <alignment horizontal="center" vertical="center"/>
      <protection hidden="1"/>
    </xf>
    <xf numFmtId="4" fontId="27" fillId="0" borderId="3" xfId="0" applyNumberFormat="1" applyFont="1" applyFill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3" fontId="27" fillId="0" borderId="4" xfId="0" applyNumberFormat="1" applyFont="1" applyFill="1" applyBorder="1" applyAlignment="1" applyProtection="1">
      <alignment horizontal="center"/>
      <protection hidden="1"/>
    </xf>
    <xf numFmtId="4" fontId="27" fillId="0" borderId="4" xfId="0" applyNumberFormat="1" applyFont="1" applyFill="1" applyBorder="1" applyAlignment="1" applyProtection="1">
      <alignment horizontal="center"/>
      <protection hidden="1"/>
    </xf>
    <xf numFmtId="3" fontId="27" fillId="34" borderId="0" xfId="0" applyNumberFormat="1" applyFont="1" applyFill="1" applyBorder="1" applyAlignment="1" applyProtection="1">
      <alignment horizontal="center"/>
      <protection hidden="1"/>
    </xf>
    <xf numFmtId="4" fontId="26" fillId="34" borderId="0" xfId="0" applyNumberFormat="1" applyFont="1" applyFill="1" applyBorder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3" fontId="26" fillId="0" borderId="5" xfId="0" applyNumberFormat="1" applyFont="1" applyFill="1" applyBorder="1" applyAlignment="1" applyProtection="1">
      <alignment horizontal="center" wrapText="1"/>
      <protection hidden="1"/>
    </xf>
    <xf numFmtId="2" fontId="23" fillId="0" borderId="0" xfId="0" applyNumberFormat="1" applyFont="1"/>
    <xf numFmtId="0" fontId="27" fillId="34" borderId="0" xfId="0" applyNumberFormat="1" applyFont="1" applyFill="1" applyProtection="1">
      <protection hidden="1"/>
    </xf>
    <xf numFmtId="0" fontId="2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Border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Border="1" applyProtection="1">
      <protection hidden="1"/>
    </xf>
    <xf numFmtId="5" fontId="35" fillId="0" borderId="0" xfId="42" applyNumberFormat="1" applyFont="1" applyBorder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 applyBorder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3" fontId="34" fillId="0" borderId="0" xfId="42" applyNumberFormat="1" applyFont="1" applyBorder="1"/>
    <xf numFmtId="0" fontId="35" fillId="0" borderId="0" xfId="42" applyFont="1" applyBorder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Border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Border="1" applyAlignment="1" applyProtection="1">
      <alignment horizontal="left"/>
      <protection hidden="1"/>
    </xf>
    <xf numFmtId="14" fontId="35" fillId="0" borderId="0" xfId="42" applyNumberFormat="1" applyFont="1" applyBorder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 applyBorder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Border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Border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0" fontId="33" fillId="0" borderId="0" xfId="42" applyFont="1" applyBorder="1"/>
    <xf numFmtId="0" fontId="30" fillId="0" borderId="0" xfId="42" applyFont="1"/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5" fontId="35" fillId="0" borderId="0" xfId="42" applyNumberFormat="1" applyFont="1" applyFill="1" applyBorder="1" applyProtection="1">
      <protection hidden="1"/>
    </xf>
    <xf numFmtId="3" fontId="26" fillId="0" borderId="0" xfId="0" applyNumberFormat="1" applyFont="1" applyBorder="1" applyAlignment="1" applyProtection="1">
      <alignment wrapText="1"/>
      <protection hidden="1"/>
    </xf>
    <xf numFmtId="0" fontId="4" fillId="0" borderId="0" xfId="43" applyBorder="1" applyAlignment="1" applyProtection="1">
      <alignment horizontal="center" wrapText="1"/>
      <protection hidden="1"/>
    </xf>
    <xf numFmtId="0" fontId="38" fillId="0" borderId="0" xfId="43" applyFont="1" applyAlignment="1" applyProtection="1">
      <protection hidden="1"/>
    </xf>
    <xf numFmtId="0" fontId="35" fillId="0" borderId="0" xfId="42" applyFont="1" applyBorder="1" applyAlignment="1" applyProtection="1">
      <alignment horizontal="right"/>
      <protection hidden="1"/>
    </xf>
    <xf numFmtId="14" fontId="35" fillId="0" borderId="0" xfId="42" applyNumberFormat="1" applyFont="1" applyBorder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 applyBorder="1"/>
    <xf numFmtId="3" fontId="34" fillId="34" borderId="0" xfId="42" applyNumberFormat="1" applyFont="1" applyFill="1" applyBorder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0" fontId="30" fillId="0" borderId="0" xfId="42" applyBorder="1"/>
    <xf numFmtId="5" fontId="30" fillId="0" borderId="0" xfId="42" applyNumberFormat="1" applyBorder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3" xfId="0" applyNumberFormat="1" applyFont="1" applyFill="1" applyBorder="1" applyAlignment="1" applyProtection="1">
      <alignment horizontal="center"/>
      <protection hidden="1"/>
    </xf>
    <xf numFmtId="3" fontId="26" fillId="0" borderId="5" xfId="0" applyNumberFormat="1" applyFont="1" applyFill="1" applyBorder="1" applyAlignment="1" applyProtection="1">
      <alignment horizontal="center"/>
      <protection hidden="1"/>
    </xf>
    <xf numFmtId="3" fontId="26" fillId="0" borderId="0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Protection="1">
      <protection hidden="1"/>
    </xf>
    <xf numFmtId="3" fontId="23" fillId="0" borderId="1" xfId="0" applyNumberFormat="1" applyFont="1" applyFill="1" applyBorder="1" applyProtection="1">
      <protection hidden="1"/>
    </xf>
    <xf numFmtId="3" fontId="22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Border="1" applyAlignment="1" applyProtection="1">
      <protection hidden="1"/>
    </xf>
    <xf numFmtId="164" fontId="42" fillId="0" borderId="0" xfId="0" applyNumberFormat="1" applyFont="1" applyAlignment="1" applyProtection="1">
      <protection hidden="1"/>
    </xf>
    <xf numFmtId="49" fontId="42" fillId="34" borderId="0" xfId="0" applyNumberFormat="1" applyFont="1" applyFill="1" applyBorder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Border="1" applyAlignment="1" applyProtection="1">
      <alignment horizontal="center"/>
      <protection hidden="1"/>
    </xf>
    <xf numFmtId="0" fontId="40" fillId="0" borderId="0" xfId="0" applyFont="1" applyBorder="1" applyProtection="1">
      <protection hidden="1"/>
    </xf>
    <xf numFmtId="0" fontId="43" fillId="0" borderId="0" xfId="0" applyFont="1" applyBorder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Border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Border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Border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ont="1" applyFill="1" applyAlignment="1">
      <alignment horizontal="right"/>
    </xf>
    <xf numFmtId="166" fontId="35" fillId="0" borderId="0" xfId="42" applyNumberFormat="1" applyFont="1" applyBorder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NumberFormat="1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64" fontId="24" fillId="0" borderId="0" xfId="0" applyNumberFormat="1" applyFont="1" applyBorder="1" applyAlignment="1" applyProtection="1">
      <alignment horizontal="center"/>
      <protection hidden="1"/>
    </xf>
    <xf numFmtId="164" fontId="28" fillId="0" borderId="0" xfId="0" applyNumberFormat="1" applyFont="1" applyBorder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Border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Border="1" applyAlignment="1" applyProtection="1">
      <alignment horizontal="center" wrapText="1"/>
      <protection hidden="1"/>
    </xf>
    <xf numFmtId="164" fontId="26" fillId="33" borderId="0" xfId="0" applyNumberFormat="1" applyFont="1" applyFill="1" applyBorder="1" applyAlignment="1" applyProtection="1">
      <alignment horizontal="center"/>
      <protection hidden="1"/>
    </xf>
    <xf numFmtId="0" fontId="27" fillId="34" borderId="0" xfId="0" applyNumberFormat="1" applyFont="1" applyFill="1" applyAlignment="1" applyProtection="1">
      <alignment horizontal="center" wrapText="1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Border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Border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Fill="1" applyBorder="1" applyAlignment="1" applyProtection="1">
      <alignment horizontal="center" wrapText="1"/>
      <protection hidden="1"/>
    </xf>
    <xf numFmtId="3" fontId="28" fillId="0" borderId="21" xfId="0" applyNumberFormat="1" applyFont="1" applyFill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Border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9" t="str">
        <f>CONCATENATE("FY ",Notes!$B$1," Budget for State Payments to School Districts (Budget Total)")</f>
        <v>FY 2023 Budget for State Payments to School Districts (Budget Total)</v>
      </c>
      <c r="B1" s="209"/>
      <c r="C1" s="209"/>
      <c r="D1" s="209"/>
      <c r="E1" s="209"/>
      <c r="F1" s="209"/>
      <c r="G1" s="209"/>
      <c r="H1" s="10"/>
    </row>
    <row r="2" spans="1:8" s="11" customFormat="1" ht="14.45" customHeight="1" x14ac:dyDescent="0.2">
      <c r="A2" s="210" t="s">
        <v>18</v>
      </c>
      <c r="B2" s="210"/>
      <c r="C2" s="210"/>
      <c r="D2" s="210"/>
      <c r="E2" s="210"/>
      <c r="F2" s="210"/>
      <c r="G2" s="210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1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3613303</v>
      </c>
      <c r="D6" s="22">
        <f>INDEX(Data[],MATCH($A6,Data[Dist],0),MATCH(D$4,Data[#Headers],0))</f>
        <v>580</v>
      </c>
      <c r="E6" s="22">
        <f>IF(Notes!$B$3="Pay 1 Regular State Payment Budget",0,INDEX(Data[],MATCH($A6,Data[Dist],0),MATCH(E$4,Data[#Headers],0)))</f>
        <v>0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3612723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1866483</v>
      </c>
      <c r="D7" s="22">
        <f>INDEX(Data[],MATCH($A7,Data[Dist],0),MATCH(D$4,Data[#Headers],0))</f>
        <v>199</v>
      </c>
      <c r="E7" s="22">
        <f>IF(Notes!$B$3="Pay 1 Regular State Payment Budget",0,INDEX(Data[],MATCH($A7,Data[Dist],0),MATCH(E$4,Data[#Headers],0)))</f>
        <v>0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1866284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14638403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0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14638403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3960703</v>
      </c>
      <c r="D9" s="22">
        <f>INDEX(Data[],MATCH($A9,Data[Dist],0),MATCH(D$4,Data[#Headers],0))</f>
        <v>448</v>
      </c>
      <c r="E9" s="22">
        <f>IF(Notes!$B$3="Pay 1 Regular State Payment Budget",0,INDEX(Data[],MATCH($A9,Data[Dist],0),MATCH(E$4,Data[#Headers],0)))</f>
        <v>0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3960255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926261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0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926079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8357737</v>
      </c>
      <c r="D11" s="22">
        <f>INDEX(Data[],MATCH($A11,Data[Dist],0),MATCH(D$4,Data[#Headers],0))</f>
        <v>813</v>
      </c>
      <c r="E11" s="22">
        <f>IF(Notes!$B$3="Pay 1 Regular State Payment Budget",0,INDEX(Data[],MATCH($A11,Data[Dist],0),MATCH(E$4,Data[#Headers],0)))</f>
        <v>0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8356924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3149351</v>
      </c>
      <c r="D12" s="22">
        <f>INDEX(Data[],MATCH($A12,Data[Dist],0),MATCH(D$4,Data[#Headers],0))</f>
        <v>431</v>
      </c>
      <c r="E12" s="22">
        <f>IF(Notes!$B$3="Pay 1 Regular State Payment Budget",0,INDEX(Data[],MATCH($A12,Data[Dist],0),MATCH(E$4,Data[#Headers],0)))</f>
        <v>0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3148920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1668198</v>
      </c>
      <c r="D13" s="22">
        <f>INDEX(Data[],MATCH($A13,Data[Dist],0),MATCH(D$4,Data[#Headers],0))</f>
        <v>265</v>
      </c>
      <c r="E13" s="22">
        <f>IF(Notes!$B$3="Pay 1 Regular State Payment Budget",0,INDEX(Data[],MATCH($A13,Data[Dist],0),MATCH(E$4,Data[#Headers],0)))</f>
        <v>0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1667933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7972883</v>
      </c>
      <c r="D14" s="22">
        <f>INDEX(Data[],MATCH($A14,Data[Dist],0),MATCH(D$4,Data[#Headers],0))</f>
        <v>1891</v>
      </c>
      <c r="E14" s="22">
        <f>IF(Notes!$B$3="Pay 1 Regular State Payment Budget",0,INDEX(Data[],MATCH($A14,Data[Dist],0),MATCH(E$4,Data[#Headers],0)))</f>
        <v>0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7970992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6482147</v>
      </c>
      <c r="D15" s="22">
        <f>INDEX(Data[],MATCH($A15,Data[Dist],0),MATCH(D$4,Data[#Headers],0))</f>
        <v>1078</v>
      </c>
      <c r="E15" s="22">
        <f>IF(Notes!$B$3="Pay 1 Regular State Payment Budget",0,INDEX(Data[],MATCH($A15,Data[Dist],0),MATCH(E$4,Data[#Headers],0)))</f>
        <v>0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6481069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3562891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0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3562510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4865278</v>
      </c>
      <c r="D17" s="22">
        <f>INDEX(Data[],MATCH($A17,Data[Dist],0),MATCH(D$4,Data[#Headers],0))</f>
        <v>929</v>
      </c>
      <c r="E17" s="22">
        <f>IF(Notes!$B$3="Pay 1 Regular State Payment Budget",0,INDEX(Data[],MATCH($A17,Data[Dist],0),MATCH(E$4,Data[#Headers],0)))</f>
        <v>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4864349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23132705</v>
      </c>
      <c r="D18" s="22">
        <f>INDEX(Data[],MATCH($A18,Data[Dist],0),MATCH(D$4,Data[#Headers],0))</f>
        <v>4743</v>
      </c>
      <c r="E18" s="22">
        <f>IF(Notes!$B$3="Pay 1 Regular State Payment Budget",0,INDEX(Data[],MATCH($A18,Data[Dist],0),MATCH(E$4,Data[#Headers],0)))</f>
        <v>0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23127962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8729602</v>
      </c>
      <c r="D19" s="22">
        <f>INDEX(Data[],MATCH($A19,Data[Dist],0),MATCH(D$4,Data[#Headers],0))</f>
        <v>1095</v>
      </c>
      <c r="E19" s="22">
        <f>IF(Notes!$B$3="Pay 1 Regular State Payment Budget",0,INDEX(Data[],MATCH($A19,Data[Dist],0),MATCH(E$4,Data[#Headers],0)))</f>
        <v>0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8728507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1504343</v>
      </c>
      <c r="D20" s="22">
        <f>INDEX(Data[],MATCH($A20,Data[Dist],0),MATCH(D$4,Data[#Headers],0))</f>
        <v>216</v>
      </c>
      <c r="E20" s="22">
        <f>IF(Notes!$B$3="Pay 1 Regular State Payment Budget",0,INDEX(Data[],MATCH($A20,Data[Dist],0),MATCH(E$4,Data[#Headers],0)))</f>
        <v>0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1504127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81670936</v>
      </c>
      <c r="D21" s="22">
        <f>INDEX(Data[],MATCH($A21,Data[Dist],0),MATCH(D$4,Data[#Headers],0))</f>
        <v>4660</v>
      </c>
      <c r="E21" s="22">
        <f>IF(Notes!$B$3="Pay 1 Regular State Payment Budget",0,INDEX(Data[],MATCH($A21,Data[Dist],0),MATCH(E$4,Data[#Headers],0)))</f>
        <v>0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81666276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5634942</v>
      </c>
      <c r="D22" s="22">
        <f>INDEX(Data[],MATCH($A22,Data[Dist],0),MATCH(D$4,Data[#Headers],0))</f>
        <v>663</v>
      </c>
      <c r="E22" s="22">
        <f>IF(Notes!$B$3="Pay 1 Regular State Payment Budget",0,INDEX(Data[],MATCH($A22,Data[Dist],0),MATCH(E$4,Data[#Headers],0)))</f>
        <v>0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5634279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1562859</v>
      </c>
      <c r="D23" s="22">
        <f>INDEX(Data[],MATCH($A23,Data[Dist],0),MATCH(D$4,Data[#Headers],0))</f>
        <v>182</v>
      </c>
      <c r="E23" s="22">
        <f>IF(Notes!$B$3="Pay 1 Regular State Payment Budget",0,INDEX(Data[],MATCH($A23,Data[Dist],0),MATCH(E$4,Data[#Headers],0)))</f>
        <v>0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1562677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1072033</v>
      </c>
      <c r="D24" s="22">
        <f>INDEX(Data[],MATCH($A24,Data[Dist],0),MATCH(D$4,Data[#Headers],0))</f>
        <v>249</v>
      </c>
      <c r="E24" s="22">
        <f>IF(Notes!$B$3="Pay 1 Regular State Payment Budget",0,INDEX(Data[],MATCH($A24,Data[Dist],0),MATCH(E$4,Data[#Headers],0)))</f>
        <v>0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1071784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9979972</v>
      </c>
      <c r="D25" s="22">
        <f>INDEX(Data[],MATCH($A25,Data[Dist],0),MATCH(D$4,Data[#Headers],0))</f>
        <v>1542</v>
      </c>
      <c r="E25" s="22">
        <f>IF(Notes!$B$3="Pay 1 Regular State Payment Budget",0,INDEX(Data[],MATCH($A25,Data[Dist],0),MATCH(E$4,Data[#Headers],0)))</f>
        <v>0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9978430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3296725</v>
      </c>
      <c r="D26" s="22">
        <f>INDEX(Data[],MATCH($A26,Data[Dist],0),MATCH(D$4,Data[#Headers],0))</f>
        <v>481</v>
      </c>
      <c r="E26" s="22">
        <f>IF(Notes!$B$3="Pay 1 Regular State Payment Budget",0,INDEX(Data[],MATCH($A26,Data[Dist],0),MATCH(E$4,Data[#Headers],0)))</f>
        <v>0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3296244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3840724</v>
      </c>
      <c r="D27" s="22">
        <f>INDEX(Data[],MATCH($A27,Data[Dist],0),MATCH(D$4,Data[#Headers],0))</f>
        <v>896</v>
      </c>
      <c r="E27" s="22">
        <f>IF(Notes!$B$3="Pay 1 Regular State Payment Budget",0,INDEX(Data[],MATCH($A27,Data[Dist],0),MATCH(E$4,Data[#Headers],0)))</f>
        <v>0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3839828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12569037</v>
      </c>
      <c r="D28" s="22">
        <f>INDEX(Data[],MATCH($A28,Data[Dist],0),MATCH(D$4,Data[#Headers],0))</f>
        <v>2106</v>
      </c>
      <c r="E28" s="22">
        <f>IF(Notes!$B$3="Pay 1 Regular State Payment Budget",0,INDEX(Data[],MATCH($A28,Data[Dist],0),MATCH(E$4,Data[#Headers],0)))</f>
        <v>0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12566931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2638617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0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2638202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2684626</v>
      </c>
      <c r="D30" s="22">
        <f>INDEX(Data[],MATCH($A30,Data[Dist],0),MATCH(D$4,Data[#Headers],0))</f>
        <v>332</v>
      </c>
      <c r="E30" s="22">
        <f>IF(Notes!$B$3="Pay 1 Regular State Payment Budget",0,INDEX(Data[],MATCH($A30,Data[Dist],0),MATCH(E$4,Data[#Headers],0)))</f>
        <v>0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2684294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3138815</v>
      </c>
      <c r="D31" s="22">
        <f>INDEX(Data[],MATCH($A31,Data[Dist],0),MATCH(D$4,Data[#Headers],0))</f>
        <v>448</v>
      </c>
      <c r="E31" s="22">
        <f>IF(Notes!$B$3="Pay 1 Regular State Payment Budget",0,INDEX(Data[],MATCH($A31,Data[Dist],0),MATCH(E$4,Data[#Headers],0)))</f>
        <v>0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3138367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3104143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0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3103778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3816749</v>
      </c>
      <c r="D33" s="22">
        <f>INDEX(Data[],MATCH($A33,Data[Dist],0),MATCH(D$4,Data[#Headers],0))</f>
        <v>1012</v>
      </c>
      <c r="E33" s="22">
        <f>IF(Notes!$B$3="Pay 1 Regular State Payment Budget",0,INDEX(Data[],MATCH($A33,Data[Dist],0),MATCH(E$4,Data[#Headers],0)))</f>
        <v>0</v>
      </c>
      <c r="F33" s="22">
        <f>IF(OR(Notes!$B$3="Pay 1 Regular State Payment Budget",Notes!$B$3="Pay 2 Regular State Payment Budget"),0,INDEX(Data[],MATCH($A33,Data[Dist],0),MATCH(F$4,Data[#Headers],0)))</f>
        <v>0</v>
      </c>
      <c r="G33" s="22">
        <f>INDEX(Data[],MATCH($A33,Data[Dist],0),MATCH(G$4,Data[#Headers],0))</f>
        <v>3815737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4948986</v>
      </c>
      <c r="D34" s="22">
        <f>INDEX(Data[],MATCH($A34,Data[Dist],0),MATCH(D$4,Data[#Headers],0))</f>
        <v>448</v>
      </c>
      <c r="E34" s="22">
        <f>IF(Notes!$B$3="Pay 1 Regular State Payment Budget",0,INDEX(Data[],MATCH($A34,Data[Dist],0),MATCH(E$4,Data[#Headers],0)))</f>
        <v>0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4948538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1062399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0</v>
      </c>
      <c r="F35" s="22">
        <f>IF(OR(Notes!$B$3="Pay 1 Regular State Payment Budget",Notes!$B$3="Pay 2 Regular State Payment Budget"),0,INDEX(Data[],MATCH($A35,Data[Dist],0),MATCH(F$4,Data[#Headers],0)))</f>
        <v>0</v>
      </c>
      <c r="G35" s="22">
        <f>INDEX(Data[],MATCH($A35,Data[Dist],0),MATCH(G$4,Data[#Headers],0))</f>
        <v>1062283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9137193</v>
      </c>
      <c r="D36" s="22">
        <f>INDEX(Data[],MATCH($A36,Data[Dist],0),MATCH(D$4,Data[#Headers],0))</f>
        <v>1625</v>
      </c>
      <c r="E36" s="22">
        <f>IF(Notes!$B$3="Pay 1 Regular State Payment Budget",0,INDEX(Data[],MATCH($A36,Data[Dist],0),MATCH(E$4,Data[#Headers],0)))</f>
        <v>0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9135568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26587657</v>
      </c>
      <c r="D37" s="22">
        <f>INDEX(Data[],MATCH($A37,Data[Dist],0),MATCH(D$4,Data[#Headers],0))</f>
        <v>4030</v>
      </c>
      <c r="E37" s="22">
        <f>IF(Notes!$B$3="Pay 1 Regular State Payment Budget",0,INDEX(Data[],MATCH($A37,Data[Dist],0),MATCH(E$4,Data[#Headers],0)))</f>
        <v>0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26583627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4755339</v>
      </c>
      <c r="D38" s="22">
        <f>INDEX(Data[],MATCH($A38,Data[Dist],0),MATCH(D$4,Data[#Headers],0))</f>
        <v>862</v>
      </c>
      <c r="E38" s="22">
        <f>IF(Notes!$B$3="Pay 1 Regular State Payment Budget",0,INDEX(Data[],MATCH($A38,Data[Dist],0),MATCH(E$4,Data[#Headers],0)))</f>
        <v>0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4754477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17520567</v>
      </c>
      <c r="D39" s="22">
        <f>INDEX(Data[],MATCH($A39,Data[Dist],0),MATCH(D$4,Data[#Headers],0))</f>
        <v>1741</v>
      </c>
      <c r="E39" s="22">
        <f>IF(Notes!$B$3="Pay 1 Regular State Payment Budget",0,INDEX(Data[],MATCH($A39,Data[Dist],0),MATCH(E$4,Data[#Headers],0)))</f>
        <v>0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17518826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15427855</v>
      </c>
      <c r="D40" s="22">
        <f>INDEX(Data[],MATCH($A40,Data[Dist],0),MATCH(D$4,Data[#Headers],0))</f>
        <v>1509</v>
      </c>
      <c r="E40" s="22">
        <f>IF(Notes!$B$3="Pay 1 Regular State Payment Budget",0,INDEX(Data[],MATCH($A40,Data[Dist],0),MATCH(E$4,Data[#Headers],0)))</f>
        <v>0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15426346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3889445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0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3888400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3227000</v>
      </c>
      <c r="D42" s="22">
        <f>INDEX(Data[],MATCH($A42,Data[Dist],0),MATCH(D$4,Data[#Headers],0))</f>
        <v>531</v>
      </c>
      <c r="E42" s="22">
        <f>IF(Notes!$B$3="Pay 1 Regular State Payment Budget",0,INDEX(Data[],MATCH($A42,Data[Dist],0),MATCH(E$4,Data[#Headers],0)))</f>
        <v>0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3226469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3262375</v>
      </c>
      <c r="D43" s="22">
        <f>INDEX(Data[],MATCH($A43,Data[Dist],0),MATCH(D$4,Data[#Headers],0))</f>
        <v>398</v>
      </c>
      <c r="E43" s="22">
        <f>IF(Notes!$B$3="Pay 1 Regular State Payment Budget",0,INDEX(Data[],MATCH($A43,Data[Dist],0),MATCH(E$4,Data[#Headers],0)))</f>
        <v>0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3261977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2149645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0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2149147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31760800</v>
      </c>
      <c r="D45" s="22">
        <f>INDEX(Data[],MATCH($A45,Data[Dist],0),MATCH(D$4,Data[#Headers],0))</f>
        <v>2670</v>
      </c>
      <c r="E45" s="22">
        <f>IF(Notes!$B$3="Pay 1 Regular State Payment Budget",0,INDEX(Data[],MATCH($A45,Data[Dist],0),MATCH(E$4,Data[#Headers],0)))</f>
        <v>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31758130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1688376</v>
      </c>
      <c r="D46" s="22">
        <f>INDEX(Data[],MATCH($A46,Data[Dist],0),MATCH(D$4,Data[#Headers],0))</f>
        <v>216</v>
      </c>
      <c r="E46" s="22">
        <f>IF(Notes!$B$3="Pay 1 Regular State Payment Budget",0,INDEX(Data[],MATCH($A46,Data[Dist],0),MATCH(E$4,Data[#Headers],0)))</f>
        <v>0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1688160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1780598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1780299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2494398</v>
      </c>
      <c r="D48" s="22">
        <f>INDEX(Data[],MATCH($A48,Data[Dist],0),MATCH(D$4,Data[#Headers],0))</f>
        <v>431</v>
      </c>
      <c r="E48" s="22">
        <f>IF(Notes!$B$3="Pay 1 Regular State Payment Budget",0,INDEX(Data[],MATCH($A48,Data[Dist],0),MATCH(E$4,Data[#Headers],0)))</f>
        <v>0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2493967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5473036</v>
      </c>
      <c r="D49" s="22">
        <f>INDEX(Data[],MATCH($A49,Data[Dist],0),MATCH(D$4,Data[#Headers],0))</f>
        <v>796</v>
      </c>
      <c r="E49" s="22">
        <f>IF(Notes!$B$3="Pay 1 Regular State Payment Budget",0,INDEX(Data[],MATCH($A49,Data[Dist],0),MATCH(E$4,Data[#Headers],0)))</f>
        <v>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5472240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4638710</v>
      </c>
      <c r="D50" s="22">
        <f>INDEX(Data[],MATCH($A50,Data[Dist],0),MATCH(D$4,Data[#Headers],0))</f>
        <v>1028</v>
      </c>
      <c r="E50" s="22">
        <f>IF(Notes!$B$3="Pay 1 Regular State Payment Budget",0,INDEX(Data[],MATCH($A50,Data[Dist],0),MATCH(E$4,Data[#Headers],0)))</f>
        <v>0</v>
      </c>
      <c r="F50" s="22">
        <f>IF(OR(Notes!$B$3="Pay 1 Regular State Payment Budget",Notes!$B$3="Pay 2 Regular State Payment Budget"),0,INDEX(Data[],MATCH($A50,Data[Dist],0),MATCH(F$4,Data[#Headers],0)))</f>
        <v>0</v>
      </c>
      <c r="G50" s="22">
        <f>INDEX(Data[],MATCH($A50,Data[Dist],0),MATCH(G$4,Data[#Headers],0))</f>
        <v>4637682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15550962</v>
      </c>
      <c r="D51" s="22">
        <f>INDEX(Data[],MATCH($A51,Data[Dist],0),MATCH(D$4,Data[#Headers],0))</f>
        <v>1775</v>
      </c>
      <c r="E51" s="22">
        <f>IF(Notes!$B$3="Pay 1 Regular State Payment Budget",0,INDEX(Data[],MATCH($A51,Data[Dist],0),MATCH(E$4,Data[#Headers],0)))</f>
        <v>0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15549187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9603600</v>
      </c>
      <c r="D52" s="22">
        <f>INDEX(Data[],MATCH($A52,Data[Dist],0),MATCH(D$4,Data[#Headers],0))</f>
        <v>3135</v>
      </c>
      <c r="E52" s="22">
        <f>IF(Notes!$B$3="Pay 1 Regular State Payment Budget",0,INDEX(Data[],MATCH($A52,Data[Dist],0),MATCH(E$4,Data[#Headers],0)))</f>
        <v>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9600465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37580371</v>
      </c>
      <c r="D53" s="22">
        <f>INDEX(Data[],MATCH($A53,Data[Dist],0),MATCH(D$4,Data[#Headers],0))</f>
        <v>2770</v>
      </c>
      <c r="E53" s="22">
        <f>IF(Notes!$B$3="Pay 1 Regular State Payment Budget",0,INDEX(Data[],MATCH($A53,Data[Dist],0),MATCH(E$4,Data[#Headers],0)))</f>
        <v>0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37577601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113314829</v>
      </c>
      <c r="D54" s="22">
        <f>INDEX(Data[],MATCH($A54,Data[Dist],0),MATCH(D$4,Data[#Headers],0))</f>
        <v>11510</v>
      </c>
      <c r="E54" s="22">
        <f>IF(Notes!$B$3="Pay 1 Regular State Payment Budget",0,INDEX(Data[],MATCH($A54,Data[Dist],0),MATCH(E$4,Data[#Headers],0)))</f>
        <v>0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113303319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9331639</v>
      </c>
      <c r="D55" s="22">
        <f>INDEX(Data[],MATCH($A55,Data[Dist],0),MATCH(D$4,Data[#Headers],0))</f>
        <v>1343</v>
      </c>
      <c r="E55" s="22">
        <f>IF(Notes!$B$3="Pay 1 Regular State Payment Budget",0,INDEX(Data[],MATCH($A55,Data[Dist],0),MATCH(E$4,Data[#Headers],0)))</f>
        <v>0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9330296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10525805</v>
      </c>
      <c r="D56" s="22">
        <f>INDEX(Data[],MATCH($A56,Data[Dist],0),MATCH(D$4,Data[#Headers],0))</f>
        <v>1227</v>
      </c>
      <c r="E56" s="22">
        <f>IF(Notes!$B$3="Pay 1 Regular State Payment Budget",0,INDEX(Data[],MATCH($A56,Data[Dist],0),MATCH(E$4,Data[#Headers],0)))</f>
        <v>0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10524578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4878257</v>
      </c>
      <c r="D57" s="22">
        <f>INDEX(Data[],MATCH($A57,Data[Dist],0),MATCH(D$4,Data[#Headers],0))</f>
        <v>1178</v>
      </c>
      <c r="E57" s="22">
        <f>IF(Notes!$B$3="Pay 1 Regular State Payment Budget",0,INDEX(Data[],MATCH($A57,Data[Dist],0),MATCH(E$4,Data[#Headers],0)))</f>
        <v>0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4877079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2774250</v>
      </c>
      <c r="D58" s="22">
        <f>INDEX(Data[],MATCH($A58,Data[Dist],0),MATCH(D$4,Data[#Headers],0))</f>
        <v>381</v>
      </c>
      <c r="E58" s="22">
        <f>IF(Notes!$B$3="Pay 1 Regular State Payment Budget",0,INDEX(Data[],MATCH($A58,Data[Dist],0),MATCH(E$4,Data[#Headers],0)))</f>
        <v>0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2773869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9979761</v>
      </c>
      <c r="D59" s="22">
        <f>INDEX(Data[],MATCH($A59,Data[Dist],0),MATCH(D$4,Data[#Headers],0))</f>
        <v>1476</v>
      </c>
      <c r="E59" s="22">
        <f>IF(Notes!$B$3="Pay 1 Regular State Payment Budget",0,INDEX(Data[],MATCH($A59,Data[Dist],0),MATCH(E$4,Data[#Headers],0)))</f>
        <v>0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9978285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3271544</v>
      </c>
      <c r="D60" s="22">
        <f>INDEX(Data[],MATCH($A60,Data[Dist],0),MATCH(D$4,Data[#Headers],0))</f>
        <v>315</v>
      </c>
      <c r="E60" s="22">
        <f>IF(Notes!$B$3="Pay 1 Regular State Payment Budget",0,INDEX(Data[],MATCH($A60,Data[Dist],0),MATCH(E$4,Data[#Headers],0)))</f>
        <v>0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3271229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5299099</v>
      </c>
      <c r="D61" s="22">
        <f>INDEX(Data[],MATCH($A61,Data[Dist],0),MATCH(D$4,Data[#Headers],0))</f>
        <v>697</v>
      </c>
      <c r="E61" s="22">
        <f>IF(Notes!$B$3="Pay 1 Regular State Payment Budget",0,INDEX(Data[],MATCH($A61,Data[Dist],0),MATCH(E$4,Data[#Headers],0)))</f>
        <v>0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5298402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4943534</v>
      </c>
      <c r="D62" s="22">
        <f>INDEX(Data[],MATCH($A62,Data[Dist],0),MATCH(D$4,Data[#Headers],0))</f>
        <v>730</v>
      </c>
      <c r="E62" s="22">
        <f>IF(Notes!$B$3="Pay 1 Regular State Payment Budget",0,INDEX(Data[],MATCH($A62,Data[Dist],0),MATCH(E$4,Data[#Headers],0)))</f>
        <v>0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4942804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9275447</v>
      </c>
      <c r="D63" s="22">
        <f>INDEX(Data[],MATCH($A63,Data[Dist],0),MATCH(D$4,Data[#Headers],0))</f>
        <v>1111</v>
      </c>
      <c r="E63" s="22">
        <f>IF(Notes!$B$3="Pay 1 Regular State Payment Budget",0,INDEX(Data[],MATCH($A63,Data[Dist],0),MATCH(E$4,Data[#Headers],0)))</f>
        <v>0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9274336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10987252</v>
      </c>
      <c r="D64" s="22">
        <f>INDEX(Data[],MATCH($A64,Data[Dist],0),MATCH(D$4,Data[#Headers],0))</f>
        <v>1211</v>
      </c>
      <c r="E64" s="22">
        <f>IF(Notes!$B$3="Pay 1 Regular State Payment Budget",0,INDEX(Data[],MATCH($A64,Data[Dist],0),MATCH(E$4,Data[#Headers],0)))</f>
        <v>0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10986041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1561751</v>
      </c>
      <c r="D65" s="22">
        <f>INDEX(Data[],MATCH($A65,Data[Dist],0),MATCH(D$4,Data[#Headers],0))</f>
        <v>199</v>
      </c>
      <c r="E65" s="22">
        <f>IF(Notes!$B$3="Pay 1 Regular State Payment Budget",0,INDEX(Data[],MATCH($A65,Data[Dist],0),MATCH(E$4,Data[#Headers],0)))</f>
        <v>0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1561552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7462754</v>
      </c>
      <c r="D66" s="22">
        <f>INDEX(Data[],MATCH($A66,Data[Dist],0),MATCH(D$4,Data[#Headers],0))</f>
        <v>498</v>
      </c>
      <c r="E66" s="22">
        <f>IF(Notes!$B$3="Pay 1 Regular State Payment Budget",0,INDEX(Data[],MATCH($A66,Data[Dist],0),MATCH(E$4,Data[#Headers],0)))</f>
        <v>0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7462256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6703804</v>
      </c>
      <c r="D67" s="22">
        <f>INDEX(Data[],MATCH($A67,Data[Dist],0),MATCH(D$4,Data[#Headers],0))</f>
        <v>564</v>
      </c>
      <c r="E67" s="22">
        <f>IF(Notes!$B$3="Pay 1 Regular State Payment Budget",0,INDEX(Data[],MATCH($A67,Data[Dist],0),MATCH(E$4,Data[#Headers],0)))</f>
        <v>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6703240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6102173</v>
      </c>
      <c r="D68" s="22">
        <f>INDEX(Data[],MATCH($A68,Data[Dist],0),MATCH(D$4,Data[#Headers],0))</f>
        <v>1028</v>
      </c>
      <c r="E68" s="22">
        <f>IF(Notes!$B$3="Pay 1 Regular State Payment Budget",0,INDEX(Data[],MATCH($A68,Data[Dist],0),MATCH(E$4,Data[#Headers],0)))</f>
        <v>0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6101145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10743150</v>
      </c>
      <c r="D69" s="22">
        <f>INDEX(Data[],MATCH($A69,Data[Dist],0),MATCH(D$4,Data[#Headers],0))</f>
        <v>1028</v>
      </c>
      <c r="E69" s="22">
        <f>IF(Notes!$B$3="Pay 1 Regular State Payment Budget",0,INDEX(Data[],MATCH($A69,Data[Dist],0),MATCH(E$4,Data[#Headers],0)))</f>
        <v>0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10742122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2050753</v>
      </c>
      <c r="D70" s="22">
        <f>INDEX(Data[],MATCH($A70,Data[Dist],0),MATCH(D$4,Data[#Headers],0))</f>
        <v>166</v>
      </c>
      <c r="E70" s="22">
        <f>IF(Notes!$B$3="Pay 1 Regular State Payment Budget",0,INDEX(Data[],MATCH($A70,Data[Dist],0),MATCH(E$4,Data[#Headers],0)))</f>
        <v>0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2050587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1175645</v>
      </c>
      <c r="D71" s="22">
        <f>INDEX(Data[],MATCH($A71,Data[Dist],0),MATCH(D$4,Data[#Headers],0))</f>
        <v>182</v>
      </c>
      <c r="E71" s="22">
        <f>IF(Notes!$B$3="Pay 1 Regular State Payment Budget",0,INDEX(Data[],MATCH($A71,Data[Dist],0),MATCH(E$4,Data[#Headers],0)))</f>
        <v>0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1175463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17851435</v>
      </c>
      <c r="D72" s="22">
        <f>INDEX(Data[],MATCH($A72,Data[Dist],0),MATCH(D$4,Data[#Headers],0))</f>
        <v>2969</v>
      </c>
      <c r="E72" s="22">
        <f>IF(Notes!$B$3="Pay 1 Regular State Payment Budget",0,INDEX(Data[],MATCH($A72,Data[Dist],0),MATCH(E$4,Data[#Headers],0)))</f>
        <v>0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17848466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5587021</v>
      </c>
      <c r="D73" s="22">
        <f>INDEX(Data[],MATCH($A73,Data[Dist],0),MATCH(D$4,Data[#Headers],0))</f>
        <v>1045</v>
      </c>
      <c r="E73" s="22">
        <f>IF(Notes!$B$3="Pay 1 Regular State Payment Budget",0,INDEX(Data[],MATCH($A73,Data[Dist],0),MATCH(E$4,Data[#Headers],0)))</f>
        <v>0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5585976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30156315</v>
      </c>
      <c r="D74" s="22">
        <f>INDEX(Data[],MATCH($A74,Data[Dist],0),MATCH(D$4,Data[#Headers],0))</f>
        <v>3018</v>
      </c>
      <c r="E74" s="22">
        <f>IF(Notes!$B$3="Pay 1 Regular State Payment Budget",0,INDEX(Data[],MATCH($A74,Data[Dist],0),MATCH(E$4,Data[#Headers],0)))</f>
        <v>0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30153297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5056718</v>
      </c>
      <c r="D75" s="22">
        <f>INDEX(Data[],MATCH($A75,Data[Dist],0),MATCH(D$4,Data[#Headers],0))</f>
        <v>779</v>
      </c>
      <c r="E75" s="22">
        <f>IF(Notes!$B$3="Pay 1 Regular State Payment Budget",0,INDEX(Data[],MATCH($A75,Data[Dist],0),MATCH(E$4,Data[#Headers],0)))</f>
        <v>0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5055939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32310604</v>
      </c>
      <c r="D76" s="22">
        <f>INDEX(Data[],MATCH($A76,Data[Dist],0),MATCH(D$4,Data[#Headers],0))</f>
        <v>4544</v>
      </c>
      <c r="E76" s="22">
        <f>IF(Notes!$B$3="Pay 1 Regular State Payment Budget",0,INDEX(Data[],MATCH($A76,Data[Dist],0),MATCH(E$4,Data[#Headers],0)))</f>
        <v>0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32306060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3072827</v>
      </c>
      <c r="D77" s="22">
        <f>INDEX(Data[],MATCH($A77,Data[Dist],0),MATCH(D$4,Data[#Headers],0))</f>
        <v>232</v>
      </c>
      <c r="E77" s="22">
        <f>IF(Notes!$B$3="Pay 1 Regular State Payment Budget",0,INDEX(Data[],MATCH($A77,Data[Dist],0),MATCH(E$4,Data[#Headers],0)))</f>
        <v>0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3072595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2494930</v>
      </c>
      <c r="D78" s="22">
        <f>INDEX(Data[],MATCH($A78,Data[Dist],0),MATCH(D$4,Data[#Headers],0))</f>
        <v>381</v>
      </c>
      <c r="E78" s="22">
        <f>IF(Notes!$B$3="Pay 1 Regular State Payment Budget",0,INDEX(Data[],MATCH($A78,Data[Dist],0),MATCH(E$4,Data[#Headers],0)))</f>
        <v>0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2494549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5612795</v>
      </c>
      <c r="D79" s="22">
        <f>INDEX(Data[],MATCH($A79,Data[Dist],0),MATCH(D$4,Data[#Headers],0))</f>
        <v>531</v>
      </c>
      <c r="E79" s="22">
        <f>IF(Notes!$B$3="Pay 1 Regular State Payment Budget",0,INDEX(Data[],MATCH($A79,Data[Dist],0),MATCH(E$4,Data[#Headers],0)))</f>
        <v>0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5612264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2795596</v>
      </c>
      <c r="D80" s="22">
        <f>INDEX(Data[],MATCH($A80,Data[Dist],0),MATCH(D$4,Data[#Headers],0))</f>
        <v>448</v>
      </c>
      <c r="E80" s="22">
        <f>IF(Notes!$B$3="Pay 1 Regular State Payment Budget",0,INDEX(Data[],MATCH($A80,Data[Dist],0),MATCH(E$4,Data[#Headers],0)))</f>
        <v>0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2795148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2185260</v>
      </c>
      <c r="D81" s="22">
        <f>INDEX(Data[],MATCH($A81,Data[Dist],0),MATCH(D$4,Data[#Headers],0))</f>
        <v>597</v>
      </c>
      <c r="E81" s="22">
        <f>IF(Notes!$B$3="Pay 1 Regular State Payment Budget",0,INDEX(Data[],MATCH($A81,Data[Dist],0),MATCH(E$4,Data[#Headers],0)))</f>
        <v>0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2184663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72116017</v>
      </c>
      <c r="D82" s="22">
        <f>INDEX(Data[],MATCH($A82,Data[Dist],0),MATCH(D$4,Data[#Headers],0))</f>
        <v>6402</v>
      </c>
      <c r="E82" s="22">
        <f>IF(Notes!$B$3="Pay 1 Regular State Payment Budget",0,INDEX(Data[],MATCH($A82,Data[Dist],0),MATCH(E$4,Data[#Headers],0)))</f>
        <v>0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72109615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9977914</v>
      </c>
      <c r="D83" s="22">
        <f>INDEX(Data[],MATCH($A83,Data[Dist],0),MATCH(D$4,Data[#Headers],0))</f>
        <v>1327</v>
      </c>
      <c r="E83" s="22">
        <f>IF(Notes!$B$3="Pay 1 Regular State Payment Budget",0,INDEX(Data[],MATCH($A83,Data[Dist],0),MATCH(E$4,Data[#Headers],0)))</f>
        <v>0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9976587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22612690</v>
      </c>
      <c r="D84" s="22">
        <f>INDEX(Data[],MATCH($A84,Data[Dist],0),MATCH(D$4,Data[#Headers],0))</f>
        <v>2687</v>
      </c>
      <c r="E84" s="22">
        <f>IF(Notes!$B$3="Pay 1 Regular State Payment Budget",0,INDEX(Data[],MATCH($A84,Data[Dist],0),MATCH(E$4,Data[#Headers],0)))</f>
        <v>0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22610003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3212890</v>
      </c>
      <c r="D85" s="22">
        <f>INDEX(Data[],MATCH($A85,Data[Dist],0),MATCH(D$4,Data[#Headers],0))</f>
        <v>332</v>
      </c>
      <c r="E85" s="22">
        <f>IF(Notes!$B$3="Pay 1 Regular State Payment Budget",0,INDEX(Data[],MATCH($A85,Data[Dist],0),MATCH(E$4,Data[#Headers],0)))</f>
        <v>0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3212558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105611547</v>
      </c>
      <c r="D86" s="22">
        <f>INDEX(Data[],MATCH($A86,Data[Dist],0),MATCH(D$4,Data[#Headers],0))</f>
        <v>11162</v>
      </c>
      <c r="E86" s="22">
        <f>IF(Notes!$B$3="Pay 1 Regular State Payment Budget",0,INDEX(Data[],MATCH($A86,Data[Dist],0),MATCH(E$4,Data[#Headers],0)))</f>
        <v>0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105600385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7896142</v>
      </c>
      <c r="D87" s="22">
        <f>INDEX(Data[],MATCH($A87,Data[Dist],0),MATCH(D$4,Data[#Headers],0))</f>
        <v>929</v>
      </c>
      <c r="E87" s="22">
        <f>IF(Notes!$B$3="Pay 1 Regular State Payment Budget",0,INDEX(Data[],MATCH($A87,Data[Dist],0),MATCH(E$4,Data[#Headers],0)))</f>
        <v>0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7895213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8958475</v>
      </c>
      <c r="D88" s="22">
        <f>INDEX(Data[],MATCH($A88,Data[Dist],0),MATCH(D$4,Data[#Headers],0))</f>
        <v>1443</v>
      </c>
      <c r="E88" s="22">
        <f>IF(Notes!$B$3="Pay 1 Regular State Payment Budget",0,INDEX(Data[],MATCH($A88,Data[Dist],0),MATCH(E$4,Data[#Headers],0)))</f>
        <v>0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8957032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1294456</v>
      </c>
      <c r="D89" s="22">
        <f>INDEX(Data[],MATCH($A89,Data[Dist],0),MATCH(D$4,Data[#Headers],0))</f>
        <v>332</v>
      </c>
      <c r="E89" s="22">
        <f>IF(Notes!$B$3="Pay 1 Regular State Payment Budget",0,INDEX(Data[],MATCH($A89,Data[Dist],0),MATCH(E$4,Data[#Headers],0)))</f>
        <v>0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1294124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17182453</v>
      </c>
      <c r="D90" s="22">
        <f>INDEX(Data[],MATCH($A90,Data[Dist],0),MATCH(D$4,Data[#Headers],0))</f>
        <v>2023</v>
      </c>
      <c r="E90" s="22">
        <f>IF(Notes!$B$3="Pay 1 Regular State Payment Budget",0,INDEX(Data[],MATCH($A90,Data[Dist],0),MATCH(E$4,Data[#Headers],0)))</f>
        <v>0</v>
      </c>
      <c r="F90" s="22">
        <f>IF(OR(Notes!$B$3="Pay 1 Regular State Payment Budget",Notes!$B$3="Pay 2 Regular State Payment Budget"),0,INDEX(Data[],MATCH($A90,Data[Dist],0),MATCH(F$4,Data[#Headers],0)))</f>
        <v>0</v>
      </c>
      <c r="G90" s="22">
        <f>INDEX(Data[],MATCH($A90,Data[Dist],0),MATCH(G$4,Data[#Headers],0))</f>
        <v>17180430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6262761</v>
      </c>
      <c r="D91" s="22">
        <f>INDEX(Data[],MATCH($A91,Data[Dist],0),MATCH(D$4,Data[#Headers],0))</f>
        <v>846</v>
      </c>
      <c r="E91" s="22">
        <f>IF(Notes!$B$3="Pay 1 Regular State Payment Budget",0,INDEX(Data[],MATCH($A91,Data[Dist],0),MATCH(E$4,Data[#Headers],0)))</f>
        <v>0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6261915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254538271</v>
      </c>
      <c r="D92" s="22">
        <f>INDEX(Data[],MATCH($A92,Data[Dist],0),MATCH(D$4,Data[#Headers],0))</f>
        <v>24181</v>
      </c>
      <c r="E92" s="22">
        <f>IF(Notes!$B$3="Pay 1 Regular State Payment Budget",0,INDEX(Data[],MATCH($A92,Data[Dist],0),MATCH(E$4,Data[#Headers],0)))</f>
        <v>0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254514090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879266</v>
      </c>
      <c r="D93" s="22">
        <f>INDEX(Data[],MATCH($A93,Data[Dist],0),MATCH(D$4,Data[#Headers],0))</f>
        <v>166</v>
      </c>
      <c r="E93" s="22">
        <f>IF(Notes!$B$3="Pay 1 Regular State Payment Budget",0,INDEX(Data[],MATCH($A93,Data[Dist],0),MATCH(E$4,Data[#Headers],0)))</f>
        <v>0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879100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6085493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0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6084680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72480768</v>
      </c>
      <c r="D95" s="22">
        <f>INDEX(Data[],MATCH($A95,Data[Dist],0),MATCH(D$4,Data[#Headers],0))</f>
        <v>10465</v>
      </c>
      <c r="E95" s="22">
        <f>IF(Notes!$B$3="Pay 1 Regular State Payment Budget",0,INDEX(Data[],MATCH($A95,Data[Dist],0),MATCH(E$4,Data[#Headers],0)))</f>
        <v>0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72470303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2520296</v>
      </c>
      <c r="D96" s="22">
        <f>INDEX(Data[],MATCH($A96,Data[Dist],0),MATCH(D$4,Data[#Headers],0))</f>
        <v>415</v>
      </c>
      <c r="E96" s="22">
        <f>IF(Notes!$B$3="Pay 1 Regular State Payment Budget",0,INDEX(Data[],MATCH($A96,Data[Dist],0),MATCH(E$4,Data[#Headers],0)))</f>
        <v>0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2519881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2253674</v>
      </c>
      <c r="D97" s="22">
        <f>INDEX(Data[],MATCH($A97,Data[Dist],0),MATCH(D$4,Data[#Headers],0))</f>
        <v>365</v>
      </c>
      <c r="E97" s="22">
        <f>IF(Notes!$B$3="Pay 1 Regular State Payment Budget",0,INDEX(Data[],MATCH($A97,Data[Dist],0),MATCH(E$4,Data[#Headers],0)))</f>
        <v>0</v>
      </c>
      <c r="F97" s="22">
        <f>IF(OR(Notes!$B$3="Pay 1 Regular State Payment Budget",Notes!$B$3="Pay 2 Regular State Payment Budget"),0,INDEX(Data[],MATCH($A97,Data[Dist],0),MATCH(F$4,Data[#Headers],0)))</f>
        <v>0</v>
      </c>
      <c r="G97" s="22">
        <f>INDEX(Data[],MATCH($A97,Data[Dist],0),MATCH(G$4,Data[#Headers],0))</f>
        <v>2253309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3286757</v>
      </c>
      <c r="D98" s="22">
        <f>INDEX(Data[],MATCH($A98,Data[Dist],0),MATCH(D$4,Data[#Headers],0))</f>
        <v>299</v>
      </c>
      <c r="E98" s="22">
        <f>IF(Notes!$B$3="Pay 1 Regular State Payment Budget",0,INDEX(Data[],MATCH($A98,Data[Dist],0),MATCH(E$4,Data[#Headers],0)))</f>
        <v>0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3286458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6366276</v>
      </c>
      <c r="D99" s="22">
        <f>INDEX(Data[],MATCH($A99,Data[Dist],0),MATCH(D$4,Data[#Headers],0))</f>
        <v>763</v>
      </c>
      <c r="E99" s="22">
        <f>IF(Notes!$B$3="Pay 1 Regular State Payment Budget",0,INDEX(Data[],MATCH($A99,Data[Dist],0),MATCH(E$4,Data[#Headers],0)))</f>
        <v>0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6365513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7477202</v>
      </c>
      <c r="D100" s="22">
        <f>INDEX(Data[],MATCH($A100,Data[Dist],0),MATCH(D$4,Data[#Headers],0))</f>
        <v>1045</v>
      </c>
      <c r="E100" s="22">
        <f>IF(Notes!$B$3="Pay 1 Regular State Payment Budget",0,INDEX(Data[],MATCH($A100,Data[Dist],0),MATCH(E$4,Data[#Headers],0)))</f>
        <v>0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7476157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3819690</v>
      </c>
      <c r="D101" s="22">
        <f>INDEX(Data[],MATCH($A101,Data[Dist],0),MATCH(D$4,Data[#Headers],0))</f>
        <v>514</v>
      </c>
      <c r="E101" s="22">
        <f>IF(Notes!$B$3="Pay 1 Regular State Payment Budget",0,INDEX(Data[],MATCH($A101,Data[Dist],0),MATCH(E$4,Data[#Headers],0)))</f>
        <v>0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3819176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3829322</v>
      </c>
      <c r="D102" s="22">
        <f>INDEX(Data[],MATCH($A102,Data[Dist],0),MATCH(D$4,Data[#Headers],0))</f>
        <v>498</v>
      </c>
      <c r="E102" s="22">
        <f>IF(Notes!$B$3="Pay 1 Regular State Payment Budget",0,INDEX(Data[],MATCH($A102,Data[Dist],0),MATCH(E$4,Data[#Headers],0)))</f>
        <v>0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3828824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3761215</v>
      </c>
      <c r="D103" s="22">
        <f>INDEX(Data[],MATCH($A103,Data[Dist],0),MATCH(D$4,Data[#Headers],0))</f>
        <v>365</v>
      </c>
      <c r="E103" s="22">
        <f>IF(Notes!$B$3="Pay 1 Regular State Payment Budget",0,INDEX(Data[],MATCH($A103,Data[Dist],0),MATCH(E$4,Data[#Headers],0)))</f>
        <v>0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3760850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3587447</v>
      </c>
      <c r="D104" s="22">
        <f>INDEX(Data[],MATCH($A104,Data[Dist],0),MATCH(D$4,Data[#Headers],0))</f>
        <v>381</v>
      </c>
      <c r="E104" s="22">
        <f>IF(Notes!$B$3="Pay 1 Regular State Payment Budget",0,INDEX(Data[],MATCH($A104,Data[Dist],0),MATCH(E$4,Data[#Headers],0)))</f>
        <v>0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3587066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1921672</v>
      </c>
      <c r="D105" s="22">
        <f>INDEX(Data[],MATCH($A105,Data[Dist],0),MATCH(D$4,Data[#Headers],0))</f>
        <v>531</v>
      </c>
      <c r="E105" s="22">
        <f>IF(Notes!$B$3="Pay 1 Regular State Payment Budget",0,INDEX(Data[],MATCH($A105,Data[Dist],0),MATCH(E$4,Data[#Headers],0)))</f>
        <v>0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1921141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2068211</v>
      </c>
      <c r="D106" s="22">
        <f>INDEX(Data[],MATCH($A106,Data[Dist],0),MATCH(D$4,Data[#Headers],0))</f>
        <v>282</v>
      </c>
      <c r="E106" s="22">
        <f>IF(Notes!$B$3="Pay 1 Regular State Payment Budget",0,INDEX(Data[],MATCH($A106,Data[Dist],0),MATCH(E$4,Data[#Headers],0)))</f>
        <v>0</v>
      </c>
      <c r="F106" s="22">
        <f>IF(OR(Notes!$B$3="Pay 1 Regular State Payment Budget",Notes!$B$3="Pay 2 Regular State Payment Budget"),0,INDEX(Data[],MATCH($A106,Data[Dist],0),MATCH(F$4,Data[#Headers],0)))</f>
        <v>0</v>
      </c>
      <c r="G106" s="22">
        <f>INDEX(Data[],MATCH($A106,Data[Dist],0),MATCH(G$4,Data[#Headers],0))</f>
        <v>2067929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2545438</v>
      </c>
      <c r="D107" s="22">
        <f>INDEX(Data[],MATCH($A107,Data[Dist],0),MATCH(D$4,Data[#Headers],0))</f>
        <v>547</v>
      </c>
      <c r="E107" s="22">
        <f>IF(Notes!$B$3="Pay 1 Regular State Payment Budget",0,INDEX(Data[],MATCH($A107,Data[Dist],0),MATCH(E$4,Data[#Headers],0)))</f>
        <v>0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2544891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3885224</v>
      </c>
      <c r="D108" s="22">
        <f>INDEX(Data[],MATCH($A108,Data[Dist],0),MATCH(D$4,Data[#Headers],0))</f>
        <v>630</v>
      </c>
      <c r="E108" s="22">
        <f>IF(Notes!$B$3="Pay 1 Regular State Payment Budget",0,INDEX(Data[],MATCH($A108,Data[Dist],0),MATCH(E$4,Data[#Headers],0)))</f>
        <v>0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3884594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3966178</v>
      </c>
      <c r="D109" s="22">
        <f>INDEX(Data[],MATCH($A109,Data[Dist],0),MATCH(D$4,Data[#Headers],0))</f>
        <v>962</v>
      </c>
      <c r="E109" s="22">
        <f>IF(Notes!$B$3="Pay 1 Regular State Payment Budget",0,INDEX(Data[],MATCH($A109,Data[Dist],0),MATCH(E$4,Data[#Headers],0)))</f>
        <v>0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3965216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3191363</v>
      </c>
      <c r="D110" s="22">
        <f>INDEX(Data[],MATCH($A110,Data[Dist],0),MATCH(D$4,Data[#Headers],0))</f>
        <v>514</v>
      </c>
      <c r="E110" s="22">
        <f>IF(Notes!$B$3="Pay 1 Regular State Payment Budget",0,INDEX(Data[],MATCH($A110,Data[Dist],0),MATCH(E$4,Data[#Headers],0)))</f>
        <v>0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3190849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1258084</v>
      </c>
      <c r="D111" s="22">
        <f>INDEX(Data[],MATCH($A111,Data[Dist],0),MATCH(D$4,Data[#Headers],0))</f>
        <v>282</v>
      </c>
      <c r="E111" s="22">
        <f>IF(Notes!$B$3="Pay 1 Regular State Payment Budget",0,INDEX(Data[],MATCH($A111,Data[Dist],0),MATCH(E$4,Data[#Headers],0)))</f>
        <v>0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1257802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8638849</v>
      </c>
      <c r="D112" s="22">
        <f>INDEX(Data[],MATCH($A112,Data[Dist],0),MATCH(D$4,Data[#Headers],0))</f>
        <v>1061</v>
      </c>
      <c r="E112" s="22">
        <f>IF(Notes!$B$3="Pay 1 Regular State Payment Budget",0,INDEX(Data[],MATCH($A112,Data[Dist],0),MATCH(E$4,Data[#Headers],0)))</f>
        <v>0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8637788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2451088</v>
      </c>
      <c r="D113" s="22">
        <f>INDEX(Data[],MATCH($A113,Data[Dist],0),MATCH(D$4,Data[#Headers],0))</f>
        <v>381</v>
      </c>
      <c r="E113" s="22">
        <f>IF(Notes!$B$3="Pay 1 Regular State Payment Budget",0,INDEX(Data[],MATCH($A113,Data[Dist],0),MATCH(E$4,Data[#Headers],0)))</f>
        <v>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2450707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9958266</v>
      </c>
      <c r="D114" s="22">
        <f>INDEX(Data[],MATCH($A114,Data[Dist],0),MATCH(D$4,Data[#Headers],0))</f>
        <v>995</v>
      </c>
      <c r="E114" s="22">
        <f>IF(Notes!$B$3="Pay 1 Regular State Payment Budget",0,INDEX(Data[],MATCH($A114,Data[Dist],0),MATCH(E$4,Data[#Headers],0)))</f>
        <v>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9957271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7137985</v>
      </c>
      <c r="D115" s="22">
        <f>INDEX(Data[],MATCH($A115,Data[Dist],0),MATCH(D$4,Data[#Headers],0))</f>
        <v>1161</v>
      </c>
      <c r="E115" s="22">
        <f>IF(Notes!$B$3="Pay 1 Regular State Payment Budget",0,INDEX(Data[],MATCH($A115,Data[Dist],0),MATCH(E$4,Data[#Headers],0)))</f>
        <v>0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7136824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27898839</v>
      </c>
      <c r="D116" s="22">
        <f>INDEX(Data[],MATCH($A116,Data[Dist],0),MATCH(D$4,Data[#Headers],0))</f>
        <v>3582</v>
      </c>
      <c r="E116" s="22">
        <f>IF(Notes!$B$3="Pay 1 Regular State Payment Budget",0,INDEX(Data[],MATCH($A116,Data[Dist],0),MATCH(E$4,Data[#Headers],0)))</f>
        <v>0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27895257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14127217</v>
      </c>
      <c r="D117" s="22">
        <f>INDEX(Data[],MATCH($A117,Data[Dist],0),MATCH(D$4,Data[#Headers],0))</f>
        <v>1260</v>
      </c>
      <c r="E117" s="22">
        <f>IF(Notes!$B$3="Pay 1 Regular State Payment Budget",0,INDEX(Data[],MATCH($A117,Data[Dist],0),MATCH(E$4,Data[#Headers],0)))</f>
        <v>0</v>
      </c>
      <c r="F117" s="22">
        <f>IF(OR(Notes!$B$3="Pay 1 Regular State Payment Budget",Notes!$B$3="Pay 2 Regular State Payment Budget"),0,INDEX(Data[],MATCH($A117,Data[Dist],0),MATCH(F$4,Data[#Headers],0)))</f>
        <v>0</v>
      </c>
      <c r="G117" s="22">
        <f>INDEX(Data[],MATCH($A117,Data[Dist],0),MATCH(G$4,Data[#Headers],0))</f>
        <v>14125957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2953402</v>
      </c>
      <c r="D118" s="22">
        <f>INDEX(Data[],MATCH($A118,Data[Dist],0),MATCH(D$4,Data[#Headers],0))</f>
        <v>398</v>
      </c>
      <c r="E118" s="22">
        <f>IF(Notes!$B$3="Pay 1 Regular State Payment Budget",0,INDEX(Data[],MATCH($A118,Data[Dist],0),MATCH(E$4,Data[#Headers],0)))</f>
        <v>0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2953004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2641885</v>
      </c>
      <c r="D119" s="22">
        <f>INDEX(Data[],MATCH($A119,Data[Dist],0),MATCH(D$4,Data[#Headers],0))</f>
        <v>448</v>
      </c>
      <c r="E119" s="22">
        <f>IF(Notes!$B$3="Pay 1 Regular State Payment Budget",0,INDEX(Data[],MATCH($A119,Data[Dist],0),MATCH(E$4,Data[#Headers],0)))</f>
        <v>0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2641437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4068934</v>
      </c>
      <c r="D120" s="22">
        <f>INDEX(Data[],MATCH($A120,Data[Dist],0),MATCH(D$4,Data[#Headers],0))</f>
        <v>1194</v>
      </c>
      <c r="E120" s="22">
        <f>IF(Notes!$B$3="Pay 1 Regular State Payment Budget",0,INDEX(Data[],MATCH($A120,Data[Dist],0),MATCH(E$4,Data[#Headers],0)))</f>
        <v>0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4067740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2719874</v>
      </c>
      <c r="D121" s="22">
        <f>INDEX(Data[],MATCH($A121,Data[Dist],0),MATCH(D$4,Data[#Headers],0))</f>
        <v>415</v>
      </c>
      <c r="E121" s="22">
        <f>IF(Notes!$B$3="Pay 1 Regular State Payment Budget",0,INDEX(Data[],MATCH($A121,Data[Dist],0),MATCH(E$4,Data[#Headers],0)))</f>
        <v>0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2719459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9486255</v>
      </c>
      <c r="D122" s="22">
        <f>INDEX(Data[],MATCH($A122,Data[Dist],0),MATCH(D$4,Data[#Headers],0))</f>
        <v>829</v>
      </c>
      <c r="E122" s="22">
        <f>IF(Notes!$B$3="Pay 1 Regular State Payment Budget",0,INDEX(Data[],MATCH($A122,Data[Dist],0),MATCH(E$4,Data[#Headers],0)))</f>
        <v>0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9485426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1013341</v>
      </c>
      <c r="D123" s="22">
        <f>INDEX(Data[],MATCH($A123,Data[Dist],0),MATCH(D$4,Data[#Headers],0))</f>
        <v>265</v>
      </c>
      <c r="E123" s="22">
        <f>IF(Notes!$B$3="Pay 1 Regular State Payment Budget",0,INDEX(Data[],MATCH($A123,Data[Dist],0),MATCH(E$4,Data[#Headers],0)))</f>
        <v>0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1013076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3784993</v>
      </c>
      <c r="D124" s="22">
        <f>INDEX(Data[],MATCH($A124,Data[Dist],0),MATCH(D$4,Data[#Headers],0))</f>
        <v>431</v>
      </c>
      <c r="E124" s="22">
        <f>IF(Notes!$B$3="Pay 1 Regular State Payment Budget",0,INDEX(Data[],MATCH($A124,Data[Dist],0),MATCH(E$4,Data[#Headers],0)))</f>
        <v>0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3784562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12982792</v>
      </c>
      <c r="D125" s="22">
        <f>INDEX(Data[],MATCH($A125,Data[Dist],0),MATCH(D$4,Data[#Headers],0))</f>
        <v>1078</v>
      </c>
      <c r="E125" s="22">
        <f>IF(Notes!$B$3="Pay 1 Regular State Payment Budget",0,INDEX(Data[],MATCH($A125,Data[Dist],0),MATCH(E$4,Data[#Headers],0)))</f>
        <v>0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12981714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1554139</v>
      </c>
      <c r="D126" s="22">
        <f>INDEX(Data[],MATCH($A126,Data[Dist],0),MATCH(D$4,Data[#Headers],0))</f>
        <v>365</v>
      </c>
      <c r="E126" s="22">
        <f>IF(Notes!$B$3="Pay 1 Regular State Payment Budget",0,INDEX(Data[],MATCH($A126,Data[Dist],0),MATCH(E$4,Data[#Headers],0)))</f>
        <v>0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1553774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1983357</v>
      </c>
      <c r="D127" s="22">
        <f>INDEX(Data[],MATCH($A127,Data[Dist],0),MATCH(D$4,Data[#Headers],0))</f>
        <v>282</v>
      </c>
      <c r="E127" s="22">
        <f>IF(Notes!$B$3="Pay 1 Regular State Payment Budget",0,INDEX(Data[],MATCH($A127,Data[Dist],0),MATCH(E$4,Data[#Headers],0)))</f>
        <v>0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1983075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3905800</v>
      </c>
      <c r="D128" s="22">
        <f>INDEX(Data[],MATCH($A128,Data[Dist],0),MATCH(D$4,Data[#Headers],0))</f>
        <v>448</v>
      </c>
      <c r="E128" s="22">
        <f>IF(Notes!$B$3="Pay 1 Regular State Payment Budget",0,INDEX(Data[],MATCH($A128,Data[Dist],0),MATCH(E$4,Data[#Headers],0)))</f>
        <v>0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3905352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1300106</v>
      </c>
      <c r="D129" s="22">
        <f>INDEX(Data[],MATCH($A129,Data[Dist],0),MATCH(D$4,Data[#Headers],0))</f>
        <v>531</v>
      </c>
      <c r="E129" s="22">
        <f>IF(Notes!$B$3="Pay 1 Regular State Payment Budget",0,INDEX(Data[],MATCH($A129,Data[Dist],0),MATCH(E$4,Data[#Headers],0)))</f>
        <v>0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1299575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9977083</v>
      </c>
      <c r="D130" s="22">
        <f>INDEX(Data[],MATCH($A130,Data[Dist],0),MATCH(D$4,Data[#Headers],0))</f>
        <v>1327</v>
      </c>
      <c r="E130" s="22">
        <f>IF(Notes!$B$3="Pay 1 Regular State Payment Budget",0,INDEX(Data[],MATCH($A130,Data[Dist],0),MATCH(E$4,Data[#Headers],0)))</f>
        <v>0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9975756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2692665</v>
      </c>
      <c r="D131" s="22">
        <f>INDEX(Data[],MATCH($A131,Data[Dist],0),MATCH(D$4,Data[#Headers],0))</f>
        <v>265</v>
      </c>
      <c r="E131" s="22">
        <f>IF(Notes!$B$3="Pay 1 Regular State Payment Budget",0,INDEX(Data[],MATCH($A131,Data[Dist],0),MATCH(E$4,Data[#Headers],0)))</f>
        <v>0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2692400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4522673</v>
      </c>
      <c r="D132" s="22">
        <f>INDEX(Data[],MATCH($A132,Data[Dist],0),MATCH(D$4,Data[#Headers],0))</f>
        <v>547</v>
      </c>
      <c r="E132" s="22">
        <f>IF(Notes!$B$3="Pay 1 Regular State Payment Budget",0,INDEX(Data[],MATCH($A132,Data[Dist],0),MATCH(E$4,Data[#Headers],0)))</f>
        <v>0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4522126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2465074</v>
      </c>
      <c r="D133" s="22">
        <f>INDEX(Data[],MATCH($A133,Data[Dist],0),MATCH(D$4,Data[#Headers],0))</f>
        <v>448</v>
      </c>
      <c r="E133" s="22">
        <f>IF(Notes!$B$3="Pay 1 Regular State Payment Budget",0,INDEX(Data[],MATCH($A133,Data[Dist],0),MATCH(E$4,Data[#Headers],0)))</f>
        <v>0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2464626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3217538</v>
      </c>
      <c r="D134" s="22">
        <f>INDEX(Data[],MATCH($A134,Data[Dist],0),MATCH(D$4,Data[#Headers],0))</f>
        <v>630</v>
      </c>
      <c r="E134" s="22">
        <f>IF(Notes!$B$3="Pay 1 Regular State Payment Budget",0,INDEX(Data[],MATCH($A134,Data[Dist],0),MATCH(E$4,Data[#Headers],0)))</f>
        <v>0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3216908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1988953</v>
      </c>
      <c r="D135" s="22">
        <f>INDEX(Data[],MATCH($A135,Data[Dist],0),MATCH(D$4,Data[#Headers],0))</f>
        <v>116</v>
      </c>
      <c r="E135" s="22">
        <f>IF(Notes!$B$3="Pay 1 Regular State Payment Budget",0,INDEX(Data[],MATCH($A135,Data[Dist],0),MATCH(E$4,Data[#Headers],0)))</f>
        <v>0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1988837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1395215</v>
      </c>
      <c r="D136" s="22">
        <f>INDEX(Data[],MATCH($A136,Data[Dist],0),MATCH(D$4,Data[#Headers],0))</f>
        <v>149</v>
      </c>
      <c r="E136" s="22">
        <f>IF(Notes!$B$3="Pay 1 Regular State Payment Budget",0,INDEX(Data[],MATCH($A136,Data[Dist],0),MATCH(E$4,Data[#Headers],0)))</f>
        <v>0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1395066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7816324</v>
      </c>
      <c r="D137" s="22">
        <f>INDEX(Data[],MATCH($A137,Data[Dist],0),MATCH(D$4,Data[#Headers],0))</f>
        <v>912</v>
      </c>
      <c r="E137" s="22">
        <f>IF(Notes!$B$3="Pay 1 Regular State Payment Budget",0,INDEX(Data[],MATCH($A137,Data[Dist],0),MATCH(E$4,Data[#Headers],0)))</f>
        <v>0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7815412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8822885</v>
      </c>
      <c r="D138" s="22">
        <f>INDEX(Data[],MATCH($A138,Data[Dist],0),MATCH(D$4,Data[#Headers],0))</f>
        <v>1294</v>
      </c>
      <c r="E138" s="22">
        <f>IF(Notes!$B$3="Pay 1 Regular State Payment Budget",0,INDEX(Data[],MATCH($A138,Data[Dist],0),MATCH(E$4,Data[#Headers],0)))</f>
        <v>0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8821591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1100857</v>
      </c>
      <c r="D139" s="22">
        <f>INDEX(Data[],MATCH($A139,Data[Dist],0),MATCH(D$4,Data[#Headers],0))</f>
        <v>299</v>
      </c>
      <c r="E139" s="22">
        <f>IF(Notes!$B$3="Pay 1 Regular State Payment Budget",0,INDEX(Data[],MATCH($A139,Data[Dist],0),MATCH(E$4,Data[#Headers],0)))</f>
        <v>0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1100558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3377075</v>
      </c>
      <c r="D140" s="22">
        <f>INDEX(Data[],MATCH($A140,Data[Dist],0),MATCH(D$4,Data[#Headers],0))</f>
        <v>564</v>
      </c>
      <c r="E140" s="22">
        <f>IF(Notes!$B$3="Pay 1 Regular State Payment Budget",0,INDEX(Data[],MATCH($A140,Data[Dist],0),MATCH(E$4,Data[#Headers],0)))</f>
        <v>0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3376511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3427134</v>
      </c>
      <c r="D141" s="22">
        <f>INDEX(Data[],MATCH($A141,Data[Dist],0),MATCH(D$4,Data[#Headers],0))</f>
        <v>448</v>
      </c>
      <c r="E141" s="22">
        <f>IF(Notes!$B$3="Pay 1 Regular State Payment Budget",0,INDEX(Data[],MATCH($A141,Data[Dist],0),MATCH(E$4,Data[#Headers],0)))</f>
        <v>0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3426686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3581669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0</v>
      </c>
      <c r="F142" s="22">
        <f>IF(OR(Notes!$B$3="Pay 1 Regular State Payment Budget",Notes!$B$3="Pay 2 Regular State Payment Budget"),0,INDEX(Data[],MATCH($A142,Data[Dist],0),MATCH(F$4,Data[#Headers],0)))</f>
        <v>0</v>
      </c>
      <c r="G142" s="22">
        <f>INDEX(Data[],MATCH($A142,Data[Dist],0),MATCH(G$4,Data[#Headers],0))</f>
        <v>3581072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7236506</v>
      </c>
      <c r="D143" s="22">
        <f>INDEX(Data[],MATCH($A143,Data[Dist],0),MATCH(D$4,Data[#Headers],0))</f>
        <v>929</v>
      </c>
      <c r="E143" s="22">
        <f>IF(Notes!$B$3="Pay 1 Regular State Payment Budget",0,INDEX(Data[],MATCH($A143,Data[Dist],0),MATCH(E$4,Data[#Headers],0)))</f>
        <v>0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7235577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1843006</v>
      </c>
      <c r="D144" s="22">
        <f>INDEX(Data[],MATCH($A144,Data[Dist],0),MATCH(D$4,Data[#Headers],0))</f>
        <v>299</v>
      </c>
      <c r="E144" s="22">
        <f>IF(Notes!$B$3="Pay 1 Regular State Payment Budget",0,INDEX(Data[],MATCH($A144,Data[Dist],0),MATCH(E$4,Data[#Headers],0)))</f>
        <v>0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1842707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4894559</v>
      </c>
      <c r="D145" s="22">
        <f>INDEX(Data[],MATCH($A145,Data[Dist],0),MATCH(D$4,Data[#Headers],0))</f>
        <v>564</v>
      </c>
      <c r="E145" s="22">
        <f>IF(Notes!$B$3="Pay 1 Regular State Payment Budget",0,INDEX(Data[],MATCH($A145,Data[Dist],0),MATCH(E$4,Data[#Headers],0)))</f>
        <v>0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4893995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8142293</v>
      </c>
      <c r="D146" s="22">
        <f>INDEX(Data[],MATCH($A146,Data[Dist],0),MATCH(D$4,Data[#Headers],0))</f>
        <v>1360</v>
      </c>
      <c r="E146" s="22">
        <f>IF(Notes!$B$3="Pay 1 Regular State Payment Budget",0,INDEX(Data[],MATCH($A146,Data[Dist],0),MATCH(E$4,Data[#Headers],0)))</f>
        <v>0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8140933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9847421</v>
      </c>
      <c r="D147" s="22">
        <f>INDEX(Data[],MATCH($A147,Data[Dist],0),MATCH(D$4,Data[#Headers],0))</f>
        <v>1559</v>
      </c>
      <c r="E147" s="22">
        <f>IF(Notes!$B$3="Pay 1 Regular State Payment Budget",0,INDEX(Data[],MATCH($A147,Data[Dist],0),MATCH(E$4,Data[#Headers],0)))</f>
        <v>0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9845862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25573911</v>
      </c>
      <c r="D148" s="22">
        <f>INDEX(Data[],MATCH($A148,Data[Dist],0),MATCH(D$4,Data[#Headers],0))</f>
        <v>2057</v>
      </c>
      <c r="E148" s="22">
        <f>IF(Notes!$B$3="Pay 1 Regular State Payment Budget",0,INDEX(Data[],MATCH($A148,Data[Dist],0),MATCH(E$4,Data[#Headers],0)))</f>
        <v>0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25571854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5916689</v>
      </c>
      <c r="D149" s="22">
        <f>INDEX(Data[],MATCH($A149,Data[Dist],0),MATCH(D$4,Data[#Headers],0))</f>
        <v>730</v>
      </c>
      <c r="E149" s="22">
        <f>IF(Notes!$B$3="Pay 1 Regular State Payment Budget",0,INDEX(Data[],MATCH($A149,Data[Dist],0),MATCH(E$4,Data[#Headers],0)))</f>
        <v>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5915959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87812011</v>
      </c>
      <c r="D150" s="22">
        <f>INDEX(Data[],MATCH($A150,Data[Dist],0),MATCH(D$4,Data[#Headers],0))</f>
        <v>8342</v>
      </c>
      <c r="E150" s="22">
        <f>IF(Notes!$B$3="Pay 1 Regular State Payment Budget",0,INDEX(Data[],MATCH($A150,Data[Dist],0),MATCH(E$4,Data[#Headers],0)))</f>
        <v>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87803669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6873631</v>
      </c>
      <c r="D151" s="22">
        <f>INDEX(Data[],MATCH($A151,Data[Dist],0),MATCH(D$4,Data[#Headers],0))</f>
        <v>995</v>
      </c>
      <c r="E151" s="22">
        <f>IF(Notes!$B$3="Pay 1 Regular State Payment Budget",0,INDEX(Data[],MATCH($A151,Data[Dist],0),MATCH(E$4,Data[#Headers],0)))</f>
        <v>0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6872636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3536051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0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3535587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3837603</v>
      </c>
      <c r="D153" s="22">
        <f>INDEX(Data[],MATCH($A153,Data[Dist],0),MATCH(D$4,Data[#Headers],0))</f>
        <v>813</v>
      </c>
      <c r="E153" s="22">
        <f>IF(Notes!$B$3="Pay 1 Regular State Payment Budget",0,INDEX(Data[],MATCH($A153,Data[Dist],0),MATCH(E$4,Data[#Headers],0)))</f>
        <v>0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3836790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2989660</v>
      </c>
      <c r="D154" s="22">
        <f>INDEX(Data[],MATCH($A154,Data[Dist],0),MATCH(D$4,Data[#Headers],0))</f>
        <v>365</v>
      </c>
      <c r="E154" s="22">
        <f>IF(Notes!$B$3="Pay 1 Regular State Payment Budget",0,INDEX(Data[],MATCH($A154,Data[Dist],0),MATCH(E$4,Data[#Headers],0)))</f>
        <v>0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2989295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7490007</v>
      </c>
      <c r="D155" s="22">
        <f>INDEX(Data[],MATCH($A155,Data[Dist],0),MATCH(D$4,Data[#Headers],0))</f>
        <v>1327</v>
      </c>
      <c r="E155" s="22">
        <f>IF(Notes!$B$3="Pay 1 Regular State Payment Budget",0,INDEX(Data[],MATCH($A155,Data[Dist],0),MATCH(E$4,Data[#Headers],0)))</f>
        <v>0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7488680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6322687</v>
      </c>
      <c r="D156" s="22">
        <f>INDEX(Data[],MATCH($A156,Data[Dist],0),MATCH(D$4,Data[#Headers],0))</f>
        <v>1028</v>
      </c>
      <c r="E156" s="22">
        <f>IF(Notes!$B$3="Pay 1 Regular State Payment Budget",0,INDEX(Data[],MATCH($A156,Data[Dist],0),MATCH(E$4,Data[#Headers],0)))</f>
        <v>0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6321659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46786523</v>
      </c>
      <c r="D157" s="22">
        <f>INDEX(Data[],MATCH($A157,Data[Dist],0),MATCH(D$4,Data[#Headers],0))</f>
        <v>4511</v>
      </c>
      <c r="E157" s="22">
        <f>IF(Notes!$B$3="Pay 1 Regular State Payment Budget",0,INDEX(Data[],MATCH($A157,Data[Dist],0),MATCH(E$4,Data[#Headers],0)))</f>
        <v>0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46782012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15733859</v>
      </c>
      <c r="D158" s="22">
        <f>INDEX(Data[],MATCH($A158,Data[Dist],0),MATCH(D$4,Data[#Headers],0))</f>
        <v>1509</v>
      </c>
      <c r="E158" s="22">
        <f>IF(Notes!$B$3="Pay 1 Regular State Payment Budget",0,INDEX(Data[],MATCH($A158,Data[Dist],0),MATCH(E$4,Data[#Headers],0)))</f>
        <v>0</v>
      </c>
      <c r="F158" s="22">
        <f>IF(OR(Notes!$B$3="Pay 1 Regular State Payment Budget",Notes!$B$3="Pay 2 Regular State Payment Budget"),0,INDEX(Data[],MATCH($A158,Data[Dist],0),MATCH(F$4,Data[#Headers],0)))</f>
        <v>0</v>
      </c>
      <c r="G158" s="22">
        <f>INDEX(Data[],MATCH($A158,Data[Dist],0),MATCH(G$4,Data[#Headers],0))</f>
        <v>15732350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2102153</v>
      </c>
      <c r="D159" s="22">
        <f>INDEX(Data[],MATCH($A159,Data[Dist],0),MATCH(D$4,Data[#Headers],0))</f>
        <v>299</v>
      </c>
      <c r="E159" s="22">
        <f>IF(Notes!$B$3="Pay 1 Regular State Payment Budget",0,INDEX(Data[],MATCH($A159,Data[Dist],0),MATCH(E$4,Data[#Headers],0)))</f>
        <v>0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2101854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2989557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0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2989557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13166646</v>
      </c>
      <c r="D161" s="22">
        <f>INDEX(Data[],MATCH($A161,Data[Dist],0),MATCH(D$4,Data[#Headers],0))</f>
        <v>1642</v>
      </c>
      <c r="E161" s="22">
        <f>IF(Notes!$B$3="Pay 1 Regular State Payment Budget",0,INDEX(Data[],MATCH($A161,Data[Dist],0),MATCH(E$4,Data[#Headers],0)))</f>
        <v>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13165004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3454354</v>
      </c>
      <c r="D162" s="22">
        <f>INDEX(Data[],MATCH($A162,Data[Dist],0),MATCH(D$4,Data[#Headers],0))</f>
        <v>431</v>
      </c>
      <c r="E162" s="22">
        <f>IF(Notes!$B$3="Pay 1 Regular State Payment Budget",0,INDEX(Data[],MATCH($A162,Data[Dist],0),MATCH(E$4,Data[#Headers],0)))</f>
        <v>0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3453923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2613580</v>
      </c>
      <c r="D163" s="22">
        <f>INDEX(Data[],MATCH($A163,Data[Dist],0),MATCH(D$4,Data[#Headers],0))</f>
        <v>415</v>
      </c>
      <c r="E163" s="22">
        <f>IF(Notes!$B$3="Pay 1 Regular State Payment Budget",0,INDEX(Data[],MATCH($A163,Data[Dist],0),MATCH(E$4,Data[#Headers],0)))</f>
        <v>0</v>
      </c>
      <c r="F163" s="22">
        <f>IF(OR(Notes!$B$3="Pay 1 Regular State Payment Budget",Notes!$B$3="Pay 2 Regular State Payment Budget"),0,INDEX(Data[],MATCH($A163,Data[Dist],0),MATCH(F$4,Data[#Headers],0)))</f>
        <v>0</v>
      </c>
      <c r="G163" s="22">
        <f>INDEX(Data[],MATCH($A163,Data[Dist],0),MATCH(G$4,Data[#Headers],0))</f>
        <v>2613165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1718120</v>
      </c>
      <c r="D164" s="22">
        <f>INDEX(Data[],MATCH($A164,Data[Dist],0),MATCH(D$4,Data[#Headers],0))</f>
        <v>332</v>
      </c>
      <c r="E164" s="22">
        <f>IF(Notes!$B$3="Pay 1 Regular State Payment Budget",0,INDEX(Data[],MATCH($A164,Data[Dist],0),MATCH(E$4,Data[#Headers],0)))</f>
        <v>0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1717788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3900571</v>
      </c>
      <c r="D165" s="22">
        <f>INDEX(Data[],MATCH($A165,Data[Dist],0),MATCH(D$4,Data[#Headers],0))</f>
        <v>713</v>
      </c>
      <c r="E165" s="22">
        <f>IF(Notes!$B$3="Pay 1 Regular State Payment Budget",0,INDEX(Data[],MATCH($A165,Data[Dist],0),MATCH(E$4,Data[#Headers],0)))</f>
        <v>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3899858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3399346</v>
      </c>
      <c r="D166" s="22">
        <f>INDEX(Data[],MATCH($A166,Data[Dist],0),MATCH(D$4,Data[#Headers],0))</f>
        <v>531</v>
      </c>
      <c r="E166" s="22">
        <f>IF(Notes!$B$3="Pay 1 Regular State Payment Budget",0,INDEX(Data[],MATCH($A166,Data[Dist],0),MATCH(E$4,Data[#Headers],0)))</f>
        <v>0</v>
      </c>
      <c r="F166" s="22">
        <f>IF(OR(Notes!$B$3="Pay 1 Regular State Payment Budget",Notes!$B$3="Pay 2 Regular State Payment Budget"),0,INDEX(Data[],MATCH($A166,Data[Dist],0),MATCH(F$4,Data[#Headers],0)))</f>
        <v>0</v>
      </c>
      <c r="G166" s="22">
        <f>INDEX(Data[],MATCH($A166,Data[Dist],0),MATCH(G$4,Data[#Headers],0))</f>
        <v>3398815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14825771</v>
      </c>
      <c r="D167" s="22">
        <f>INDEX(Data[],MATCH($A167,Data[Dist],0),MATCH(D$4,Data[#Headers],0))</f>
        <v>1542</v>
      </c>
      <c r="E167" s="22">
        <f>IF(Notes!$B$3="Pay 1 Regular State Payment Budget",0,INDEX(Data[],MATCH($A167,Data[Dist],0),MATCH(E$4,Data[#Headers],0)))</f>
        <v>0</v>
      </c>
      <c r="F167" s="22">
        <f>IF(OR(Notes!$B$3="Pay 1 Regular State Payment Budget",Notes!$B$3="Pay 2 Regular State Payment Budget"),0,INDEX(Data[],MATCH($A167,Data[Dist],0),MATCH(F$4,Data[#Headers],0)))</f>
        <v>0</v>
      </c>
      <c r="G167" s="22">
        <f>INDEX(Data[],MATCH($A167,Data[Dist],0),MATCH(G$4,Data[#Headers],0))</f>
        <v>14824229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3174640</v>
      </c>
      <c r="D168" s="22">
        <f>INDEX(Data[],MATCH($A168,Data[Dist],0),MATCH(D$4,Data[#Headers],0))</f>
        <v>580</v>
      </c>
      <c r="E168" s="22">
        <f>IF(Notes!$B$3="Pay 1 Regular State Payment Budget",0,INDEX(Data[],MATCH($A168,Data[Dist],0),MATCH(E$4,Data[#Headers],0)))</f>
        <v>0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3174060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14726887</v>
      </c>
      <c r="D169" s="22">
        <f>INDEX(Data[],MATCH($A169,Data[Dist],0),MATCH(D$4,Data[#Headers],0))</f>
        <v>1095</v>
      </c>
      <c r="E169" s="22">
        <f>IF(Notes!$B$3="Pay 1 Regular State Payment Budget",0,INDEX(Data[],MATCH($A169,Data[Dist],0),MATCH(E$4,Data[#Headers],0)))</f>
        <v>0</v>
      </c>
      <c r="F169" s="22">
        <f>IF(OR(Notes!$B$3="Pay 1 Regular State Payment Budget",Notes!$B$3="Pay 2 Regular State Payment Budget"),0,INDEX(Data[],MATCH($A169,Data[Dist],0),MATCH(F$4,Data[#Headers],0)))</f>
        <v>0</v>
      </c>
      <c r="G169" s="22">
        <f>INDEX(Data[],MATCH($A169,Data[Dist],0),MATCH(G$4,Data[#Headers],0))</f>
        <v>14725792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4565635</v>
      </c>
      <c r="D170" s="22">
        <f>INDEX(Data[],MATCH($A170,Data[Dist],0),MATCH(D$4,Data[#Headers],0))</f>
        <v>663</v>
      </c>
      <c r="E170" s="22">
        <f>IF(Notes!$B$3="Pay 1 Regular State Payment Budget",0,INDEX(Data[],MATCH($A170,Data[Dist],0),MATCH(E$4,Data[#Headers],0)))</f>
        <v>0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4564972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52295471</v>
      </c>
      <c r="D171" s="22">
        <f>INDEX(Data[],MATCH($A171,Data[Dist],0),MATCH(D$4,Data[#Headers],0))</f>
        <v>3997</v>
      </c>
      <c r="E171" s="22">
        <f>IF(Notes!$B$3="Pay 1 Regular State Payment Budget",0,INDEX(Data[],MATCH($A171,Data[Dist],0),MATCH(E$4,Data[#Headers],0)))</f>
        <v>0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52291474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4742918</v>
      </c>
      <c r="D172" s="22">
        <f>INDEX(Data[],MATCH($A172,Data[Dist],0),MATCH(D$4,Data[#Headers],0))</f>
        <v>862</v>
      </c>
      <c r="E172" s="22">
        <f>IF(Notes!$B$3="Pay 1 Regular State Payment Budget",0,INDEX(Data[],MATCH($A172,Data[Dist],0),MATCH(E$4,Data[#Headers],0)))</f>
        <v>0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4742056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3830013</v>
      </c>
      <c r="D173" s="22">
        <f>INDEX(Data[],MATCH($A173,Data[Dist],0),MATCH(D$4,Data[#Headers],0))</f>
        <v>779</v>
      </c>
      <c r="E173" s="22">
        <f>IF(Notes!$B$3="Pay 1 Regular State Payment Budget",0,INDEX(Data[],MATCH($A173,Data[Dist],0),MATCH(E$4,Data[#Headers],0)))</f>
        <v>0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3829234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2047021</v>
      </c>
      <c r="D174" s="22">
        <f>INDEX(Data[],MATCH($A174,Data[Dist],0),MATCH(D$4,Data[#Headers],0))</f>
        <v>464</v>
      </c>
      <c r="E174" s="22">
        <f>IF(Notes!$B$3="Pay 1 Regular State Payment Budget",0,INDEX(Data[],MATCH($A174,Data[Dist],0),MATCH(E$4,Data[#Headers],0)))</f>
        <v>0</v>
      </c>
      <c r="F174" s="22">
        <f>IF(OR(Notes!$B$3="Pay 1 Regular State Payment Budget",Notes!$B$3="Pay 2 Regular State Payment Budget"),0,INDEX(Data[],MATCH($A174,Data[Dist],0),MATCH(F$4,Data[#Headers],0)))</f>
        <v>0</v>
      </c>
      <c r="G174" s="22">
        <f>INDEX(Data[],MATCH($A174,Data[Dist],0),MATCH(G$4,Data[#Headers],0))</f>
        <v>2046557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4627595</v>
      </c>
      <c r="D175" s="22">
        <f>INDEX(Data[],MATCH($A175,Data[Dist],0),MATCH(D$4,Data[#Headers],0))</f>
        <v>779</v>
      </c>
      <c r="E175" s="22">
        <f>IF(Notes!$B$3="Pay 1 Regular State Payment Budget",0,INDEX(Data[],MATCH($A175,Data[Dist],0),MATCH(E$4,Data[#Headers],0)))</f>
        <v>0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4626816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285780</v>
      </c>
      <c r="D176" s="22">
        <f>INDEX(Data[],MATCH($A176,Data[Dist],0),MATCH(D$4,Data[#Headers],0))</f>
        <v>17</v>
      </c>
      <c r="E176" s="22">
        <f>IF(Notes!$B$3="Pay 1 Regular State Payment Budget",0,INDEX(Data[],MATCH($A176,Data[Dist],0),MATCH(E$4,Data[#Headers],0)))</f>
        <v>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285763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2786861</v>
      </c>
      <c r="D177" s="22">
        <f>INDEX(Data[],MATCH($A177,Data[Dist],0),MATCH(D$4,Data[#Headers],0))</f>
        <v>614</v>
      </c>
      <c r="E177" s="22">
        <f>IF(Notes!$B$3="Pay 1 Regular State Payment Budget",0,INDEX(Data[],MATCH($A177,Data[Dist],0),MATCH(E$4,Data[#Headers],0)))</f>
        <v>0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2786247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4923284</v>
      </c>
      <c r="D178" s="22">
        <f>INDEX(Data[],MATCH($A178,Data[Dist],0),MATCH(D$4,Data[#Headers],0))</f>
        <v>531</v>
      </c>
      <c r="E178" s="22">
        <f>IF(Notes!$B$3="Pay 1 Regular State Payment Budget",0,INDEX(Data[],MATCH($A178,Data[Dist],0),MATCH(E$4,Data[#Headers],0)))</f>
        <v>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4922753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3061843</v>
      </c>
      <c r="D179" s="22">
        <f>INDEX(Data[],MATCH($A179,Data[Dist],0),MATCH(D$4,Data[#Headers],0))</f>
        <v>332</v>
      </c>
      <c r="E179" s="22">
        <f>IF(Notes!$B$3="Pay 1 Regular State Payment Budget",0,INDEX(Data[],MATCH($A179,Data[Dist],0),MATCH(E$4,Data[#Headers],0)))</f>
        <v>0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3061511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3353189</v>
      </c>
      <c r="D180" s="22">
        <f>INDEX(Data[],MATCH($A180,Data[Dist],0),MATCH(D$4,Data[#Headers],0))</f>
        <v>614</v>
      </c>
      <c r="E180" s="22">
        <f>IF(Notes!$B$3="Pay 1 Regular State Payment Budget",0,INDEX(Data[],MATCH($A180,Data[Dist],0),MATCH(E$4,Data[#Headers],0)))</f>
        <v>0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3352575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3270507</v>
      </c>
      <c r="D181" s="22">
        <f>INDEX(Data[],MATCH($A181,Data[Dist],0),MATCH(D$4,Data[#Headers],0))</f>
        <v>630</v>
      </c>
      <c r="E181" s="22">
        <f>IF(Notes!$B$3="Pay 1 Regular State Payment Budget",0,INDEX(Data[],MATCH($A181,Data[Dist],0),MATCH(E$4,Data[#Headers],0)))</f>
        <v>0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3269877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9836712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0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9835468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3672191</v>
      </c>
      <c r="D183" s="22">
        <f>INDEX(Data[],MATCH($A183,Data[Dist],0),MATCH(D$4,Data[#Headers],0))</f>
        <v>531</v>
      </c>
      <c r="E183" s="22">
        <f>IF(Notes!$B$3="Pay 1 Regular State Payment Budget",0,INDEX(Data[],MATCH($A183,Data[Dist],0),MATCH(E$4,Data[#Headers],0)))</f>
        <v>0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3671660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2024625</v>
      </c>
      <c r="D184" s="22">
        <f>INDEX(Data[],MATCH($A184,Data[Dist],0),MATCH(D$4,Data[#Headers],0))</f>
        <v>448</v>
      </c>
      <c r="E184" s="22">
        <f>IF(Notes!$B$3="Pay 1 Regular State Payment Budget",0,INDEX(Data[],MATCH($A184,Data[Dist],0),MATCH(E$4,Data[#Headers],0)))</f>
        <v>0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2024177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14517089</v>
      </c>
      <c r="D185" s="22">
        <f>INDEX(Data[],MATCH($A185,Data[Dist],0),MATCH(D$4,Data[#Headers],0))</f>
        <v>1692</v>
      </c>
      <c r="E185" s="22">
        <f>IF(Notes!$B$3="Pay 1 Regular State Payment Budget",0,INDEX(Data[],MATCH($A185,Data[Dist],0),MATCH(E$4,Data[#Headers],0)))</f>
        <v>0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14515397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44073968</v>
      </c>
      <c r="D186" s="22">
        <f>INDEX(Data[],MATCH($A186,Data[Dist],0),MATCH(D$4,Data[#Headers],0))</f>
        <v>4395</v>
      </c>
      <c r="E186" s="22">
        <f>IF(Notes!$B$3="Pay 1 Regular State Payment Budget",0,INDEX(Data[],MATCH($A186,Data[Dist],0),MATCH(E$4,Data[#Headers],0)))</f>
        <v>0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44069573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3132944</v>
      </c>
      <c r="D187" s="22">
        <f>INDEX(Data[],MATCH($A187,Data[Dist],0),MATCH(D$4,Data[#Headers],0))</f>
        <v>365</v>
      </c>
      <c r="E187" s="22">
        <f>IF(Notes!$B$3="Pay 1 Regular State Payment Budget",0,INDEX(Data[],MATCH($A187,Data[Dist],0),MATCH(E$4,Data[#Headers],0)))</f>
        <v>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3132579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23541615</v>
      </c>
      <c r="D188" s="22">
        <f>INDEX(Data[],MATCH($A188,Data[Dist],0),MATCH(D$4,Data[#Headers],0))</f>
        <v>2786</v>
      </c>
      <c r="E188" s="22">
        <f>IF(Notes!$B$3="Pay 1 Regular State Payment Budget",0,INDEX(Data[],MATCH($A188,Data[Dist],0),MATCH(E$4,Data[#Headers],0)))</f>
        <v>0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23538829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9543181</v>
      </c>
      <c r="D189" s="22">
        <f>INDEX(Data[],MATCH($A189,Data[Dist],0),MATCH(D$4,Data[#Headers],0))</f>
        <v>1061</v>
      </c>
      <c r="E189" s="22">
        <f>IF(Notes!$B$3="Pay 1 Regular State Payment Budget",0,INDEX(Data[],MATCH($A189,Data[Dist],0),MATCH(E$4,Data[#Headers],0)))</f>
        <v>0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9542120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5234143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0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5234143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2522575</v>
      </c>
      <c r="D191" s="22">
        <f>INDEX(Data[],MATCH($A191,Data[Dist],0),MATCH(D$4,Data[#Headers],0))</f>
        <v>315</v>
      </c>
      <c r="E191" s="22">
        <f>IF(Notes!$B$3="Pay 1 Regular State Payment Budget",0,INDEX(Data[],MATCH($A191,Data[Dist],0),MATCH(E$4,Data[#Headers],0)))</f>
        <v>0</v>
      </c>
      <c r="F191" s="22">
        <f>IF(OR(Notes!$B$3="Pay 1 Regular State Payment Budget",Notes!$B$3="Pay 2 Regular State Payment Budget"),0,INDEX(Data[],MATCH($A191,Data[Dist],0),MATCH(F$4,Data[#Headers],0)))</f>
        <v>0</v>
      </c>
      <c r="G191" s="22">
        <f>INDEX(Data[],MATCH($A191,Data[Dist],0),MATCH(G$4,Data[#Headers],0))</f>
        <v>2522260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3271446</v>
      </c>
      <c r="D192" s="22">
        <f>INDEX(Data[],MATCH($A192,Data[Dist],0),MATCH(D$4,Data[#Headers],0))</f>
        <v>481</v>
      </c>
      <c r="E192" s="22">
        <f>IF(Notes!$B$3="Pay 1 Regular State Payment Budget",0,INDEX(Data[],MATCH($A192,Data[Dist],0),MATCH(E$4,Data[#Headers],0)))</f>
        <v>0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3270965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8126437</v>
      </c>
      <c r="D193" s="22">
        <f>INDEX(Data[],MATCH($A193,Data[Dist],0),MATCH(D$4,Data[#Headers],0))</f>
        <v>1012</v>
      </c>
      <c r="E193" s="22">
        <f>IF(Notes!$B$3="Pay 1 Regular State Payment Budget",0,INDEX(Data[],MATCH($A193,Data[Dist],0),MATCH(E$4,Data[#Headers],0)))</f>
        <v>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8125425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5134023</v>
      </c>
      <c r="D194" s="22">
        <f>INDEX(Data[],MATCH($A194,Data[Dist],0),MATCH(D$4,Data[#Headers],0))</f>
        <v>647</v>
      </c>
      <c r="E194" s="22">
        <f>IF(Notes!$B$3="Pay 1 Regular State Payment Budget",0,INDEX(Data[],MATCH($A194,Data[Dist],0),MATCH(E$4,Data[#Headers],0)))</f>
        <v>0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5133376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5574754</v>
      </c>
      <c r="D195" s="22">
        <f>INDEX(Data[],MATCH($A195,Data[Dist],0),MATCH(D$4,Data[#Headers],0))</f>
        <v>846</v>
      </c>
      <c r="E195" s="22">
        <f>IF(Notes!$B$3="Pay 1 Regular State Payment Budget",0,INDEX(Data[],MATCH($A195,Data[Dist],0),MATCH(E$4,Data[#Headers],0)))</f>
        <v>0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5573908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2232174</v>
      </c>
      <c r="D196" s="22">
        <f>INDEX(Data[],MATCH($A196,Data[Dist],0),MATCH(D$4,Data[#Headers],0))</f>
        <v>381</v>
      </c>
      <c r="E196" s="22">
        <f>IF(Notes!$B$3="Pay 1 Regular State Payment Budget",0,INDEX(Data[],MATCH($A196,Data[Dist],0),MATCH(E$4,Data[#Headers],0)))</f>
        <v>0</v>
      </c>
      <c r="F196" s="22">
        <f>IF(OR(Notes!$B$3="Pay 1 Regular State Payment Budget",Notes!$B$3="Pay 2 Regular State Payment Budget"),0,INDEX(Data[],MATCH($A196,Data[Dist],0),MATCH(F$4,Data[#Headers],0)))</f>
        <v>0</v>
      </c>
      <c r="G196" s="22">
        <f>INDEX(Data[],MATCH($A196,Data[Dist],0),MATCH(G$4,Data[#Headers],0))</f>
        <v>2231793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6255153</v>
      </c>
      <c r="D197" s="22">
        <f>INDEX(Data[],MATCH($A197,Data[Dist],0),MATCH(D$4,Data[#Headers],0))</f>
        <v>813</v>
      </c>
      <c r="E197" s="22">
        <f>IF(Notes!$B$3="Pay 1 Regular State Payment Budget",0,INDEX(Data[],MATCH($A197,Data[Dist],0),MATCH(E$4,Data[#Headers],0)))</f>
        <v>0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6254340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2363910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0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2363645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1558397</v>
      </c>
      <c r="D199" s="22">
        <f>INDEX(Data[],MATCH($A199,Data[Dist],0),MATCH(D$4,Data[#Headers],0))</f>
        <v>83</v>
      </c>
      <c r="E199" s="22">
        <f>IF(Notes!$B$3="Pay 1 Regular State Payment Budget",0,INDEX(Data[],MATCH($A199,Data[Dist],0),MATCH(E$4,Data[#Headers],0)))</f>
        <v>0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1558314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1332034</v>
      </c>
      <c r="D200" s="22">
        <f>INDEX(Data[],MATCH($A200,Data[Dist],0),MATCH(D$4,Data[#Headers],0))</f>
        <v>299</v>
      </c>
      <c r="E200" s="22">
        <f>IF(Notes!$B$3="Pay 1 Regular State Payment Budget",0,INDEX(Data[],MATCH($A200,Data[Dist],0),MATCH(E$4,Data[#Headers],0)))</f>
        <v>0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1331735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1204326</v>
      </c>
      <c r="D201" s="22">
        <f>INDEX(Data[],MATCH($A201,Data[Dist],0),MATCH(D$4,Data[#Headers],0))</f>
        <v>100</v>
      </c>
      <c r="E201" s="22">
        <f>IF(Notes!$B$3="Pay 1 Regular State Payment Budget",0,INDEX(Data[],MATCH($A201,Data[Dist],0),MATCH(E$4,Data[#Headers],0)))</f>
        <v>0</v>
      </c>
      <c r="F201" s="22">
        <f>IF(OR(Notes!$B$3="Pay 1 Regular State Payment Budget",Notes!$B$3="Pay 2 Regular State Payment Budget"),0,INDEX(Data[],MATCH($A201,Data[Dist],0),MATCH(F$4,Data[#Headers],0)))</f>
        <v>0</v>
      </c>
      <c r="G201" s="22">
        <f>INDEX(Data[],MATCH($A201,Data[Dist],0),MATCH(G$4,Data[#Headers],0))</f>
        <v>1204226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3594939</v>
      </c>
      <c r="D202" s="22">
        <f>INDEX(Data[],MATCH($A202,Data[Dist],0),MATCH(D$4,Data[#Headers],0))</f>
        <v>531</v>
      </c>
      <c r="E202" s="22">
        <f>IF(Notes!$B$3="Pay 1 Regular State Payment Budget",0,INDEX(Data[],MATCH($A202,Data[Dist],0),MATCH(E$4,Data[#Headers],0)))</f>
        <v>0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3594408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12855712</v>
      </c>
      <c r="D203" s="22">
        <f>INDEX(Data[],MATCH($A203,Data[Dist],0),MATCH(D$4,Data[#Headers],0))</f>
        <v>1161</v>
      </c>
      <c r="E203" s="22">
        <f>IF(Notes!$B$3="Pay 1 Regular State Payment Budget",0,INDEX(Data[],MATCH($A203,Data[Dist],0),MATCH(E$4,Data[#Headers],0)))</f>
        <v>0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12854551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7721992</v>
      </c>
      <c r="D204" s="22">
        <f>INDEX(Data[],MATCH($A204,Data[Dist],0),MATCH(D$4,Data[#Headers],0))</f>
        <v>945</v>
      </c>
      <c r="E204" s="22">
        <f>IF(Notes!$B$3="Pay 1 Regular State Payment Budget",0,INDEX(Data[],MATCH($A204,Data[Dist],0),MATCH(E$4,Data[#Headers],0)))</f>
        <v>0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7721047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1701397</v>
      </c>
      <c r="D205" s="22">
        <f>INDEX(Data[],MATCH($A205,Data[Dist],0),MATCH(D$4,Data[#Headers],0))</f>
        <v>365</v>
      </c>
      <c r="E205" s="22">
        <f>IF(Notes!$B$3="Pay 1 Regular State Payment Budget",0,INDEX(Data[],MATCH($A205,Data[Dist],0),MATCH(E$4,Data[#Headers],0)))</f>
        <v>0</v>
      </c>
      <c r="F205" s="22">
        <f>IF(OR(Notes!$B$3="Pay 1 Regular State Payment Budget",Notes!$B$3="Pay 2 Regular State Payment Budget"),0,INDEX(Data[],MATCH($A205,Data[Dist],0),MATCH(F$4,Data[#Headers],0)))</f>
        <v>0</v>
      </c>
      <c r="G205" s="22">
        <f>INDEX(Data[],MATCH($A205,Data[Dist],0),MATCH(G$4,Data[#Headers],0))</f>
        <v>1701032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34431874</v>
      </c>
      <c r="D206" s="22">
        <f>INDEX(Data[],MATCH($A206,Data[Dist],0),MATCH(D$4,Data[#Headers],0))</f>
        <v>4096</v>
      </c>
      <c r="E206" s="22">
        <f>IF(Notes!$B$3="Pay 1 Regular State Payment Budget",0,INDEX(Data[],MATCH($A206,Data[Dist],0),MATCH(E$4,Data[#Headers],0)))</f>
        <v>0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34427778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3875616</v>
      </c>
      <c r="D207" s="22">
        <f>INDEX(Data[],MATCH($A207,Data[Dist],0),MATCH(D$4,Data[#Headers],0))</f>
        <v>614</v>
      </c>
      <c r="E207" s="22">
        <f>IF(Notes!$B$3="Pay 1 Regular State Payment Budget",0,INDEX(Data[],MATCH($A207,Data[Dist],0),MATCH(E$4,Data[#Headers],0)))</f>
        <v>0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3875002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9672455</v>
      </c>
      <c r="D208" s="22">
        <f>INDEX(Data[],MATCH($A208,Data[Dist],0),MATCH(D$4,Data[#Headers],0))</f>
        <v>1393</v>
      </c>
      <c r="E208" s="22">
        <f>IF(Notes!$B$3="Pay 1 Regular State Payment Budget",0,INDEX(Data[],MATCH($A208,Data[Dist],0),MATCH(E$4,Data[#Headers],0)))</f>
        <v>0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9671062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2572492</v>
      </c>
      <c r="D209" s="22">
        <f>INDEX(Data[],MATCH($A209,Data[Dist],0),MATCH(D$4,Data[#Headers],0))</f>
        <v>464</v>
      </c>
      <c r="E209" s="22">
        <f>IF(Notes!$B$3="Pay 1 Regular State Payment Budget",0,INDEX(Data[],MATCH($A209,Data[Dist],0),MATCH(E$4,Data[#Headers],0)))</f>
        <v>0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2572028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5261705</v>
      </c>
      <c r="D210" s="22">
        <f>INDEX(Data[],MATCH($A210,Data[Dist],0),MATCH(D$4,Data[#Headers],0))</f>
        <v>1061</v>
      </c>
      <c r="E210" s="22">
        <f>IF(Notes!$B$3="Pay 1 Regular State Payment Budget",0,INDEX(Data[],MATCH($A210,Data[Dist],0),MATCH(E$4,Data[#Headers],0)))</f>
        <v>0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5260644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4075818</v>
      </c>
      <c r="D211" s="22">
        <f>INDEX(Data[],MATCH($A211,Data[Dist],0),MATCH(D$4,Data[#Headers],0))</f>
        <v>348</v>
      </c>
      <c r="E211" s="22">
        <f>IF(Notes!$B$3="Pay 1 Regular State Payment Budget",0,INDEX(Data[],MATCH($A211,Data[Dist],0),MATCH(E$4,Data[#Headers],0)))</f>
        <v>0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4075470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22281571</v>
      </c>
      <c r="D212" s="22">
        <f>INDEX(Data[],MATCH($A212,Data[Dist],0),MATCH(D$4,Data[#Headers],0))</f>
        <v>1343</v>
      </c>
      <c r="E212" s="22">
        <f>IF(Notes!$B$3="Pay 1 Regular State Payment Budget",0,INDEX(Data[],MATCH($A212,Data[Dist],0),MATCH(E$4,Data[#Headers],0)))</f>
        <v>0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22280228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5001632</v>
      </c>
      <c r="D213" s="22">
        <f>INDEX(Data[],MATCH($A213,Data[Dist],0),MATCH(D$4,Data[#Headers],0))</f>
        <v>663</v>
      </c>
      <c r="E213" s="22">
        <f>IF(Notes!$B$3="Pay 1 Regular State Payment Budget",0,INDEX(Data[],MATCH($A213,Data[Dist],0),MATCH(E$4,Data[#Headers],0)))</f>
        <v>0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5000969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3453829</v>
      </c>
      <c r="D214" s="22">
        <f>INDEX(Data[],MATCH($A214,Data[Dist],0),MATCH(D$4,Data[#Headers],0))</f>
        <v>746</v>
      </c>
      <c r="E214" s="22">
        <f>IF(Notes!$B$3="Pay 1 Regular State Payment Budget",0,INDEX(Data[],MATCH($A214,Data[Dist],0),MATCH(E$4,Data[#Headers],0)))</f>
        <v>0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3453083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7501669</v>
      </c>
      <c r="D215" s="22">
        <f>INDEX(Data[],MATCH($A215,Data[Dist],0),MATCH(D$4,Data[#Headers],0))</f>
        <v>879</v>
      </c>
      <c r="E215" s="22">
        <f>IF(Notes!$B$3="Pay 1 Regular State Payment Budget",0,INDEX(Data[],MATCH($A215,Data[Dist],0),MATCH(E$4,Data[#Headers],0)))</f>
        <v>0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7500790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3072956</v>
      </c>
      <c r="D216" s="22">
        <f>INDEX(Data[],MATCH($A216,Data[Dist],0),MATCH(D$4,Data[#Headers],0))</f>
        <v>448</v>
      </c>
      <c r="E216" s="22">
        <f>IF(Notes!$B$3="Pay 1 Regular State Payment Budget",0,INDEX(Data[],MATCH($A216,Data[Dist],0),MATCH(E$4,Data[#Headers],0)))</f>
        <v>0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3072508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3360093</v>
      </c>
      <c r="D217" s="22">
        <f>INDEX(Data[],MATCH($A217,Data[Dist],0),MATCH(D$4,Data[#Headers],0))</f>
        <v>564</v>
      </c>
      <c r="E217" s="22">
        <f>IF(Notes!$B$3="Pay 1 Regular State Payment Budget",0,INDEX(Data[],MATCH($A217,Data[Dist],0),MATCH(E$4,Data[#Headers],0)))</f>
        <v>0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3359529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994395</v>
      </c>
      <c r="D218" s="22">
        <f>INDEX(Data[],MATCH($A218,Data[Dist],0),MATCH(D$4,Data[#Headers],0))</f>
        <v>332</v>
      </c>
      <c r="E218" s="22">
        <f>IF(Notes!$B$3="Pay 1 Regular State Payment Budget",0,INDEX(Data[],MATCH($A218,Data[Dist],0),MATCH(E$4,Data[#Headers],0)))</f>
        <v>0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994063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13510517</v>
      </c>
      <c r="D219" s="22">
        <f>INDEX(Data[],MATCH($A219,Data[Dist],0),MATCH(D$4,Data[#Headers],0))</f>
        <v>1974</v>
      </c>
      <c r="E219" s="22">
        <f>IF(Notes!$B$3="Pay 1 Regular State Payment Budget",0,INDEX(Data[],MATCH($A219,Data[Dist],0),MATCH(E$4,Data[#Headers],0)))</f>
        <v>0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13508543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19985101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0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19982597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2743970</v>
      </c>
      <c r="D221" s="22">
        <f>INDEX(Data[],MATCH($A221,Data[Dist],0),MATCH(D$4,Data[#Headers],0))</f>
        <v>498</v>
      </c>
      <c r="E221" s="22">
        <f>IF(Notes!$B$3="Pay 1 Regular State Payment Budget",0,INDEX(Data[],MATCH($A221,Data[Dist],0),MATCH(E$4,Data[#Headers],0)))</f>
        <v>0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2743472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3068579</v>
      </c>
      <c r="D222" s="22">
        <f>INDEX(Data[],MATCH($A222,Data[Dist],0),MATCH(D$4,Data[#Headers],0))</f>
        <v>597</v>
      </c>
      <c r="E222" s="22">
        <f>IF(Notes!$B$3="Pay 1 Regular State Payment Budget",0,INDEX(Data[],MATCH($A222,Data[Dist],0),MATCH(E$4,Data[#Headers],0)))</f>
        <v>0</v>
      </c>
      <c r="F222" s="22">
        <f>IF(OR(Notes!$B$3="Pay 1 Regular State Payment Budget",Notes!$B$3="Pay 2 Regular State Payment Budget"),0,INDEX(Data[],MATCH($A222,Data[Dist],0),MATCH(F$4,Data[#Headers],0)))</f>
        <v>0</v>
      </c>
      <c r="G222" s="22">
        <f>INDEX(Data[],MATCH($A222,Data[Dist],0),MATCH(G$4,Data[#Headers],0))</f>
        <v>3067982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26593034</v>
      </c>
      <c r="D223" s="22">
        <f>INDEX(Data[],MATCH($A223,Data[Dist],0),MATCH(D$4,Data[#Headers],0))</f>
        <v>2703</v>
      </c>
      <c r="E223" s="22">
        <f>IF(Notes!$B$3="Pay 1 Regular State Payment Budget",0,INDEX(Data[],MATCH($A223,Data[Dist],0),MATCH(E$4,Data[#Headers],0)))</f>
        <v>0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26590331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4166782</v>
      </c>
      <c r="D224" s="22">
        <f>INDEX(Data[],MATCH($A224,Data[Dist],0),MATCH(D$4,Data[#Headers],0))</f>
        <v>713</v>
      </c>
      <c r="E224" s="22">
        <f>IF(Notes!$B$3="Pay 1 Regular State Payment Budget",0,INDEX(Data[],MATCH($A224,Data[Dist],0),MATCH(E$4,Data[#Headers],0)))</f>
        <v>0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4166069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5409014</v>
      </c>
      <c r="D225" s="22">
        <f>INDEX(Data[],MATCH($A225,Data[Dist],0),MATCH(D$4,Data[#Headers],0))</f>
        <v>1012</v>
      </c>
      <c r="E225" s="22">
        <f>IF(Notes!$B$3="Pay 1 Regular State Payment Budget",0,INDEX(Data[],MATCH($A225,Data[Dist],0),MATCH(E$4,Data[#Headers],0)))</f>
        <v>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5408002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10806834</v>
      </c>
      <c r="D226" s="22">
        <f>INDEX(Data[],MATCH($A226,Data[Dist],0),MATCH(D$4,Data[#Headers],0))</f>
        <v>580</v>
      </c>
      <c r="E226" s="22">
        <f>IF(Notes!$B$3="Pay 1 Regular State Payment Budget",0,INDEX(Data[],MATCH($A226,Data[Dist],0),MATCH(E$4,Data[#Headers],0)))</f>
        <v>0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10806254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3359195</v>
      </c>
      <c r="D227" s="22">
        <f>INDEX(Data[],MATCH($A227,Data[Dist],0),MATCH(D$4,Data[#Headers],0))</f>
        <v>580</v>
      </c>
      <c r="E227" s="22">
        <f>IF(Notes!$B$3="Pay 1 Regular State Payment Budget",0,INDEX(Data[],MATCH($A227,Data[Dist],0),MATCH(E$4,Data[#Headers],0)))</f>
        <v>0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3358615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585457</v>
      </c>
      <c r="D228" s="22">
        <f>INDEX(Data[],MATCH($A228,Data[Dist],0),MATCH(D$4,Data[#Headers],0))</f>
        <v>1111</v>
      </c>
      <c r="E228" s="22">
        <f>IF(Notes!$B$3="Pay 1 Regular State Payment Budget",0,INDEX(Data[],MATCH($A228,Data[Dist],0),MATCH(E$4,Data[#Headers],0)))</f>
        <v>0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584346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1414319</v>
      </c>
      <c r="D229" s="22">
        <f>INDEX(Data[],MATCH($A229,Data[Dist],0),MATCH(D$4,Data[#Headers],0))</f>
        <v>149</v>
      </c>
      <c r="E229" s="22">
        <f>IF(Notes!$B$3="Pay 1 Regular State Payment Budget",0,INDEX(Data[],MATCH($A229,Data[Dist],0),MATCH(E$4,Data[#Headers],0)))</f>
        <v>0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1414170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847263</v>
      </c>
      <c r="D230" s="22">
        <f>INDEX(Data[],MATCH($A230,Data[Dist],0),MATCH(D$4,Data[#Headers],0))</f>
        <v>182</v>
      </c>
      <c r="E230" s="22">
        <f>IF(Notes!$B$3="Pay 1 Regular State Payment Budget",0,INDEX(Data[],MATCH($A230,Data[Dist],0),MATCH(E$4,Data[#Headers],0)))</f>
        <v>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847081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5774887</v>
      </c>
      <c r="D231" s="22">
        <f>INDEX(Data[],MATCH($A231,Data[Dist],0),MATCH(D$4,Data[#Headers],0))</f>
        <v>862</v>
      </c>
      <c r="E231" s="22">
        <f>IF(Notes!$B$3="Pay 1 Regular State Payment Budget",0,INDEX(Data[],MATCH($A231,Data[Dist],0),MATCH(E$4,Data[#Headers],0)))</f>
        <v>0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5774025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16012266</v>
      </c>
      <c r="D232" s="22">
        <f>INDEX(Data[],MATCH($A232,Data[Dist],0),MATCH(D$4,Data[#Headers],0))</f>
        <v>2620</v>
      </c>
      <c r="E232" s="22">
        <f>IF(Notes!$B$3="Pay 1 Regular State Payment Budget",0,INDEX(Data[],MATCH($A232,Data[Dist],0),MATCH(E$4,Data[#Headers],0)))</f>
        <v>0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16009646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41306100</v>
      </c>
      <c r="D233" s="22">
        <f>INDEX(Data[],MATCH($A233,Data[Dist],0),MATCH(D$4,Data[#Headers],0))</f>
        <v>4594</v>
      </c>
      <c r="E233" s="22">
        <f>IF(Notes!$B$3="Pay 1 Regular State Payment Budget",0,INDEX(Data[],MATCH($A233,Data[Dist],0),MATCH(E$4,Data[#Headers],0)))</f>
        <v>0</v>
      </c>
      <c r="F233" s="22">
        <f>IF(OR(Notes!$B$3="Pay 1 Regular State Payment Budget",Notes!$B$3="Pay 2 Regular State Payment Budget"),0,INDEX(Data[],MATCH($A233,Data[Dist],0),MATCH(F$4,Data[#Headers],0)))</f>
        <v>0</v>
      </c>
      <c r="G233" s="22">
        <f>INDEX(Data[],MATCH($A233,Data[Dist],0),MATCH(G$4,Data[#Headers],0))</f>
        <v>41301506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3668348</v>
      </c>
      <c r="D234" s="22">
        <f>INDEX(Data[],MATCH($A234,Data[Dist],0),MATCH(D$4,Data[#Headers],0))</f>
        <v>580</v>
      </c>
      <c r="E234" s="22">
        <f>IF(Notes!$B$3="Pay 1 Regular State Payment Budget",0,INDEX(Data[],MATCH($A234,Data[Dist],0),MATCH(E$4,Data[#Headers],0)))</f>
        <v>0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3667768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941154</v>
      </c>
      <c r="D235" s="22">
        <f>INDEX(Data[],MATCH($A235,Data[Dist],0),MATCH(D$4,Data[#Headers],0))</f>
        <v>149</v>
      </c>
      <c r="E235" s="22">
        <f>IF(Notes!$B$3="Pay 1 Regular State Payment Budget",0,INDEX(Data[],MATCH($A235,Data[Dist],0),MATCH(E$4,Data[#Headers],0)))</f>
        <v>0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941005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1768926</v>
      </c>
      <c r="D236" s="22">
        <f>INDEX(Data[],MATCH($A236,Data[Dist],0),MATCH(D$4,Data[#Headers],0))</f>
        <v>448</v>
      </c>
      <c r="E236" s="22">
        <f>IF(Notes!$B$3="Pay 1 Regular State Payment Budget",0,INDEX(Data[],MATCH($A236,Data[Dist],0),MATCH(E$4,Data[#Headers],0)))</f>
        <v>0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1768478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3396872</v>
      </c>
      <c r="D237" s="22">
        <f>INDEX(Data[],MATCH($A237,Data[Dist],0),MATCH(D$4,Data[#Headers],0))</f>
        <v>580</v>
      </c>
      <c r="E237" s="22">
        <f>IF(Notes!$B$3="Pay 1 Regular State Payment Budget",0,INDEX(Data[],MATCH($A237,Data[Dist],0),MATCH(E$4,Data[#Headers],0)))</f>
        <v>0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3396292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13291403</v>
      </c>
      <c r="D238" s="22">
        <f>INDEX(Data[],MATCH($A238,Data[Dist],0),MATCH(D$4,Data[#Headers],0))</f>
        <v>2057</v>
      </c>
      <c r="E238" s="22">
        <f>IF(Notes!$B$3="Pay 1 Regular State Payment Budget",0,INDEX(Data[],MATCH($A238,Data[Dist],0),MATCH(E$4,Data[#Headers],0)))</f>
        <v>0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13289346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15184994</v>
      </c>
      <c r="D239" s="22">
        <f>INDEX(Data[],MATCH($A239,Data[Dist],0),MATCH(D$4,Data[#Headers],0))</f>
        <v>1609</v>
      </c>
      <c r="E239" s="22">
        <f>IF(Notes!$B$3="Pay 1 Regular State Payment Budget",0,INDEX(Data[],MATCH($A239,Data[Dist],0),MATCH(E$4,Data[#Headers],0)))</f>
        <v>0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15183385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34631794</v>
      </c>
      <c r="D240" s="22">
        <f>INDEX(Data[],MATCH($A240,Data[Dist],0),MATCH(D$4,Data[#Headers],0))</f>
        <v>3068</v>
      </c>
      <c r="E240" s="22">
        <f>IF(Notes!$B$3="Pay 1 Regular State Payment Budget",0,INDEX(Data[],MATCH($A240,Data[Dist],0),MATCH(E$4,Data[#Headers],0)))</f>
        <v>0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34628726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5101691</v>
      </c>
      <c r="D241" s="22">
        <f>INDEX(Data[],MATCH($A241,Data[Dist],0),MATCH(D$4,Data[#Headers],0))</f>
        <v>813</v>
      </c>
      <c r="E241" s="22">
        <f>IF(Notes!$B$3="Pay 1 Regular State Payment Budget",0,INDEX(Data[],MATCH($A241,Data[Dist],0),MATCH(E$4,Data[#Headers],0)))</f>
        <v>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5100878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2606901</v>
      </c>
      <c r="D242" s="22">
        <f>INDEX(Data[],MATCH($A242,Data[Dist],0),MATCH(D$4,Data[#Headers],0))</f>
        <v>647</v>
      </c>
      <c r="E242" s="22">
        <f>IF(Notes!$B$3="Pay 1 Regular State Payment Budget",0,INDEX(Data[],MATCH($A242,Data[Dist],0),MATCH(E$4,Data[#Headers],0)))</f>
        <v>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2606254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5390228</v>
      </c>
      <c r="D243" s="22">
        <f>INDEX(Data[],MATCH($A243,Data[Dist],0),MATCH(D$4,Data[#Headers],0))</f>
        <v>398</v>
      </c>
      <c r="E243" s="22">
        <f>IF(Notes!$B$3="Pay 1 Regular State Payment Budget",0,INDEX(Data[],MATCH($A243,Data[Dist],0),MATCH(E$4,Data[#Headers],0)))</f>
        <v>0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5389830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7018140</v>
      </c>
      <c r="D244" s="22">
        <f>INDEX(Data[],MATCH($A244,Data[Dist],0),MATCH(D$4,Data[#Headers],0))</f>
        <v>945</v>
      </c>
      <c r="E244" s="22">
        <f>IF(Notes!$B$3="Pay 1 Regular State Payment Budget",0,INDEX(Data[],MATCH($A244,Data[Dist],0),MATCH(E$4,Data[#Headers],0)))</f>
        <v>0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7017195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2623299</v>
      </c>
      <c r="D245" s="22">
        <f>INDEX(Data[],MATCH($A245,Data[Dist],0),MATCH(D$4,Data[#Headers],0))</f>
        <v>431</v>
      </c>
      <c r="E245" s="22">
        <f>IF(Notes!$B$3="Pay 1 Regular State Payment Budget",0,INDEX(Data[],MATCH($A245,Data[Dist],0),MATCH(E$4,Data[#Headers],0)))</f>
        <v>0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2622868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7604443</v>
      </c>
      <c r="D246" s="22">
        <f>INDEX(Data[],MATCH($A246,Data[Dist],0),MATCH(D$4,Data[#Headers],0))</f>
        <v>1111</v>
      </c>
      <c r="E246" s="22">
        <f>IF(Notes!$B$3="Pay 1 Regular State Payment Budget",0,INDEX(Data[],MATCH($A246,Data[Dist],0),MATCH(E$4,Data[#Headers],0)))</f>
        <v>0</v>
      </c>
      <c r="F246" s="22">
        <f>IF(OR(Notes!$B$3="Pay 1 Regular State Payment Budget",Notes!$B$3="Pay 2 Regular State Payment Budget"),0,INDEX(Data[],MATCH($A246,Data[Dist],0),MATCH(F$4,Data[#Headers],0)))</f>
        <v>0</v>
      </c>
      <c r="G246" s="22">
        <f>INDEX(Data[],MATCH($A246,Data[Dist],0),MATCH(G$4,Data[#Headers],0))</f>
        <v>7603332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1406842</v>
      </c>
      <c r="D247" s="22">
        <f>INDEX(Data[],MATCH($A247,Data[Dist],0),MATCH(D$4,Data[#Headers],0))</f>
        <v>216</v>
      </c>
      <c r="E247" s="22">
        <f>IF(Notes!$B$3="Pay 1 Regular State Payment Budget",0,INDEX(Data[],MATCH($A247,Data[Dist],0),MATCH(E$4,Data[#Headers],0)))</f>
        <v>0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1406626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1483861</v>
      </c>
      <c r="D248" s="22">
        <f>INDEX(Data[],MATCH($A248,Data[Dist],0),MATCH(D$4,Data[#Headers],0))</f>
        <v>547</v>
      </c>
      <c r="E248" s="22">
        <f>IF(Notes!$B$3="Pay 1 Regular State Payment Budget",0,INDEX(Data[],MATCH($A248,Data[Dist],0),MATCH(E$4,Data[#Headers],0)))</f>
        <v>0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1483314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5959936</v>
      </c>
      <c r="D249" s="22">
        <f>INDEX(Data[],MATCH($A249,Data[Dist],0),MATCH(D$4,Data[#Headers],0))</f>
        <v>1178</v>
      </c>
      <c r="E249" s="22">
        <f>IF(Notes!$B$3="Pay 1 Regular State Payment Budget",0,INDEX(Data[],MATCH($A249,Data[Dist],0),MATCH(E$4,Data[#Headers],0)))</f>
        <v>0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5958758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6479787</v>
      </c>
      <c r="D250" s="22">
        <f>INDEX(Data[],MATCH($A250,Data[Dist],0),MATCH(D$4,Data[#Headers],0))</f>
        <v>1045</v>
      </c>
      <c r="E250" s="22">
        <f>IF(Notes!$B$3="Pay 1 Regular State Payment Budget",0,INDEX(Data[],MATCH($A250,Data[Dist],0),MATCH(E$4,Data[#Headers],0)))</f>
        <v>0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6478742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2419728</v>
      </c>
      <c r="D251" s="22">
        <f>INDEX(Data[],MATCH($A251,Data[Dist],0),MATCH(D$4,Data[#Headers],0))</f>
        <v>514</v>
      </c>
      <c r="E251" s="22">
        <f>IF(Notes!$B$3="Pay 1 Regular State Payment Budget",0,INDEX(Data[],MATCH($A251,Data[Dist],0),MATCH(E$4,Data[#Headers],0)))</f>
        <v>0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2419214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1255726</v>
      </c>
      <c r="D252" s="22">
        <f>INDEX(Data[],MATCH($A252,Data[Dist],0),MATCH(D$4,Data[#Headers],0))</f>
        <v>83</v>
      </c>
      <c r="E252" s="22">
        <f>IF(Notes!$B$3="Pay 1 Regular State Payment Budget",0,INDEX(Data[],MATCH($A252,Data[Dist],0),MATCH(E$4,Data[#Headers],0)))</f>
        <v>0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1255643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3007820</v>
      </c>
      <c r="D253" s="22">
        <f>INDEX(Data[],MATCH($A253,Data[Dist],0),MATCH(D$4,Data[#Headers],0))</f>
        <v>564</v>
      </c>
      <c r="E253" s="22">
        <f>IF(Notes!$B$3="Pay 1 Regular State Payment Budget",0,INDEX(Data[],MATCH($A253,Data[Dist],0),MATCH(E$4,Data[#Headers],0)))</f>
        <v>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3007256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3343556</v>
      </c>
      <c r="D254" s="22">
        <f>INDEX(Data[],MATCH($A254,Data[Dist],0),MATCH(D$4,Data[#Headers],0))</f>
        <v>995</v>
      </c>
      <c r="E254" s="22">
        <f>IF(Notes!$B$3="Pay 1 Regular State Payment Budget",0,INDEX(Data[],MATCH($A254,Data[Dist],0),MATCH(E$4,Data[#Headers],0)))</f>
        <v>0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3342561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2042288</v>
      </c>
      <c r="D255" s="22">
        <f>INDEX(Data[],MATCH($A255,Data[Dist],0),MATCH(D$4,Data[#Headers],0))</f>
        <v>398</v>
      </c>
      <c r="E255" s="22">
        <f>IF(Notes!$B$3="Pay 1 Regular State Payment Budget",0,INDEX(Data[],MATCH($A255,Data[Dist],0),MATCH(E$4,Data[#Headers],0)))</f>
        <v>0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2041890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1028566</v>
      </c>
      <c r="D256" s="22">
        <f>INDEX(Data[],MATCH($A256,Data[Dist],0),MATCH(D$4,Data[#Headers],0))</f>
        <v>149</v>
      </c>
      <c r="E256" s="22">
        <f>IF(Notes!$B$3="Pay 1 Regular State Payment Budget",0,INDEX(Data[],MATCH($A256,Data[Dist],0),MATCH(E$4,Data[#Headers],0)))</f>
        <v>0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1028417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8393341</v>
      </c>
      <c r="D257" s="22">
        <f>INDEX(Data[],MATCH($A257,Data[Dist],0),MATCH(D$4,Data[#Headers],0))</f>
        <v>1161</v>
      </c>
      <c r="E257" s="22">
        <f>IF(Notes!$B$3="Pay 1 Regular State Payment Budget",0,INDEX(Data[],MATCH($A257,Data[Dist],0),MATCH(E$4,Data[#Headers],0)))</f>
        <v>0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8392180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1606061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0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1605862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4489047</v>
      </c>
      <c r="D259" s="22">
        <f>INDEX(Data[],MATCH($A259,Data[Dist],0),MATCH(D$4,Data[#Headers],0))</f>
        <v>779</v>
      </c>
      <c r="E259" s="22">
        <f>IF(Notes!$B$3="Pay 1 Regular State Payment Budget",0,INDEX(Data[],MATCH($A259,Data[Dist],0),MATCH(E$4,Data[#Headers],0)))</f>
        <v>0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4488268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7749633</v>
      </c>
      <c r="D260" s="22">
        <f>INDEX(Data[],MATCH($A260,Data[Dist],0),MATCH(D$4,Data[#Headers],0))</f>
        <v>1194</v>
      </c>
      <c r="E260" s="22">
        <f>IF(Notes!$B$3="Pay 1 Regular State Payment Budget",0,INDEX(Data[],MATCH($A260,Data[Dist],0),MATCH(E$4,Data[#Headers],0)))</f>
        <v>0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7748439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7055549</v>
      </c>
      <c r="D261" s="22">
        <f>INDEX(Data[],MATCH($A261,Data[Dist],0),MATCH(D$4,Data[#Headers],0))</f>
        <v>896</v>
      </c>
      <c r="E261" s="22">
        <f>IF(Notes!$B$3="Pay 1 Regular State Payment Budget",0,INDEX(Data[],MATCH($A261,Data[Dist],0),MATCH(E$4,Data[#Headers],0)))</f>
        <v>0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7054653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4458138</v>
      </c>
      <c r="D262" s="22">
        <f>INDEX(Data[],MATCH($A262,Data[Dist],0),MATCH(D$4,Data[#Headers],0))</f>
        <v>531</v>
      </c>
      <c r="E262" s="22">
        <f>IF(Notes!$B$3="Pay 1 Regular State Payment Budget",0,INDEX(Data[],MATCH($A262,Data[Dist],0),MATCH(E$4,Data[#Headers],0)))</f>
        <v>0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4457607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2474827</v>
      </c>
      <c r="D263" s="22">
        <f>INDEX(Data[],MATCH($A263,Data[Dist],0),MATCH(D$4,Data[#Headers],0))</f>
        <v>448</v>
      </c>
      <c r="E263" s="22">
        <f>IF(Notes!$B$3="Pay 1 Regular State Payment Budget",0,INDEX(Data[],MATCH($A263,Data[Dist],0),MATCH(E$4,Data[#Headers],0)))</f>
        <v>0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2474379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3734192</v>
      </c>
      <c r="D264" s="22">
        <f>INDEX(Data[],MATCH($A264,Data[Dist],0),MATCH(D$4,Data[#Headers],0))</f>
        <v>464</v>
      </c>
      <c r="E264" s="22">
        <f>IF(Notes!$B$3="Pay 1 Regular State Payment Budget",0,INDEX(Data[],MATCH($A264,Data[Dist],0),MATCH(E$4,Data[#Headers],0)))</f>
        <v>0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3733728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10436529</v>
      </c>
      <c r="D265" s="22">
        <f>INDEX(Data[],MATCH($A265,Data[Dist],0),MATCH(D$4,Data[#Headers],0))</f>
        <v>2338</v>
      </c>
      <c r="E265" s="22">
        <f>IF(Notes!$B$3="Pay 1 Regular State Payment Budget",0,INDEX(Data[],MATCH($A265,Data[Dist],0),MATCH(E$4,Data[#Headers],0)))</f>
        <v>0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10434191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126168050</v>
      </c>
      <c r="D266" s="22">
        <f>INDEX(Data[],MATCH($A266,Data[Dist],0),MATCH(D$4,Data[#Headers],0))</f>
        <v>10963</v>
      </c>
      <c r="E266" s="22">
        <f>IF(Notes!$B$3="Pay 1 Regular State Payment Budget",0,INDEX(Data[],MATCH($A266,Data[Dist],0),MATCH(E$4,Data[#Headers],0)))</f>
        <v>0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126157087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2487461</v>
      </c>
      <c r="D267" s="22">
        <f>INDEX(Data[],MATCH($A267,Data[Dist],0),MATCH(D$4,Data[#Headers],0))</f>
        <v>398</v>
      </c>
      <c r="E267" s="22">
        <f>IF(Notes!$B$3="Pay 1 Regular State Payment Budget",0,INDEX(Data[],MATCH($A267,Data[Dist],0),MATCH(E$4,Data[#Headers],0)))</f>
        <v>0</v>
      </c>
      <c r="F267" s="22">
        <f>IF(OR(Notes!$B$3="Pay 1 Regular State Payment Budget",Notes!$B$3="Pay 2 Regular State Payment Budget"),0,INDEX(Data[],MATCH($A267,Data[Dist],0),MATCH(F$4,Data[#Headers],0)))</f>
        <v>0</v>
      </c>
      <c r="G267" s="22">
        <f>INDEX(Data[],MATCH($A267,Data[Dist],0),MATCH(G$4,Data[#Headers],0))</f>
        <v>2487063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4760162</v>
      </c>
      <c r="D268" s="22">
        <f>INDEX(Data[],MATCH($A268,Data[Dist],0),MATCH(D$4,Data[#Headers],0))</f>
        <v>779</v>
      </c>
      <c r="E268" s="22">
        <f>IF(Notes!$B$3="Pay 1 Regular State Payment Budget",0,INDEX(Data[],MATCH($A268,Data[Dist],0),MATCH(E$4,Data[#Headers],0)))</f>
        <v>0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4759383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8896843</v>
      </c>
      <c r="D269" s="22">
        <f>INDEX(Data[],MATCH($A269,Data[Dist],0),MATCH(D$4,Data[#Headers],0))</f>
        <v>846</v>
      </c>
      <c r="E269" s="22">
        <f>IF(Notes!$B$3="Pay 1 Regular State Payment Budget",0,INDEX(Data[],MATCH($A269,Data[Dist],0),MATCH(E$4,Data[#Headers],0)))</f>
        <v>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8895997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3918145</v>
      </c>
      <c r="D270" s="22">
        <f>INDEX(Data[],MATCH($A270,Data[Dist],0),MATCH(D$4,Data[#Headers],0))</f>
        <v>299</v>
      </c>
      <c r="E270" s="22">
        <f>IF(Notes!$B$3="Pay 1 Regular State Payment Budget",0,INDEX(Data[],MATCH($A270,Data[Dist],0),MATCH(E$4,Data[#Headers],0)))</f>
        <v>0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3917846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3553825</v>
      </c>
      <c r="D271" s="22">
        <f>INDEX(Data[],MATCH($A271,Data[Dist],0),MATCH(D$4,Data[#Headers],0))</f>
        <v>580</v>
      </c>
      <c r="E271" s="22">
        <f>IF(Notes!$B$3="Pay 1 Regular State Payment Budget",0,INDEX(Data[],MATCH($A271,Data[Dist],0),MATCH(E$4,Data[#Headers],0)))</f>
        <v>0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3553245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2873454</v>
      </c>
      <c r="D272" s="22">
        <f>INDEX(Data[],MATCH($A272,Data[Dist],0),MATCH(D$4,Data[#Headers],0))</f>
        <v>365</v>
      </c>
      <c r="E272" s="22">
        <f>IF(Notes!$B$3="Pay 1 Regular State Payment Budget",0,INDEX(Data[],MATCH($A272,Data[Dist],0),MATCH(E$4,Data[#Headers],0)))</f>
        <v>0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2873089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1310492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0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1310409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11661415</v>
      </c>
      <c r="D274" s="22">
        <f>INDEX(Data[],MATCH($A274,Data[Dist],0),MATCH(D$4,Data[#Headers],0))</f>
        <v>1310</v>
      </c>
      <c r="E274" s="22">
        <f>IF(Notes!$B$3="Pay 1 Regular State Payment Budget",0,INDEX(Data[],MATCH($A274,Data[Dist],0),MATCH(E$4,Data[#Headers],0)))</f>
        <v>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11660105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3449567</v>
      </c>
      <c r="D275" s="22">
        <f>INDEX(Data[],MATCH($A275,Data[Dist],0),MATCH(D$4,Data[#Headers],0))</f>
        <v>979</v>
      </c>
      <c r="E275" s="22">
        <f>IF(Notes!$B$3="Pay 1 Regular State Payment Budget",0,INDEX(Data[],MATCH($A275,Data[Dist],0),MATCH(E$4,Data[#Headers],0)))</f>
        <v>0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3448588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50995273</v>
      </c>
      <c r="D276" s="22">
        <f>INDEX(Data[],MATCH($A276,Data[Dist],0),MATCH(D$4,Data[#Headers],0))</f>
        <v>4776</v>
      </c>
      <c r="E276" s="22">
        <f>IF(Notes!$B$3="Pay 1 Regular State Payment Budget",0,INDEX(Data[],MATCH($A276,Data[Dist],0),MATCH(E$4,Data[#Headers],0)))</f>
        <v>0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50990497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14868180</v>
      </c>
      <c r="D277" s="22">
        <f>INDEX(Data[],MATCH($A277,Data[Dist],0),MATCH(D$4,Data[#Headers],0))</f>
        <v>2554</v>
      </c>
      <c r="E277" s="22">
        <f>IF(Notes!$B$3="Pay 1 Regular State Payment Budget",0,INDEX(Data[],MATCH($A277,Data[Dist],0),MATCH(E$4,Data[#Headers],0)))</f>
        <v>0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14865626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2697049</v>
      </c>
      <c r="D278" s="22">
        <f>INDEX(Data[],MATCH($A278,Data[Dist],0),MATCH(D$4,Data[#Headers],0))</f>
        <v>1128</v>
      </c>
      <c r="E278" s="22">
        <f>IF(Notes!$B$3="Pay 1 Regular State Payment Budget",0,INDEX(Data[],MATCH($A278,Data[Dist],0),MATCH(E$4,Data[#Headers],0)))</f>
        <v>0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2695921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2733941</v>
      </c>
      <c r="D279" s="22">
        <f>INDEX(Data[],MATCH($A279,Data[Dist],0),MATCH(D$4,Data[#Headers],0))</f>
        <v>498</v>
      </c>
      <c r="E279" s="22">
        <f>IF(Notes!$B$3="Pay 1 Regular State Payment Budget",0,INDEX(Data[],MATCH($A279,Data[Dist],0),MATCH(E$4,Data[#Headers],0)))</f>
        <v>0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2733443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1453426</v>
      </c>
      <c r="D280" s="22">
        <f>INDEX(Data[],MATCH($A280,Data[Dist],0),MATCH(D$4,Data[#Headers],0))</f>
        <v>232</v>
      </c>
      <c r="E280" s="22">
        <f>IF(Notes!$B$3="Pay 1 Regular State Payment Budget",0,INDEX(Data[],MATCH($A280,Data[Dist],0),MATCH(E$4,Data[#Headers],0)))</f>
        <v>0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1453194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4109196</v>
      </c>
      <c r="D281" s="22">
        <f>INDEX(Data[],MATCH($A281,Data[Dist],0),MATCH(D$4,Data[#Headers],0))</f>
        <v>531</v>
      </c>
      <c r="E281" s="22">
        <f>IF(Notes!$B$3="Pay 1 Regular State Payment Budget",0,INDEX(Data[],MATCH($A281,Data[Dist],0),MATCH(E$4,Data[#Headers],0)))</f>
        <v>0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4108665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21867497</v>
      </c>
      <c r="D282" s="22">
        <f>INDEX(Data[],MATCH($A282,Data[Dist],0),MATCH(D$4,Data[#Headers],0))</f>
        <v>2637</v>
      </c>
      <c r="E282" s="22">
        <f>IF(Notes!$B$3="Pay 1 Regular State Payment Budget",0,INDEX(Data[],MATCH($A282,Data[Dist],0),MATCH(E$4,Data[#Headers],0)))</f>
        <v>0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21864860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792291</v>
      </c>
      <c r="D283" s="22">
        <f>INDEX(Data[],MATCH($A283,Data[Dist],0),MATCH(D$4,Data[#Headers],0))</f>
        <v>199</v>
      </c>
      <c r="E283" s="22">
        <f>IF(Notes!$B$3="Pay 1 Regular State Payment Budget",0,INDEX(Data[],MATCH($A283,Data[Dist],0),MATCH(E$4,Data[#Headers],0)))</f>
        <v>0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792092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5350279</v>
      </c>
      <c r="D284" s="22">
        <f>INDEX(Data[],MATCH($A284,Data[Dist],0),MATCH(D$4,Data[#Headers],0))</f>
        <v>663</v>
      </c>
      <c r="E284" s="22">
        <f>IF(Notes!$B$3="Pay 1 Regular State Payment Budget",0,INDEX(Data[],MATCH($A284,Data[Dist],0),MATCH(E$4,Data[#Headers],0)))</f>
        <v>0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5349616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5066577</v>
      </c>
      <c r="D285" s="22">
        <f>INDEX(Data[],MATCH($A285,Data[Dist],0),MATCH(D$4,Data[#Headers],0))</f>
        <v>647</v>
      </c>
      <c r="E285" s="22">
        <f>IF(Notes!$B$3="Pay 1 Regular State Payment Budget",0,INDEX(Data[],MATCH($A285,Data[Dist],0),MATCH(E$4,Data[#Headers],0)))</f>
        <v>0</v>
      </c>
      <c r="F285" s="22">
        <f>IF(OR(Notes!$B$3="Pay 1 Regular State Payment Budget",Notes!$B$3="Pay 2 Regular State Payment Budget"),0,INDEX(Data[],MATCH($A285,Data[Dist],0),MATCH(F$4,Data[#Headers],0)))</f>
        <v>0</v>
      </c>
      <c r="G285" s="22">
        <f>INDEX(Data[],MATCH($A285,Data[Dist],0),MATCH(G$4,Data[#Headers],0))</f>
        <v>5065930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5730497</v>
      </c>
      <c r="D286" s="22">
        <f>INDEX(Data[],MATCH($A286,Data[Dist],0),MATCH(D$4,Data[#Headers],0))</f>
        <v>697</v>
      </c>
      <c r="E286" s="22">
        <f>IF(Notes!$B$3="Pay 1 Regular State Payment Budget",0,INDEX(Data[],MATCH($A286,Data[Dist],0),MATCH(E$4,Data[#Headers],0)))</f>
        <v>0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5729800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3449680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0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3449680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4510929</v>
      </c>
      <c r="D288" s="22">
        <f>INDEX(Data[],MATCH($A288,Data[Dist],0),MATCH(D$4,Data[#Headers],0))</f>
        <v>730</v>
      </c>
      <c r="E288" s="22">
        <f>IF(Notes!$B$3="Pay 1 Regular State Payment Budget",0,INDEX(Data[],MATCH($A288,Data[Dist],0),MATCH(E$4,Data[#Headers],0)))</f>
        <v>0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4510199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1805011</v>
      </c>
      <c r="D289" s="22">
        <f>INDEX(Data[],MATCH($A289,Data[Dist],0),MATCH(D$4,Data[#Headers],0))</f>
        <v>166</v>
      </c>
      <c r="E289" s="22">
        <f>IF(Notes!$B$3="Pay 1 Regular State Payment Budget",0,INDEX(Data[],MATCH($A289,Data[Dist],0),MATCH(E$4,Data[#Headers],0)))</f>
        <v>0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1804845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2780306</v>
      </c>
      <c r="D290" s="22">
        <f>INDEX(Data[],MATCH($A290,Data[Dist],0),MATCH(D$4,Data[#Headers],0))</f>
        <v>332</v>
      </c>
      <c r="E290" s="22">
        <f>IF(Notes!$B$3="Pay 1 Regular State Payment Budget",0,INDEX(Data[],MATCH($A290,Data[Dist],0),MATCH(E$4,Data[#Headers],0)))</f>
        <v>0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2779974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2130718</v>
      </c>
      <c r="D291" s="22">
        <f>INDEX(Data[],MATCH($A291,Data[Dist],0),MATCH(D$4,Data[#Headers],0))</f>
        <v>498</v>
      </c>
      <c r="E291" s="22">
        <f>IF(Notes!$B$3="Pay 1 Regular State Payment Budget",0,INDEX(Data[],MATCH($A291,Data[Dist],0),MATCH(E$4,Data[#Headers],0)))</f>
        <v>0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2130220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2416453</v>
      </c>
      <c r="D292" s="22">
        <f>INDEX(Data[],MATCH($A292,Data[Dist],0),MATCH(D$4,Data[#Headers],0))</f>
        <v>299</v>
      </c>
      <c r="E292" s="22">
        <f>IF(Notes!$B$3="Pay 1 Regular State Payment Budget",0,INDEX(Data[],MATCH($A292,Data[Dist],0),MATCH(E$4,Data[#Headers],0)))</f>
        <v>0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2416154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767409</v>
      </c>
      <c r="D293" s="22">
        <f>INDEX(Data[],MATCH($A293,Data[Dist],0),MATCH(D$4,Data[#Headers],0))</f>
        <v>133</v>
      </c>
      <c r="E293" s="22">
        <f>IF(Notes!$B$3="Pay 1 Regular State Payment Budget",0,INDEX(Data[],MATCH($A293,Data[Dist],0),MATCH(E$4,Data[#Headers],0)))</f>
        <v>0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767276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5001394</v>
      </c>
      <c r="D294" s="22">
        <f>INDEX(Data[],MATCH($A294,Data[Dist],0),MATCH(D$4,Data[#Headers],0))</f>
        <v>779</v>
      </c>
      <c r="E294" s="22">
        <f>IF(Notes!$B$3="Pay 1 Regular State Payment Budget",0,INDEX(Data[],MATCH($A294,Data[Dist],0),MATCH(E$4,Data[#Headers],0)))</f>
        <v>0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5000615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1501406</v>
      </c>
      <c r="D295" s="22">
        <f>INDEX(Data[],MATCH($A295,Data[Dist],0),MATCH(D$4,Data[#Headers],0))</f>
        <v>862</v>
      </c>
      <c r="E295" s="22">
        <f>IF(Notes!$B$3="Pay 1 Regular State Payment Budget",0,INDEX(Data[],MATCH($A295,Data[Dist],0),MATCH(E$4,Data[#Headers],0)))</f>
        <v>0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1500544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22610300</v>
      </c>
      <c r="D296" s="22">
        <f>INDEX(Data[],MATCH($A296,Data[Dist],0),MATCH(D$4,Data[#Headers],0))</f>
        <v>3350</v>
      </c>
      <c r="E296" s="22">
        <f>IF(Notes!$B$3="Pay 1 Regular State Payment Budget",0,INDEX(Data[],MATCH($A296,Data[Dist],0),MATCH(E$4,Data[#Headers],0)))</f>
        <v>0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22606950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6428316</v>
      </c>
      <c r="D297" s="22">
        <f>INDEX(Data[],MATCH($A297,Data[Dist],0),MATCH(D$4,Data[#Headers],0))</f>
        <v>829</v>
      </c>
      <c r="E297" s="22">
        <f>IF(Notes!$B$3="Pay 1 Regular State Payment Budget",0,INDEX(Data[],MATCH($A297,Data[Dist],0),MATCH(E$4,Data[#Headers],0)))</f>
        <v>0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6427487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5779183</v>
      </c>
      <c r="D298" s="22">
        <f>INDEX(Data[],MATCH($A298,Data[Dist],0),MATCH(D$4,Data[#Headers],0))</f>
        <v>862</v>
      </c>
      <c r="E298" s="22">
        <f>IF(Notes!$B$3="Pay 1 Regular State Payment Budget",0,INDEX(Data[],MATCH($A298,Data[Dist],0),MATCH(E$4,Data[#Headers],0)))</f>
        <v>0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5778321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1723949</v>
      </c>
      <c r="D299" s="22">
        <f>INDEX(Data[],MATCH($A299,Data[Dist],0),MATCH(D$4,Data[#Headers],0))</f>
        <v>249</v>
      </c>
      <c r="E299" s="22">
        <f>IF(Notes!$B$3="Pay 1 Regular State Payment Budget",0,INDEX(Data[],MATCH($A299,Data[Dist],0),MATCH(E$4,Data[#Headers],0)))</f>
        <v>0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1723700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11222708</v>
      </c>
      <c r="D300" s="22">
        <f>INDEX(Data[],MATCH($A300,Data[Dist],0),MATCH(D$4,Data[#Headers],0))</f>
        <v>1443</v>
      </c>
      <c r="E300" s="22">
        <f>IF(Notes!$B$3="Pay 1 Regular State Payment Budget",0,INDEX(Data[],MATCH($A300,Data[Dist],0),MATCH(E$4,Data[#Headers],0)))</f>
        <v>0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11221265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3551390</v>
      </c>
      <c r="D301" s="22">
        <f>INDEX(Data[],MATCH($A301,Data[Dist],0),MATCH(D$4,Data[#Headers],0))</f>
        <v>614</v>
      </c>
      <c r="E301" s="22">
        <f>IF(Notes!$B$3="Pay 1 Regular State Payment Budget",0,INDEX(Data[],MATCH($A301,Data[Dist],0),MATCH(E$4,Data[#Headers],0)))</f>
        <v>0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3550776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4623404</v>
      </c>
      <c r="D302" s="22">
        <f>INDEX(Data[],MATCH($A302,Data[Dist],0),MATCH(D$4,Data[#Headers],0))</f>
        <v>746</v>
      </c>
      <c r="E302" s="22">
        <f>IF(Notes!$B$3="Pay 1 Regular State Payment Budget",0,INDEX(Data[],MATCH($A302,Data[Dist],0),MATCH(E$4,Data[#Headers],0)))</f>
        <v>0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4622658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3613482</v>
      </c>
      <c r="D303" s="22">
        <f>INDEX(Data[],MATCH($A303,Data[Dist],0),MATCH(D$4,Data[#Headers],0))</f>
        <v>448</v>
      </c>
      <c r="E303" s="22">
        <f>IF(Notes!$B$3="Pay 1 Regular State Payment Budget",0,INDEX(Data[],MATCH($A303,Data[Dist],0),MATCH(E$4,Data[#Headers],0)))</f>
        <v>0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3613034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4658768</v>
      </c>
      <c r="D304" s="22">
        <f>INDEX(Data[],MATCH($A304,Data[Dist],0),MATCH(D$4,Data[#Headers],0))</f>
        <v>614</v>
      </c>
      <c r="E304" s="22">
        <f>IF(Notes!$B$3="Pay 1 Regular State Payment Budget",0,INDEX(Data[],MATCH($A304,Data[Dist],0),MATCH(E$4,Data[#Headers],0)))</f>
        <v>0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4658154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11971496</v>
      </c>
      <c r="D305" s="22">
        <f>INDEX(Data[],MATCH($A305,Data[Dist],0),MATCH(D$4,Data[#Headers],0))</f>
        <v>1509</v>
      </c>
      <c r="E305" s="22">
        <f>IF(Notes!$B$3="Pay 1 Regular State Payment Budget",0,INDEX(Data[],MATCH($A305,Data[Dist],0),MATCH(E$4,Data[#Headers],0)))</f>
        <v>0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11969987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88744283</v>
      </c>
      <c r="D306" s="22">
        <f>INDEX(Data[],MATCH($A306,Data[Dist],0),MATCH(D$4,Data[#Headers],0))</f>
        <v>7679</v>
      </c>
      <c r="E306" s="22">
        <f>IF(Notes!$B$3="Pay 1 Regular State Payment Budget",0,INDEX(Data[],MATCH($A306,Data[Dist],0),MATCH(E$4,Data[#Headers],0)))</f>
        <v>0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88736604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77499940</v>
      </c>
      <c r="D307" s="22">
        <f>INDEX(Data[],MATCH($A307,Data[Dist],0),MATCH(D$4,Data[#Headers],0))</f>
        <v>1509</v>
      </c>
      <c r="E307" s="22">
        <f>IF(Notes!$B$3="Pay 1 Regular State Payment Budget",0,INDEX(Data[],MATCH($A307,Data[Dist],0),MATCH(E$4,Data[#Headers],0)))</f>
        <v>0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77498431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14722535</v>
      </c>
      <c r="D308" s="22">
        <f>INDEX(Data[],MATCH($A308,Data[Dist],0),MATCH(D$4,Data[#Headers],0))</f>
        <v>1542</v>
      </c>
      <c r="E308" s="22">
        <f>IF(Notes!$B$3="Pay 1 Regular State Payment Budget",0,INDEX(Data[],MATCH($A308,Data[Dist],0),MATCH(E$4,Data[#Headers],0)))</f>
        <v>0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14720993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3642693</v>
      </c>
      <c r="D309" s="22">
        <f>INDEX(Data[],MATCH($A309,Data[Dist],0),MATCH(D$4,Data[#Headers],0))</f>
        <v>531</v>
      </c>
      <c r="E309" s="22">
        <f>IF(Notes!$B$3="Pay 1 Regular State Payment Budget",0,INDEX(Data[],MATCH($A309,Data[Dist],0),MATCH(E$4,Data[#Headers],0)))</f>
        <v>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3642162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12688704</v>
      </c>
      <c r="D310" s="22">
        <f>INDEX(Data[],MATCH($A310,Data[Dist],0),MATCH(D$4,Data[#Headers],0))</f>
        <v>1808</v>
      </c>
      <c r="E310" s="22">
        <f>IF(Notes!$B$3="Pay 1 Regular State Payment Budget",0,INDEX(Data[],MATCH($A310,Data[Dist],0),MATCH(E$4,Data[#Headers],0)))</f>
        <v>0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12686896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1647700</v>
      </c>
      <c r="D311" s="22">
        <f>INDEX(Data[],MATCH($A311,Data[Dist],0),MATCH(D$4,Data[#Headers],0))</f>
        <v>431</v>
      </c>
      <c r="E311" s="22">
        <f>IF(Notes!$B$3="Pay 1 Regular State Payment Budget",0,INDEX(Data[],MATCH($A311,Data[Dist],0),MATCH(E$4,Data[#Headers],0)))</f>
        <v>0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1647269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4506552</v>
      </c>
      <c r="D312" s="22">
        <f>INDEX(Data[],MATCH($A312,Data[Dist],0),MATCH(D$4,Data[#Headers],0))</f>
        <v>697</v>
      </c>
      <c r="E312" s="22">
        <f>IF(Notes!$B$3="Pay 1 Regular State Payment Budget",0,INDEX(Data[],MATCH($A312,Data[Dist],0),MATCH(E$4,Data[#Headers],0)))</f>
        <v>0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4505855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2926914</v>
      </c>
      <c r="D313" s="22">
        <f>INDEX(Data[],MATCH($A313,Data[Dist],0),MATCH(D$4,Data[#Headers],0))</f>
        <v>580</v>
      </c>
      <c r="E313" s="22">
        <f>IF(Notes!$B$3="Pay 1 Regular State Payment Budget",0,INDEX(Data[],MATCH($A313,Data[Dist],0),MATCH(E$4,Data[#Headers],0)))</f>
        <v>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2926334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1421313</v>
      </c>
      <c r="D314" s="22">
        <f>INDEX(Data[],MATCH($A314,Data[Dist],0),MATCH(D$4,Data[#Headers],0))</f>
        <v>348</v>
      </c>
      <c r="E314" s="22">
        <f>IF(Notes!$B$3="Pay 1 Regular State Payment Budget",0,INDEX(Data[],MATCH($A314,Data[Dist],0),MATCH(E$4,Data[#Headers],0)))</f>
        <v>0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1420965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8837433</v>
      </c>
      <c r="D315" s="22">
        <f>INDEX(Data[],MATCH($A315,Data[Dist],0),MATCH(D$4,Data[#Headers],0))</f>
        <v>1045</v>
      </c>
      <c r="E315" s="22">
        <f>IF(Notes!$B$3="Pay 1 Regular State Payment Budget",0,INDEX(Data[],MATCH($A315,Data[Dist],0),MATCH(E$4,Data[#Headers],0)))</f>
        <v>0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8836388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49624998</v>
      </c>
      <c r="D316" s="22">
        <f>INDEX(Data[],MATCH($A316,Data[Dist],0),MATCH(D$4,Data[#Headers],0))</f>
        <v>6485</v>
      </c>
      <c r="E316" s="22">
        <f>IF(Notes!$B$3="Pay 1 Regular State Payment Budget",0,INDEX(Data[],MATCH($A316,Data[Dist],0),MATCH(E$4,Data[#Headers],0)))</f>
        <v>0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49618513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19716290</v>
      </c>
      <c r="D317" s="22">
        <f>INDEX(Data[],MATCH($A317,Data[Dist],0),MATCH(D$4,Data[#Headers],0))</f>
        <v>4644</v>
      </c>
      <c r="E317" s="22">
        <f>IF(Notes!$B$3="Pay 1 Regular State Payment Budget",0,INDEX(Data[],MATCH($A317,Data[Dist],0),MATCH(E$4,Data[#Headers],0)))</f>
        <v>0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19711646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1878437</v>
      </c>
      <c r="D318" s="22">
        <f>INDEX(Data[],MATCH($A318,Data[Dist],0),MATCH(D$4,Data[#Headers],0))</f>
        <v>282</v>
      </c>
      <c r="E318" s="22">
        <f>IF(Notes!$B$3="Pay 1 Regular State Payment Budget",0,INDEX(Data[],MATCH($A318,Data[Dist],0),MATCH(E$4,Data[#Headers],0)))</f>
        <v>0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1878155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9657360</v>
      </c>
      <c r="D319" s="22">
        <f>INDEX(Data[],MATCH($A319,Data[Dist],0),MATCH(D$4,Data[#Headers],0))</f>
        <v>1061</v>
      </c>
      <c r="E319" s="22">
        <f>IF(Notes!$B$3="Pay 1 Regular State Payment Budget",0,INDEX(Data[],MATCH($A319,Data[Dist],0),MATCH(E$4,Data[#Headers],0)))</f>
        <v>0</v>
      </c>
      <c r="F319" s="22">
        <f>IF(OR(Notes!$B$3="Pay 1 Regular State Payment Budget",Notes!$B$3="Pay 2 Regular State Payment Budget"),0,INDEX(Data[],MATCH($A319,Data[Dist],0),MATCH(F$4,Data[#Headers],0)))</f>
        <v>0</v>
      </c>
      <c r="G319" s="22">
        <f>INDEX(Data[],MATCH($A319,Data[Dist],0),MATCH(G$4,Data[#Headers],0))</f>
        <v>9656299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5305773</v>
      </c>
      <c r="D320" s="22">
        <f>INDEX(Data[],MATCH($A320,Data[Dist],0),MATCH(D$4,Data[#Headers],0))</f>
        <v>879</v>
      </c>
      <c r="E320" s="22">
        <f>IF(Notes!$B$3="Pay 1 Regular State Payment Budget",0,INDEX(Data[],MATCH($A320,Data[Dist],0),MATCH(E$4,Data[#Headers],0)))</f>
        <v>0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5304894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5261977</v>
      </c>
      <c r="D321" s="22">
        <f>INDEX(Data[],MATCH($A321,Data[Dist],0),MATCH(D$4,Data[#Headers],0))</f>
        <v>746</v>
      </c>
      <c r="E321" s="22">
        <f>IF(Notes!$B$3="Pay 1 Regular State Payment Budget",0,INDEX(Data[],MATCH($A321,Data[Dist],0),MATCH(E$4,Data[#Headers],0)))</f>
        <v>0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5261231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4021320</v>
      </c>
      <c r="D322" s="22">
        <f>INDEX(Data[],MATCH($A322,Data[Dist],0),MATCH(D$4,Data[#Headers],0))</f>
        <v>464</v>
      </c>
      <c r="E322" s="22">
        <f>IF(Notes!$B$3="Pay 1 Regular State Payment Budget",0,INDEX(Data[],MATCH($A322,Data[Dist],0),MATCH(E$4,Data[#Headers],0)))</f>
        <v>0</v>
      </c>
      <c r="F322" s="22">
        <f>IF(OR(Notes!$B$3="Pay 1 Regular State Payment Budget",Notes!$B$3="Pay 2 Regular State Payment Budget"),0,INDEX(Data[],MATCH($A322,Data[Dist],0),MATCH(F$4,Data[#Headers],0)))</f>
        <v>0</v>
      </c>
      <c r="G322" s="22">
        <f>INDEX(Data[],MATCH($A322,Data[Dist],0),MATCH(G$4,Data[#Headers],0))</f>
        <v>4020856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6432932</v>
      </c>
      <c r="D323" s="22">
        <f>INDEX(Data[],MATCH($A323,Data[Dist],0),MATCH(D$4,Data[#Headers],0))</f>
        <v>580</v>
      </c>
      <c r="E323" s="22">
        <f>IF(Notes!$B$3="Pay 1 Regular State Payment Budget",0,INDEX(Data[],MATCH($A323,Data[Dist],0),MATCH(E$4,Data[#Headers],0)))</f>
        <v>0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6432352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2543825</v>
      </c>
      <c r="D324" s="22">
        <f>INDEX(Data[],MATCH($A324,Data[Dist],0),MATCH(D$4,Data[#Headers],0))</f>
        <v>464</v>
      </c>
      <c r="E324" s="22">
        <f>IF(Notes!$B$3="Pay 1 Regular State Payment Budget",0,INDEX(Data[],MATCH($A324,Data[Dist],0),MATCH(E$4,Data[#Headers],0)))</f>
        <v>0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2543361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1098667</v>
      </c>
      <c r="D325" s="22">
        <f>INDEX(Data[],MATCH($A325,Data[Dist],0),MATCH(D$4,Data[#Headers],0))</f>
        <v>100</v>
      </c>
      <c r="E325" s="22">
        <f>IF(Notes!$B$3="Pay 1 Regular State Payment Budget",0,INDEX(Data[],MATCH($A325,Data[Dist],0),MATCH(E$4,Data[#Headers],0)))</f>
        <v>0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1098567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7266754</v>
      </c>
      <c r="D326" s="22">
        <f>INDEX(Data[],MATCH($A326,Data[Dist],0),MATCH(D$4,Data[#Headers],0))</f>
        <v>1111</v>
      </c>
      <c r="E326" s="22">
        <f>IF(Notes!$B$3="Pay 1 Regular State Payment Budget",0,INDEX(Data[],MATCH($A326,Data[Dist],0),MATCH(E$4,Data[#Headers],0)))</f>
        <v>0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7265643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6026414</v>
      </c>
      <c r="D327" s="22">
        <f>INDEX(Data[],MATCH($A327,Data[Dist],0),MATCH(D$4,Data[#Headers],0))</f>
        <v>829</v>
      </c>
      <c r="E327" s="22">
        <f>IF(Notes!$B$3="Pay 1 Regular State Payment Budget",0,INDEX(Data[],MATCH($A327,Data[Dist],0),MATCH(E$4,Data[#Headers],0)))</f>
        <v>0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6025585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2125904</v>
      </c>
      <c r="D328" s="22">
        <f>INDEX(Data[],MATCH($A328,Data[Dist],0),MATCH(D$4,Data[#Headers],0))</f>
        <v>265</v>
      </c>
      <c r="E328" s="22">
        <f>IF(Notes!$B$3="Pay 1 Regular State Payment Budget",0,INDEX(Data[],MATCH($A328,Data[Dist],0),MATCH(E$4,Data[#Headers],0)))</f>
        <v>0</v>
      </c>
      <c r="F328" s="22">
        <f>IF(OR(Notes!$B$3="Pay 1 Regular State Payment Budget",Notes!$B$3="Pay 2 Regular State Payment Budget"),0,INDEX(Data[],MATCH($A328,Data[Dist],0),MATCH(F$4,Data[#Headers],0)))</f>
        <v>0</v>
      </c>
      <c r="G328" s="22">
        <f>INDEX(Data[],MATCH($A328,Data[Dist],0),MATCH(G$4,Data[#Headers],0))</f>
        <v>2125639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11592057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0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11590863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3182930</v>
      </c>
      <c r="D330" s="22">
        <f>INDEX(Data[],MATCH($A330,Data[Dist],0),MATCH(D$4,Data[#Headers],0))</f>
        <v>564</v>
      </c>
      <c r="E330" s="22">
        <f>IF(Notes!$B$3="Pay 1 Regular State Payment Budget",0,INDEX(Data[],MATCH($A330,Data[Dist],0),MATCH(E$4,Data[#Headers],0)))</f>
        <v>0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3182366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3628614</v>
      </c>
      <c r="D331" s="22">
        <f>INDEX(Data[],MATCH($A331,Data[Dist],0),MATCH(D$4,Data[#Headers],0))</f>
        <v>564</v>
      </c>
      <c r="E331" s="22">
        <f>IF(Notes!$B$3="Pay 1 Regular State Payment Budget",0,INDEX(Data[],MATCH($A331,Data[Dist],0),MATCH(E$4,Data[#Headers],0)))</f>
        <v>0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3628050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7044701</v>
      </c>
      <c r="D332" s="22">
        <f>INDEX(Data[],MATCH($A332,Data[Dist],0),MATCH(D$4,Data[#Headers],0))</f>
        <v>979</v>
      </c>
      <c r="E332" s="22">
        <f>IF(Notes!$B$3="Pay 1 Regular State Payment Budget",0,INDEX(Data[],MATCH($A332,Data[Dist],0),MATCH(E$4,Data[#Headers],0)))</f>
        <v>0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7043722</v>
      </c>
    </row>
    <row r="333" spans="1:9" s="21" customFormat="1" ht="13.5" thickBot="1" x14ac:dyDescent="0.25">
      <c r="A333" s="122" t="s">
        <v>790</v>
      </c>
      <c r="B333" s="21" t="s">
        <v>789</v>
      </c>
      <c r="C333" s="24">
        <f>SUM(C6:C332)</f>
        <v>3350578066</v>
      </c>
      <c r="D333" s="24">
        <f>SUM(D6:D332)</f>
        <v>394787</v>
      </c>
      <c r="E333" s="24">
        <f>SUM(E6:E332)</f>
        <v>0</v>
      </c>
      <c r="F333" s="24">
        <f>SUM(F6:F332)</f>
        <v>0</v>
      </c>
      <c r="G333" s="24">
        <f>SUM(G6:G332)</f>
        <v>3350183279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9" t="str">
        <f>CONCATENATE("FY ",Notes!B1," Budget for State Payment to School Districts (Budget by Source)")</f>
        <v>FY 2023 Budget for State Payment to School Districts (Budget by Source)</v>
      </c>
      <c r="B1" s="209"/>
      <c r="C1" s="209"/>
      <c r="D1" s="209"/>
      <c r="E1" s="209"/>
      <c r="F1" s="209"/>
      <c r="G1" s="209"/>
      <c r="H1" s="209"/>
      <c r="I1" s="209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1 State Foundation Aid (Code 3111)</v>
      </c>
      <c r="I4" s="18" t="str">
        <f>Notes!B3</f>
        <v>Pay 1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129148</v>
      </c>
      <c r="D6" s="22">
        <f>INDEX(Data[],MATCH($A6,Data[Dist],0),MATCH(D$4,Data[#Headers],0))</f>
        <v>451165</v>
      </c>
      <c r="E6" s="22">
        <f>INDEX(Data[],MATCH($A6,Data[Dist],0),MATCH(E$4,Data[#Headers],0))</f>
        <v>43690</v>
      </c>
      <c r="F6" s="22">
        <f>INDEX(Data[],MATCH($A6,Data[Dist],0),MATCH(F$4,Data[#Headers],0))</f>
        <v>48879</v>
      </c>
      <c r="G6" s="22">
        <f>INDEX(Data[],MATCH($A6,Data[Dist],0),MATCH(G$4,Data[#Headers],0))</f>
        <v>243340</v>
      </c>
      <c r="H6" s="22">
        <f>INDEX(Data[],MATCH($A6,Data[Dist],0),MATCH(H$4,Data[#Headers],0))</f>
        <v>2696501</v>
      </c>
      <c r="I6" s="22">
        <f>INDEX(Data[],MATCH($A6,Data[Dist],0),MATCH(I$4,Data[#Headers],0))</f>
        <v>3612723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44279</v>
      </c>
      <c r="D7" s="22">
        <f>INDEX(Data[],MATCH($A7,Data[Dist],0),MATCH(D$4,Data[#Headers],0))</f>
        <v>213279</v>
      </c>
      <c r="E7" s="22">
        <f>INDEX(Data[],MATCH($A7,Data[Dist],0),MATCH(E$4,Data[#Headers],0))</f>
        <v>23710</v>
      </c>
      <c r="F7" s="22">
        <f>INDEX(Data[],MATCH($A7,Data[Dist],0),MATCH(F$4,Data[#Headers],0))</f>
        <v>21495</v>
      </c>
      <c r="G7" s="22">
        <f>INDEX(Data[],MATCH($A7,Data[Dist],0),MATCH(G$4,Data[#Headers],0))</f>
        <v>110882</v>
      </c>
      <c r="H7" s="22">
        <f>INDEX(Data[],MATCH($A7,Data[Dist],0),MATCH(H$4,Data[#Headers],0))</f>
        <v>1452639</v>
      </c>
      <c r="I7" s="22">
        <f>INDEX(Data[],MATCH($A7,Data[Dist],0),MATCH(I$4,Data[#Headers],0))</f>
        <v>1866284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1329230</v>
      </c>
      <c r="E8" s="22">
        <f>INDEX(Data[],MATCH($A8,Data[Dist],0),MATCH(E$4,Data[#Headers],0))</f>
        <v>150802</v>
      </c>
      <c r="F8" s="22">
        <f>INDEX(Data[],MATCH($A8,Data[Dist],0),MATCH(F$4,Data[#Headers],0))</f>
        <v>144411</v>
      </c>
      <c r="G8" s="22">
        <f>INDEX(Data[],MATCH($A8,Data[Dist],0),MATCH(G$4,Data[#Headers],0))</f>
        <v>735207</v>
      </c>
      <c r="H8" s="22">
        <f>INDEX(Data[],MATCH($A8,Data[Dist],0),MATCH(H$4,Data[#Headers],0))</f>
        <v>12278753</v>
      </c>
      <c r="I8" s="22">
        <f>INDEX(Data[],MATCH($A8,Data[Dist],0),MATCH(I$4,Data[#Headers],0))</f>
        <v>14638403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99628</v>
      </c>
      <c r="D9" s="22">
        <f>INDEX(Data[],MATCH($A9,Data[Dist],0),MATCH(D$4,Data[#Headers],0))</f>
        <v>376601</v>
      </c>
      <c r="E9" s="22">
        <f>INDEX(Data[],MATCH($A9,Data[Dist],0),MATCH(E$4,Data[#Headers],0))</f>
        <v>42000</v>
      </c>
      <c r="F9" s="22">
        <f>INDEX(Data[],MATCH($A9,Data[Dist],0),MATCH(F$4,Data[#Headers],0))</f>
        <v>43090</v>
      </c>
      <c r="G9" s="22">
        <f>INDEX(Data[],MATCH($A9,Data[Dist],0),MATCH(G$4,Data[#Headers],0))</f>
        <v>198937</v>
      </c>
      <c r="H9" s="22">
        <f>INDEX(Data[],MATCH($A9,Data[Dist],0),MATCH(H$4,Data[#Headers],0))</f>
        <v>3199999</v>
      </c>
      <c r="I9" s="22">
        <f>INDEX(Data[],MATCH($A9,Data[Dist],0),MATCH(I$4,Data[#Headers],0))</f>
        <v>3960255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40590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673103</v>
      </c>
      <c r="I10" s="22">
        <f>INDEX(Data[],MATCH($A10,Data[Dist],0),MATCH(I$4,Data[#Headers],0))</f>
        <v>926079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180806</v>
      </c>
      <c r="D11" s="22">
        <f>INDEX(Data[],MATCH($A11,Data[Dist],0),MATCH(D$4,Data[#Headers],0))</f>
        <v>710439</v>
      </c>
      <c r="E11" s="22">
        <f>INDEX(Data[],MATCH($A11,Data[Dist],0),MATCH(E$4,Data[#Headers],0))</f>
        <v>80389</v>
      </c>
      <c r="F11" s="22">
        <f>INDEX(Data[],MATCH($A11,Data[Dist],0),MATCH(F$4,Data[#Headers],0))</f>
        <v>82103</v>
      </c>
      <c r="G11" s="22">
        <f>INDEX(Data[],MATCH($A11,Data[Dist],0),MATCH(G$4,Data[#Headers],0))</f>
        <v>408858</v>
      </c>
      <c r="H11" s="22">
        <f>INDEX(Data[],MATCH($A11,Data[Dist],0),MATCH(H$4,Data[#Headers],0))</f>
        <v>6894329</v>
      </c>
      <c r="I11" s="22">
        <f>INDEX(Data[],MATCH($A11,Data[Dist],0),MATCH(I$4,Data[#Headers],0))</f>
        <v>8356924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95938</v>
      </c>
      <c r="D12" s="22">
        <f>INDEX(Data[],MATCH($A12,Data[Dist],0),MATCH(D$4,Data[#Headers],0))</f>
        <v>333557</v>
      </c>
      <c r="E12" s="22">
        <f>INDEX(Data[],MATCH($A12,Data[Dist],0),MATCH(E$4,Data[#Headers],0))</f>
        <v>32897</v>
      </c>
      <c r="F12" s="22">
        <f>INDEX(Data[],MATCH($A12,Data[Dist],0),MATCH(F$4,Data[#Headers],0))</f>
        <v>38438</v>
      </c>
      <c r="G12" s="22">
        <f>INDEX(Data[],MATCH($A12,Data[Dist],0),MATCH(G$4,Data[#Headers],0))</f>
        <v>185627</v>
      </c>
      <c r="H12" s="22">
        <f>INDEX(Data[],MATCH($A12,Data[Dist],0),MATCH(H$4,Data[#Headers],0))</f>
        <v>2462463</v>
      </c>
      <c r="I12" s="22">
        <f>INDEX(Data[],MATCH($A12,Data[Dist],0),MATCH(I$4,Data[#Headers],0))</f>
        <v>3148920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59039</v>
      </c>
      <c r="D13" s="22">
        <f>INDEX(Data[],MATCH($A13,Data[Dist],0),MATCH(D$4,Data[#Headers],0))</f>
        <v>190781</v>
      </c>
      <c r="E13" s="22">
        <f>INDEX(Data[],MATCH($A13,Data[Dist],0),MATCH(E$4,Data[#Headers],0))</f>
        <v>23649</v>
      </c>
      <c r="F13" s="22">
        <f>INDEX(Data[],MATCH($A13,Data[Dist],0),MATCH(F$4,Data[#Headers],0))</f>
        <v>18406</v>
      </c>
      <c r="G13" s="22">
        <f>INDEX(Data[],MATCH($A13,Data[Dist],0),MATCH(G$4,Data[#Headers],0))</f>
        <v>100470</v>
      </c>
      <c r="H13" s="22">
        <f>INDEX(Data[],MATCH($A13,Data[Dist],0),MATCH(H$4,Data[#Headers],0))</f>
        <v>1275588</v>
      </c>
      <c r="I13" s="22">
        <f>INDEX(Data[],MATCH($A13,Data[Dist],0),MATCH(I$4,Data[#Headers],0))</f>
        <v>1667933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420650</v>
      </c>
      <c r="D14" s="22">
        <f>INDEX(Data[],MATCH($A14,Data[Dist],0),MATCH(D$4,Data[#Headers],0))</f>
        <v>836618</v>
      </c>
      <c r="E14" s="22">
        <f>INDEX(Data[],MATCH($A14,Data[Dist],0),MATCH(E$4,Data[#Headers],0))</f>
        <v>89717</v>
      </c>
      <c r="F14" s="22">
        <f>INDEX(Data[],MATCH($A14,Data[Dist],0),MATCH(F$4,Data[#Headers],0))</f>
        <v>100633</v>
      </c>
      <c r="G14" s="22">
        <f>INDEX(Data[],MATCH($A14,Data[Dist],0),MATCH(G$4,Data[#Headers],0))</f>
        <v>464961</v>
      </c>
      <c r="H14" s="22">
        <f>INDEX(Data[],MATCH($A14,Data[Dist],0),MATCH(H$4,Data[#Headers],0))</f>
        <v>6058413</v>
      </c>
      <c r="I14" s="22">
        <f>INDEX(Data[],MATCH($A14,Data[Dist],0),MATCH(I$4,Data[#Headers],0))</f>
        <v>7970992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239845</v>
      </c>
      <c r="D15" s="22">
        <f>INDEX(Data[],MATCH($A15,Data[Dist],0),MATCH(D$4,Data[#Headers],0))</f>
        <v>657252</v>
      </c>
      <c r="E15" s="22">
        <f>INDEX(Data[],MATCH($A15,Data[Dist],0),MATCH(E$4,Data[#Headers],0))</f>
        <v>76828</v>
      </c>
      <c r="F15" s="22">
        <f>INDEX(Data[],MATCH($A15,Data[Dist],0),MATCH(F$4,Data[#Headers],0))</f>
        <v>69980</v>
      </c>
      <c r="G15" s="22">
        <f>INDEX(Data[],MATCH($A15,Data[Dist],0),MATCH(G$4,Data[#Headers],0))</f>
        <v>375225</v>
      </c>
      <c r="H15" s="22">
        <f>INDEX(Data[],MATCH($A15,Data[Dist],0),MATCH(H$4,Data[#Headers],0))</f>
        <v>5061939</v>
      </c>
      <c r="I15" s="22">
        <f>INDEX(Data[],MATCH($A15,Data[Dist],0),MATCH(I$4,Data[#Headers],0))</f>
        <v>6481069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84869</v>
      </c>
      <c r="D16" s="22">
        <f>INDEX(Data[],MATCH($A16,Data[Dist],0),MATCH(D$4,Data[#Headers],0))</f>
        <v>407783</v>
      </c>
      <c r="E16" s="22">
        <f>INDEX(Data[],MATCH($A16,Data[Dist],0),MATCH(E$4,Data[#Headers],0))</f>
        <v>39285</v>
      </c>
      <c r="F16" s="22">
        <f>INDEX(Data[],MATCH($A16,Data[Dist],0),MATCH(F$4,Data[#Headers],0))</f>
        <v>45681</v>
      </c>
      <c r="G16" s="22">
        <f>INDEX(Data[],MATCH($A16,Data[Dist],0),MATCH(G$4,Data[#Headers],0))</f>
        <v>203445</v>
      </c>
      <c r="H16" s="22">
        <f>INDEX(Data[],MATCH($A16,Data[Dist],0),MATCH(H$4,Data[#Headers],0))</f>
        <v>2781447</v>
      </c>
      <c r="I16" s="22">
        <f>INDEX(Data[],MATCH($A16,Data[Dist],0),MATCH(I$4,Data[#Headers],0))</f>
        <v>3562510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203021</v>
      </c>
      <c r="D17" s="22">
        <f>INDEX(Data[],MATCH($A17,Data[Dist],0),MATCH(D$4,Data[#Headers],0))</f>
        <v>594133</v>
      </c>
      <c r="E17" s="22">
        <f>INDEX(Data[],MATCH($A17,Data[Dist],0),MATCH(E$4,Data[#Headers],0))</f>
        <v>72340</v>
      </c>
      <c r="F17" s="22">
        <f>INDEX(Data[],MATCH($A17,Data[Dist],0),MATCH(F$4,Data[#Headers],0))</f>
        <v>67837</v>
      </c>
      <c r="G17" s="22">
        <f>INDEX(Data[],MATCH($A17,Data[Dist],0),MATCH(G$4,Data[#Headers],0))</f>
        <v>306313</v>
      </c>
      <c r="H17" s="22">
        <f>INDEX(Data[],MATCH($A17,Data[Dist],0),MATCH(H$4,Data[#Headers],0))</f>
        <v>3620705</v>
      </c>
      <c r="I17" s="22">
        <f>INDEX(Data[],MATCH($A17,Data[Dist],0),MATCH(I$4,Data[#Headers],0))</f>
        <v>4864349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1055316</v>
      </c>
      <c r="D18" s="22">
        <f>INDEX(Data[],MATCH($A18,Data[Dist],0),MATCH(D$4,Data[#Headers],0))</f>
        <v>2850016</v>
      </c>
      <c r="E18" s="22">
        <f>INDEX(Data[],MATCH($A18,Data[Dist],0),MATCH(E$4,Data[#Headers],0))</f>
        <v>319872</v>
      </c>
      <c r="F18" s="22">
        <f>INDEX(Data[],MATCH($A18,Data[Dist],0),MATCH(F$4,Data[#Headers],0))</f>
        <v>347406</v>
      </c>
      <c r="G18" s="22">
        <f>INDEX(Data[],MATCH($A18,Data[Dist],0),MATCH(G$4,Data[#Headers],0))</f>
        <v>1604518</v>
      </c>
      <c r="H18" s="22">
        <f>INDEX(Data[],MATCH($A18,Data[Dist],0),MATCH(H$4,Data[#Headers],0))</f>
        <v>16950834</v>
      </c>
      <c r="I18" s="22">
        <f>INDEX(Data[],MATCH($A18,Data[Dist],0),MATCH(I$4,Data[#Headers],0))</f>
        <v>23127962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243534</v>
      </c>
      <c r="D19" s="22">
        <f>INDEX(Data[],MATCH($A19,Data[Dist],0),MATCH(D$4,Data[#Headers],0))</f>
        <v>841888</v>
      </c>
      <c r="E19" s="22">
        <f>INDEX(Data[],MATCH($A19,Data[Dist],0),MATCH(E$4,Data[#Headers],0))</f>
        <v>89486</v>
      </c>
      <c r="F19" s="22">
        <f>INDEX(Data[],MATCH($A19,Data[Dist],0),MATCH(F$4,Data[#Headers],0))</f>
        <v>99722</v>
      </c>
      <c r="G19" s="22">
        <f>INDEX(Data[],MATCH($A19,Data[Dist],0),MATCH(G$4,Data[#Headers],0))</f>
        <v>453834</v>
      </c>
      <c r="H19" s="22">
        <f>INDEX(Data[],MATCH($A19,Data[Dist],0),MATCH(H$4,Data[#Headers],0))</f>
        <v>7000043</v>
      </c>
      <c r="I19" s="22">
        <f>INDEX(Data[],MATCH($A19,Data[Dist],0),MATCH(I$4,Data[#Headers],0))</f>
        <v>8728507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47969</v>
      </c>
      <c r="D20" s="22">
        <f>INDEX(Data[],MATCH($A20,Data[Dist],0),MATCH(D$4,Data[#Headers],0))</f>
        <v>151644</v>
      </c>
      <c r="E20" s="22">
        <f>INDEX(Data[],MATCH($A20,Data[Dist],0),MATCH(E$4,Data[#Headers],0))</f>
        <v>19104</v>
      </c>
      <c r="F20" s="22">
        <f>INDEX(Data[],MATCH($A20,Data[Dist],0),MATCH(F$4,Data[#Headers],0))</f>
        <v>16745</v>
      </c>
      <c r="G20" s="22">
        <f>INDEX(Data[],MATCH($A20,Data[Dist],0),MATCH(G$4,Data[#Headers],0))</f>
        <v>79789</v>
      </c>
      <c r="H20" s="22">
        <f>INDEX(Data[],MATCH($A20,Data[Dist],0),MATCH(H$4,Data[#Headers],0))</f>
        <v>1188876</v>
      </c>
      <c r="I20" s="22">
        <f>INDEX(Data[],MATCH($A20,Data[Dist],0),MATCH(I$4,Data[#Headers],0))</f>
        <v>1504127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1036867</v>
      </c>
      <c r="D21" s="22">
        <f>INDEX(Data[],MATCH($A21,Data[Dist],0),MATCH(D$4,Data[#Headers],0))</f>
        <v>7310503</v>
      </c>
      <c r="E21" s="22">
        <f>INDEX(Data[],MATCH($A21,Data[Dist],0),MATCH(E$4,Data[#Headers],0))</f>
        <v>849704</v>
      </c>
      <c r="F21" s="22">
        <f>INDEX(Data[],MATCH($A21,Data[Dist],0),MATCH(F$4,Data[#Headers],0))</f>
        <v>807412</v>
      </c>
      <c r="G21" s="22">
        <f>INDEX(Data[],MATCH($A21,Data[Dist],0),MATCH(G$4,Data[#Headers],0))</f>
        <v>4476865</v>
      </c>
      <c r="H21" s="22">
        <f>INDEX(Data[],MATCH($A21,Data[Dist],0),MATCH(H$4,Data[#Headers],0))</f>
        <v>67184925</v>
      </c>
      <c r="I21" s="22">
        <f>INDEX(Data[],MATCH($A21,Data[Dist],0),MATCH(I$4,Data[#Headers],0))</f>
        <v>81666276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147597</v>
      </c>
      <c r="D22" s="22">
        <f>INDEX(Data[],MATCH($A22,Data[Dist],0),MATCH(D$4,Data[#Headers],0))</f>
        <v>539512</v>
      </c>
      <c r="E22" s="22">
        <f>INDEX(Data[],MATCH($A22,Data[Dist],0),MATCH(E$4,Data[#Headers],0))</f>
        <v>70350</v>
      </c>
      <c r="F22" s="22">
        <f>INDEX(Data[],MATCH($A22,Data[Dist],0),MATCH(F$4,Data[#Headers],0))</f>
        <v>60254</v>
      </c>
      <c r="G22" s="22">
        <f>INDEX(Data[],MATCH($A22,Data[Dist],0),MATCH(G$4,Data[#Headers],0))</f>
        <v>291535</v>
      </c>
      <c r="H22" s="22">
        <f>INDEX(Data[],MATCH($A22,Data[Dist],0),MATCH(H$4,Data[#Headers],0))</f>
        <v>4525031</v>
      </c>
      <c r="I22" s="22">
        <f>INDEX(Data[],MATCH($A22,Data[Dist],0),MATCH(I$4,Data[#Headers],0))</f>
        <v>5634279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40590</v>
      </c>
      <c r="D23" s="22">
        <f>INDEX(Data[],MATCH($A23,Data[Dist],0),MATCH(D$4,Data[#Headers],0))</f>
        <v>294771</v>
      </c>
      <c r="E23" s="22">
        <f>INDEX(Data[],MATCH($A23,Data[Dist],0),MATCH(E$4,Data[#Headers],0))</f>
        <v>35778</v>
      </c>
      <c r="F23" s="22">
        <f>INDEX(Data[],MATCH($A23,Data[Dist],0),MATCH(F$4,Data[#Headers],0))</f>
        <v>33181</v>
      </c>
      <c r="G23" s="22">
        <f>INDEX(Data[],MATCH($A23,Data[Dist],0),MATCH(G$4,Data[#Headers],0))</f>
        <v>143836</v>
      </c>
      <c r="H23" s="22">
        <f>INDEX(Data[],MATCH($A23,Data[Dist],0),MATCH(H$4,Data[#Headers],0))</f>
        <v>1014521</v>
      </c>
      <c r="I23" s="22">
        <f>INDEX(Data[],MATCH($A23,Data[Dist],0),MATCH(I$4,Data[#Headers],0))</f>
        <v>1562677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55349</v>
      </c>
      <c r="D24" s="22">
        <f>INDEX(Data[],MATCH($A24,Data[Dist],0),MATCH(D$4,Data[#Headers],0))</f>
        <v>185445</v>
      </c>
      <c r="E24" s="22">
        <f>INDEX(Data[],MATCH($A24,Data[Dist],0),MATCH(E$4,Data[#Headers],0))</f>
        <v>18969</v>
      </c>
      <c r="F24" s="22">
        <f>INDEX(Data[],MATCH($A24,Data[Dist],0),MATCH(F$4,Data[#Headers],0))</f>
        <v>18427</v>
      </c>
      <c r="G24" s="22">
        <f>INDEX(Data[],MATCH($A24,Data[Dist],0),MATCH(G$4,Data[#Headers],0))</f>
        <v>99898</v>
      </c>
      <c r="H24" s="22">
        <f>INDEX(Data[],MATCH($A24,Data[Dist],0),MATCH(H$4,Data[#Headers],0))</f>
        <v>693696</v>
      </c>
      <c r="I24" s="22">
        <f>INDEX(Data[],MATCH($A24,Data[Dist],0),MATCH(I$4,Data[#Headers],0))</f>
        <v>1071784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343163</v>
      </c>
      <c r="D25" s="22">
        <f>INDEX(Data[],MATCH($A25,Data[Dist],0),MATCH(D$4,Data[#Headers],0))</f>
        <v>895805</v>
      </c>
      <c r="E25" s="22">
        <f>INDEX(Data[],MATCH($A25,Data[Dist],0),MATCH(E$4,Data[#Headers],0))</f>
        <v>117016</v>
      </c>
      <c r="F25" s="22">
        <f>INDEX(Data[],MATCH($A25,Data[Dist],0),MATCH(F$4,Data[#Headers],0))</f>
        <v>104708</v>
      </c>
      <c r="G25" s="22">
        <f>INDEX(Data[],MATCH($A25,Data[Dist],0),MATCH(G$4,Data[#Headers],0))</f>
        <v>492047</v>
      </c>
      <c r="H25" s="22">
        <f>INDEX(Data[],MATCH($A25,Data[Dist],0),MATCH(H$4,Data[#Headers],0))</f>
        <v>8025691</v>
      </c>
      <c r="I25" s="22">
        <f>INDEX(Data[],MATCH($A25,Data[Dist],0),MATCH(I$4,Data[#Headers],0))</f>
        <v>9978430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107008</v>
      </c>
      <c r="D26" s="22">
        <f>INDEX(Data[],MATCH($A26,Data[Dist],0),MATCH(D$4,Data[#Headers],0))</f>
        <v>346860</v>
      </c>
      <c r="E26" s="22">
        <f>INDEX(Data[],MATCH($A26,Data[Dist],0),MATCH(E$4,Data[#Headers],0))</f>
        <v>36053</v>
      </c>
      <c r="F26" s="22">
        <f>INDEX(Data[],MATCH($A26,Data[Dist],0),MATCH(F$4,Data[#Headers],0))</f>
        <v>39536</v>
      </c>
      <c r="G26" s="22">
        <f>INDEX(Data[],MATCH($A26,Data[Dist],0),MATCH(G$4,Data[#Headers],0))</f>
        <v>187416</v>
      </c>
      <c r="H26" s="22">
        <f>INDEX(Data[],MATCH($A26,Data[Dist],0),MATCH(H$4,Data[#Headers],0))</f>
        <v>2579371</v>
      </c>
      <c r="I26" s="22">
        <f>INDEX(Data[],MATCH($A26,Data[Dist],0),MATCH(I$4,Data[#Headers],0))</f>
        <v>3296244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199255</v>
      </c>
      <c r="D27" s="22">
        <f>INDEX(Data[],MATCH($A27,Data[Dist],0),MATCH(D$4,Data[#Headers],0))</f>
        <v>459019</v>
      </c>
      <c r="E27" s="22">
        <f>INDEX(Data[],MATCH($A27,Data[Dist],0),MATCH(E$4,Data[#Headers],0))</f>
        <v>51757</v>
      </c>
      <c r="F27" s="22">
        <f>INDEX(Data[],MATCH($A27,Data[Dist],0),MATCH(F$4,Data[#Headers],0))</f>
        <v>46599</v>
      </c>
      <c r="G27" s="22">
        <f>INDEX(Data[],MATCH($A27,Data[Dist],0),MATCH(G$4,Data[#Headers],0))</f>
        <v>273824</v>
      </c>
      <c r="H27" s="22">
        <f>INDEX(Data[],MATCH($A27,Data[Dist],0),MATCH(H$4,Data[#Headers],0))</f>
        <v>2809374</v>
      </c>
      <c r="I27" s="22">
        <f>INDEX(Data[],MATCH($A27,Data[Dist],0),MATCH(I$4,Data[#Headers],0))</f>
        <v>3839828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468620</v>
      </c>
      <c r="D28" s="22">
        <f>INDEX(Data[],MATCH($A28,Data[Dist],0),MATCH(D$4,Data[#Headers],0))</f>
        <v>1004955</v>
      </c>
      <c r="E28" s="22">
        <f>INDEX(Data[],MATCH($A28,Data[Dist],0),MATCH(E$4,Data[#Headers],0))</f>
        <v>126242</v>
      </c>
      <c r="F28" s="22">
        <f>INDEX(Data[],MATCH($A28,Data[Dist],0),MATCH(F$4,Data[#Headers],0))</f>
        <v>107814</v>
      </c>
      <c r="G28" s="22">
        <f>INDEX(Data[],MATCH($A28,Data[Dist],0),MATCH(G$4,Data[#Headers],0))</f>
        <v>608260</v>
      </c>
      <c r="H28" s="22">
        <f>INDEX(Data[],MATCH($A28,Data[Dist],0),MATCH(H$4,Data[#Headers],0))</f>
        <v>10251040</v>
      </c>
      <c r="I28" s="22">
        <f>INDEX(Data[],MATCH($A28,Data[Dist],0),MATCH(I$4,Data[#Headers],0))</f>
        <v>12566931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92248</v>
      </c>
      <c r="D29" s="22">
        <f>INDEX(Data[],MATCH($A29,Data[Dist],0),MATCH(D$4,Data[#Headers],0))</f>
        <v>242277</v>
      </c>
      <c r="E29" s="22">
        <f>INDEX(Data[],MATCH($A29,Data[Dist],0),MATCH(E$4,Data[#Headers],0))</f>
        <v>26340</v>
      </c>
      <c r="F29" s="22">
        <f>INDEX(Data[],MATCH($A29,Data[Dist],0),MATCH(F$4,Data[#Headers],0))</f>
        <v>24533</v>
      </c>
      <c r="G29" s="22">
        <f>INDEX(Data[],MATCH($A29,Data[Dist],0),MATCH(G$4,Data[#Headers],0))</f>
        <v>128522</v>
      </c>
      <c r="H29" s="22">
        <f>INDEX(Data[],MATCH($A29,Data[Dist],0),MATCH(H$4,Data[#Headers],0))</f>
        <v>2124282</v>
      </c>
      <c r="I29" s="22">
        <f>INDEX(Data[],MATCH($A29,Data[Dist],0),MATCH(I$4,Data[#Headers],0))</f>
        <v>2638202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73798</v>
      </c>
      <c r="D30" s="22">
        <f>INDEX(Data[],MATCH($A30,Data[Dist],0),MATCH(D$4,Data[#Headers],0))</f>
        <v>313851</v>
      </c>
      <c r="E30" s="22">
        <f>INDEX(Data[],MATCH($A30,Data[Dist],0),MATCH(E$4,Data[#Headers],0))</f>
        <v>33684</v>
      </c>
      <c r="F30" s="22">
        <f>INDEX(Data[],MATCH($A30,Data[Dist],0),MATCH(F$4,Data[#Headers],0))</f>
        <v>34901</v>
      </c>
      <c r="G30" s="22">
        <f>INDEX(Data[],MATCH($A30,Data[Dist],0),MATCH(G$4,Data[#Headers],0))</f>
        <v>174213</v>
      </c>
      <c r="H30" s="22">
        <f>INDEX(Data[],MATCH($A30,Data[Dist],0),MATCH(H$4,Data[#Headers],0))</f>
        <v>2053847</v>
      </c>
      <c r="I30" s="22">
        <f>INDEX(Data[],MATCH($A30,Data[Dist],0),MATCH(I$4,Data[#Headers],0))</f>
        <v>2684294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99628</v>
      </c>
      <c r="D31" s="22">
        <f>INDEX(Data[],MATCH($A31,Data[Dist],0),MATCH(D$4,Data[#Headers],0))</f>
        <v>329710</v>
      </c>
      <c r="E31" s="22">
        <f>INDEX(Data[],MATCH($A31,Data[Dist],0),MATCH(E$4,Data[#Headers],0))</f>
        <v>38576</v>
      </c>
      <c r="F31" s="22">
        <f>INDEX(Data[],MATCH($A31,Data[Dist],0),MATCH(F$4,Data[#Headers],0))</f>
        <v>35125</v>
      </c>
      <c r="G31" s="22">
        <f>INDEX(Data[],MATCH($A31,Data[Dist],0),MATCH(G$4,Data[#Headers],0))</f>
        <v>174141</v>
      </c>
      <c r="H31" s="22">
        <f>INDEX(Data[],MATCH($A31,Data[Dist],0),MATCH(H$4,Data[#Headers],0))</f>
        <v>2461187</v>
      </c>
      <c r="I31" s="22">
        <f>INDEX(Data[],MATCH($A31,Data[Dist],0),MATCH(I$4,Data[#Headers],0))</f>
        <v>3138367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81178</v>
      </c>
      <c r="D32" s="22">
        <f>INDEX(Data[],MATCH($A32,Data[Dist],0),MATCH(D$4,Data[#Headers],0))</f>
        <v>295340</v>
      </c>
      <c r="E32" s="22">
        <f>INDEX(Data[],MATCH($A32,Data[Dist],0),MATCH(E$4,Data[#Headers],0))</f>
        <v>30323</v>
      </c>
      <c r="F32" s="22">
        <f>INDEX(Data[],MATCH($A32,Data[Dist],0),MATCH(F$4,Data[#Headers],0))</f>
        <v>29697</v>
      </c>
      <c r="G32" s="22">
        <f>INDEX(Data[],MATCH($A32,Data[Dist],0),MATCH(G$4,Data[#Headers],0))</f>
        <v>168631</v>
      </c>
      <c r="H32" s="22">
        <f>INDEX(Data[],MATCH($A32,Data[Dist],0),MATCH(H$4,Data[#Headers],0))</f>
        <v>2498609</v>
      </c>
      <c r="I32" s="22">
        <f>INDEX(Data[],MATCH($A32,Data[Dist],0),MATCH(I$4,Data[#Headers],0))</f>
        <v>3103778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225085</v>
      </c>
      <c r="D33" s="22">
        <f>INDEX(Data[],MATCH($A33,Data[Dist],0),MATCH(D$4,Data[#Headers],0))</f>
        <v>409501</v>
      </c>
      <c r="E33" s="22">
        <f>INDEX(Data[],MATCH($A33,Data[Dist],0),MATCH(E$4,Data[#Headers],0))</f>
        <v>42315</v>
      </c>
      <c r="F33" s="22">
        <f>INDEX(Data[],MATCH($A33,Data[Dist],0),MATCH(F$4,Data[#Headers],0))</f>
        <v>45231</v>
      </c>
      <c r="G33" s="22">
        <f>INDEX(Data[],MATCH($A33,Data[Dist],0),MATCH(G$4,Data[#Headers],0))</f>
        <v>222945</v>
      </c>
      <c r="H33" s="22">
        <f>INDEX(Data[],MATCH($A33,Data[Dist],0),MATCH(H$4,Data[#Headers],0))</f>
        <v>2870660</v>
      </c>
      <c r="I33" s="22">
        <f>INDEX(Data[],MATCH($A33,Data[Dist],0),MATCH(I$4,Data[#Headers],0))</f>
        <v>3815737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99628</v>
      </c>
      <c r="D34" s="22">
        <f>INDEX(Data[],MATCH($A34,Data[Dist],0),MATCH(D$4,Data[#Headers],0))</f>
        <v>475471</v>
      </c>
      <c r="E34" s="22">
        <f>INDEX(Data[],MATCH($A34,Data[Dist],0),MATCH(E$4,Data[#Headers],0))</f>
        <v>59195</v>
      </c>
      <c r="F34" s="22">
        <f>INDEX(Data[],MATCH($A34,Data[Dist],0),MATCH(F$4,Data[#Headers],0))</f>
        <v>50947</v>
      </c>
      <c r="G34" s="22">
        <f>INDEX(Data[],MATCH($A34,Data[Dist],0),MATCH(G$4,Data[#Headers],0))</f>
        <v>270497</v>
      </c>
      <c r="H34" s="22">
        <f>INDEX(Data[],MATCH($A34,Data[Dist],0),MATCH(H$4,Data[#Headers],0))</f>
        <v>3992800</v>
      </c>
      <c r="I34" s="22">
        <f>INDEX(Data[],MATCH($A34,Data[Dist],0),MATCH(I$4,Data[#Headers],0))</f>
        <v>4948538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25830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824648</v>
      </c>
      <c r="I35" s="22">
        <f>INDEX(Data[],MATCH($A35,Data[Dist],0),MATCH(I$4,Data[#Headers],0))</f>
        <v>1062283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361612</v>
      </c>
      <c r="D36" s="22">
        <f>INDEX(Data[],MATCH($A36,Data[Dist],0),MATCH(D$4,Data[#Headers],0))</f>
        <v>948342</v>
      </c>
      <c r="E36" s="22">
        <f>INDEX(Data[],MATCH($A36,Data[Dist],0),MATCH(E$4,Data[#Headers],0))</f>
        <v>99298</v>
      </c>
      <c r="F36" s="22">
        <f>INDEX(Data[],MATCH($A36,Data[Dist],0),MATCH(F$4,Data[#Headers],0))</f>
        <v>104586</v>
      </c>
      <c r="G36" s="22">
        <f>INDEX(Data[],MATCH($A36,Data[Dist],0),MATCH(G$4,Data[#Headers],0))</f>
        <v>540528</v>
      </c>
      <c r="H36" s="22">
        <f>INDEX(Data[],MATCH($A36,Data[Dist],0),MATCH(H$4,Data[#Headers],0))</f>
        <v>7081202</v>
      </c>
      <c r="I36" s="22">
        <f>INDEX(Data[],MATCH($A36,Data[Dist],0),MATCH(I$4,Data[#Headers],0))</f>
        <v>9135568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896650</v>
      </c>
      <c r="D37" s="22">
        <f>INDEX(Data[],MATCH($A37,Data[Dist],0),MATCH(D$4,Data[#Headers],0))</f>
        <v>2507021</v>
      </c>
      <c r="E37" s="22">
        <f>INDEX(Data[],MATCH($A37,Data[Dist],0),MATCH(E$4,Data[#Headers],0))</f>
        <v>290017</v>
      </c>
      <c r="F37" s="22">
        <f>INDEX(Data[],MATCH($A37,Data[Dist],0),MATCH(F$4,Data[#Headers],0))</f>
        <v>286700</v>
      </c>
      <c r="G37" s="22">
        <f>INDEX(Data[],MATCH($A37,Data[Dist],0),MATCH(G$4,Data[#Headers],0))</f>
        <v>1447051</v>
      </c>
      <c r="H37" s="22">
        <f>INDEX(Data[],MATCH($A37,Data[Dist],0),MATCH(H$4,Data[#Headers],0))</f>
        <v>21156188</v>
      </c>
      <c r="I37" s="22">
        <f>INDEX(Data[],MATCH($A37,Data[Dist],0),MATCH(I$4,Data[#Headers],0))</f>
        <v>26583627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191876</v>
      </c>
      <c r="D38" s="22">
        <f>INDEX(Data[],MATCH($A38,Data[Dist],0),MATCH(D$4,Data[#Headers],0))</f>
        <v>561891</v>
      </c>
      <c r="E38" s="22">
        <f>INDEX(Data[],MATCH($A38,Data[Dist],0),MATCH(E$4,Data[#Headers],0))</f>
        <v>72194</v>
      </c>
      <c r="F38" s="22">
        <f>INDEX(Data[],MATCH($A38,Data[Dist],0),MATCH(F$4,Data[#Headers],0))</f>
        <v>59803</v>
      </c>
      <c r="G38" s="22">
        <f>INDEX(Data[],MATCH($A38,Data[Dist],0),MATCH(G$4,Data[#Headers],0))</f>
        <v>309390</v>
      </c>
      <c r="H38" s="22">
        <f>INDEX(Data[],MATCH($A38,Data[Dist],0),MATCH(H$4,Data[#Headers],0))</f>
        <v>3559323</v>
      </c>
      <c r="I38" s="22">
        <f>INDEX(Data[],MATCH($A38,Data[Dist],0),MATCH(I$4,Data[#Headers],0))</f>
        <v>4754477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387442</v>
      </c>
      <c r="D39" s="22">
        <f>INDEX(Data[],MATCH($A39,Data[Dist],0),MATCH(D$4,Data[#Headers],0))</f>
        <v>1471574</v>
      </c>
      <c r="E39" s="22">
        <f>INDEX(Data[],MATCH($A39,Data[Dist],0),MATCH(E$4,Data[#Headers],0))</f>
        <v>178748</v>
      </c>
      <c r="F39" s="22">
        <f>INDEX(Data[],MATCH($A39,Data[Dist],0),MATCH(F$4,Data[#Headers],0))</f>
        <v>153663</v>
      </c>
      <c r="G39" s="22">
        <f>INDEX(Data[],MATCH($A39,Data[Dist],0),MATCH(G$4,Data[#Headers],0))</f>
        <v>867200</v>
      </c>
      <c r="H39" s="22">
        <f>INDEX(Data[],MATCH($A39,Data[Dist],0),MATCH(H$4,Data[#Headers],0))</f>
        <v>14460199</v>
      </c>
      <c r="I39" s="22">
        <f>INDEX(Data[],MATCH($A39,Data[Dist],0),MATCH(I$4,Data[#Headers],0))</f>
        <v>17518826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335783</v>
      </c>
      <c r="D40" s="22">
        <f>INDEX(Data[],MATCH($A40,Data[Dist],0),MATCH(D$4,Data[#Headers],0))</f>
        <v>1302544</v>
      </c>
      <c r="E40" s="22">
        <f>INDEX(Data[],MATCH($A40,Data[Dist],0),MATCH(E$4,Data[#Headers],0))</f>
        <v>149980</v>
      </c>
      <c r="F40" s="22">
        <f>INDEX(Data[],MATCH($A40,Data[Dist],0),MATCH(F$4,Data[#Headers],0))</f>
        <v>161091</v>
      </c>
      <c r="G40" s="22">
        <f>INDEX(Data[],MATCH($A40,Data[Dist],0),MATCH(G$4,Data[#Headers],0))</f>
        <v>722828</v>
      </c>
      <c r="H40" s="22">
        <f>INDEX(Data[],MATCH($A40,Data[Dist],0),MATCH(H$4,Data[#Headers],0))</f>
        <v>12754120</v>
      </c>
      <c r="I40" s="22">
        <f>INDEX(Data[],MATCH($A40,Data[Dist],0),MATCH(I$4,Data[#Headers],0))</f>
        <v>15426346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232465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2994676</v>
      </c>
      <c r="I41" s="22">
        <f>INDEX(Data[],MATCH($A41,Data[Dist],0),MATCH(I$4,Data[#Headers],0))</f>
        <v>3888400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118077</v>
      </c>
      <c r="D42" s="22">
        <f>INDEX(Data[],MATCH($A42,Data[Dist],0),MATCH(D$4,Data[#Headers],0))</f>
        <v>361161</v>
      </c>
      <c r="E42" s="22">
        <f>INDEX(Data[],MATCH($A42,Data[Dist],0),MATCH(E$4,Data[#Headers],0))</f>
        <v>41819</v>
      </c>
      <c r="F42" s="22">
        <f>INDEX(Data[],MATCH($A42,Data[Dist],0),MATCH(F$4,Data[#Headers],0))</f>
        <v>37400</v>
      </c>
      <c r="G42" s="22">
        <f>INDEX(Data[],MATCH($A42,Data[Dist],0),MATCH(G$4,Data[#Headers],0))</f>
        <v>201656</v>
      </c>
      <c r="H42" s="22">
        <f>INDEX(Data[],MATCH($A42,Data[Dist],0),MATCH(H$4,Data[#Headers],0))</f>
        <v>2466356</v>
      </c>
      <c r="I42" s="22">
        <f>INDEX(Data[],MATCH($A42,Data[Dist],0),MATCH(I$4,Data[#Headers],0))</f>
        <v>3226469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88558</v>
      </c>
      <c r="D43" s="22">
        <f>INDEX(Data[],MATCH($A43,Data[Dist],0),MATCH(D$4,Data[#Headers],0))</f>
        <v>353610</v>
      </c>
      <c r="E43" s="22">
        <f>INDEX(Data[],MATCH($A43,Data[Dist],0),MATCH(E$4,Data[#Headers],0))</f>
        <v>38476</v>
      </c>
      <c r="F43" s="22">
        <f>INDEX(Data[],MATCH($A43,Data[Dist],0),MATCH(F$4,Data[#Headers],0))</f>
        <v>35998</v>
      </c>
      <c r="G43" s="22">
        <f>INDEX(Data[],MATCH($A43,Data[Dist],0),MATCH(G$4,Data[#Headers],0))</f>
        <v>190278</v>
      </c>
      <c r="H43" s="22">
        <f>INDEX(Data[],MATCH($A43,Data[Dist],0),MATCH(H$4,Data[#Headers],0))</f>
        <v>2555057</v>
      </c>
      <c r="I43" s="22">
        <f>INDEX(Data[],MATCH($A43,Data[Dist],0),MATCH(I$4,Data[#Headers],0))</f>
        <v>3261977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110697</v>
      </c>
      <c r="D44" s="22">
        <f>INDEX(Data[],MATCH($A44,Data[Dist],0),MATCH(D$4,Data[#Headers],0))</f>
        <v>298695</v>
      </c>
      <c r="E44" s="22">
        <f>INDEX(Data[],MATCH($A44,Data[Dist],0),MATCH(E$4,Data[#Headers],0))</f>
        <v>31323</v>
      </c>
      <c r="F44" s="22">
        <f>INDEX(Data[],MATCH($A44,Data[Dist],0),MATCH(F$4,Data[#Headers],0))</f>
        <v>32655</v>
      </c>
      <c r="G44" s="22">
        <f>INDEX(Data[],MATCH($A44,Data[Dist],0),MATCH(G$4,Data[#Headers],0))</f>
        <v>158792</v>
      </c>
      <c r="H44" s="22">
        <f>INDEX(Data[],MATCH($A44,Data[Dist],0),MATCH(H$4,Data[#Headers],0))</f>
        <v>1516985</v>
      </c>
      <c r="I44" s="22">
        <f>INDEX(Data[],MATCH($A44,Data[Dist],0),MATCH(I$4,Data[#Headers],0))</f>
        <v>2149147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594077</v>
      </c>
      <c r="D45" s="22">
        <f>INDEX(Data[],MATCH($A45,Data[Dist],0),MATCH(D$4,Data[#Headers],0))</f>
        <v>2451094</v>
      </c>
      <c r="E45" s="22">
        <f>INDEX(Data[],MATCH($A45,Data[Dist],0),MATCH(E$4,Data[#Headers],0))</f>
        <v>332889</v>
      </c>
      <c r="F45" s="22">
        <f>INDEX(Data[],MATCH($A45,Data[Dist],0),MATCH(F$4,Data[#Headers],0))</f>
        <v>270181</v>
      </c>
      <c r="G45" s="22">
        <f>INDEX(Data[],MATCH($A45,Data[Dist],0),MATCH(G$4,Data[#Headers],0))</f>
        <v>1401431</v>
      </c>
      <c r="H45" s="22">
        <f>INDEX(Data[],MATCH($A45,Data[Dist],0),MATCH(H$4,Data[#Headers],0))</f>
        <v>26708458</v>
      </c>
      <c r="I45" s="22">
        <f>INDEX(Data[],MATCH($A45,Data[Dist],0),MATCH(I$4,Data[#Headers],0))</f>
        <v>31758130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47969</v>
      </c>
      <c r="D46" s="22">
        <f>INDEX(Data[],MATCH($A46,Data[Dist],0),MATCH(D$4,Data[#Headers],0))</f>
        <v>330773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1068832</v>
      </c>
      <c r="I46" s="22">
        <f>INDEX(Data[],MATCH($A46,Data[Dist],0),MATCH(I$4,Data[#Headers],0))</f>
        <v>1688160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66418</v>
      </c>
      <c r="D47" s="22">
        <f>INDEX(Data[],MATCH($A47,Data[Dist],0),MATCH(D$4,Data[#Headers],0))</f>
        <v>191837</v>
      </c>
      <c r="E47" s="22">
        <f>INDEX(Data[],MATCH($A47,Data[Dist],0),MATCH(E$4,Data[#Headers],0))</f>
        <v>21805</v>
      </c>
      <c r="F47" s="22">
        <f>INDEX(Data[],MATCH($A47,Data[Dist],0),MATCH(F$4,Data[#Headers],0))</f>
        <v>21180</v>
      </c>
      <c r="G47" s="22">
        <f>INDEX(Data[],MATCH($A47,Data[Dist],0),MATCH(G$4,Data[#Headers],0))</f>
        <v>96463</v>
      </c>
      <c r="H47" s="22">
        <f>INDEX(Data[],MATCH($A47,Data[Dist],0),MATCH(H$4,Data[#Headers],0))</f>
        <v>1382596</v>
      </c>
      <c r="I47" s="22">
        <f>INDEX(Data[],MATCH($A47,Data[Dist],0),MATCH(I$4,Data[#Headers],0))</f>
        <v>1780299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95938</v>
      </c>
      <c r="D48" s="22">
        <f>INDEX(Data[],MATCH($A48,Data[Dist],0),MATCH(D$4,Data[#Headers],0))</f>
        <v>267742</v>
      </c>
      <c r="E48" s="22">
        <f>INDEX(Data[],MATCH($A48,Data[Dist],0),MATCH(E$4,Data[#Headers],0))</f>
        <v>30944</v>
      </c>
      <c r="F48" s="22">
        <f>INDEX(Data[],MATCH($A48,Data[Dist],0),MATCH(F$4,Data[#Headers],0))</f>
        <v>29361</v>
      </c>
      <c r="G48" s="22">
        <f>INDEX(Data[],MATCH($A48,Data[Dist],0),MATCH(G$4,Data[#Headers],0))</f>
        <v>137503</v>
      </c>
      <c r="H48" s="22">
        <f>INDEX(Data[],MATCH($A48,Data[Dist],0),MATCH(H$4,Data[#Headers],0))</f>
        <v>1932479</v>
      </c>
      <c r="I48" s="22">
        <f>INDEX(Data[],MATCH($A48,Data[Dist],0),MATCH(I$4,Data[#Headers],0))</f>
        <v>2493967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177116</v>
      </c>
      <c r="D49" s="22">
        <f>INDEX(Data[],MATCH($A49,Data[Dist],0),MATCH(D$4,Data[#Headers],0))</f>
        <v>547667</v>
      </c>
      <c r="E49" s="22">
        <f>INDEX(Data[],MATCH($A49,Data[Dist],0),MATCH(E$4,Data[#Headers],0))</f>
        <v>68183</v>
      </c>
      <c r="F49" s="22">
        <f>INDEX(Data[],MATCH($A49,Data[Dist],0),MATCH(F$4,Data[#Headers],0))</f>
        <v>57813</v>
      </c>
      <c r="G49" s="22">
        <f>INDEX(Data[],MATCH($A49,Data[Dist],0),MATCH(G$4,Data[#Headers],0))</f>
        <v>302377</v>
      </c>
      <c r="H49" s="22">
        <f>INDEX(Data[],MATCH($A49,Data[Dist],0),MATCH(H$4,Data[#Headers],0))</f>
        <v>4319084</v>
      </c>
      <c r="I49" s="22">
        <f>INDEX(Data[],MATCH($A49,Data[Dist],0),MATCH(I$4,Data[#Headers],0))</f>
        <v>5472240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228775</v>
      </c>
      <c r="D50" s="22">
        <f>INDEX(Data[],MATCH($A50,Data[Dist],0),MATCH(D$4,Data[#Headers],0))</f>
        <v>386246</v>
      </c>
      <c r="E50" s="22">
        <f>INDEX(Data[],MATCH($A50,Data[Dist],0),MATCH(E$4,Data[#Headers],0))</f>
        <v>47981</v>
      </c>
      <c r="F50" s="22">
        <f>INDEX(Data[],MATCH($A50,Data[Dist],0),MATCH(F$4,Data[#Headers],0))</f>
        <v>36644</v>
      </c>
      <c r="G50" s="22">
        <f>INDEX(Data[],MATCH($A50,Data[Dist],0),MATCH(G$4,Data[#Headers],0))</f>
        <v>207918</v>
      </c>
      <c r="H50" s="22">
        <f>INDEX(Data[],MATCH($A50,Data[Dist],0),MATCH(H$4,Data[#Headers],0))</f>
        <v>3730118</v>
      </c>
      <c r="I50" s="22">
        <f>INDEX(Data[],MATCH($A50,Data[Dist],0),MATCH(I$4,Data[#Headers],0))</f>
        <v>4637682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394821</v>
      </c>
      <c r="D51" s="22">
        <f>INDEX(Data[],MATCH($A51,Data[Dist],0),MATCH(D$4,Data[#Headers],0))</f>
        <v>1222923</v>
      </c>
      <c r="E51" s="22">
        <f>INDEX(Data[],MATCH($A51,Data[Dist],0),MATCH(E$4,Data[#Headers],0))</f>
        <v>149235</v>
      </c>
      <c r="F51" s="22">
        <f>INDEX(Data[],MATCH($A51,Data[Dist],0),MATCH(F$4,Data[#Headers],0))</f>
        <v>126130</v>
      </c>
      <c r="G51" s="22">
        <f>INDEX(Data[],MATCH($A51,Data[Dist],0),MATCH(G$4,Data[#Headers],0))</f>
        <v>707800</v>
      </c>
      <c r="H51" s="22">
        <f>INDEX(Data[],MATCH($A51,Data[Dist],0),MATCH(H$4,Data[#Headers],0))</f>
        <v>12948278</v>
      </c>
      <c r="I51" s="22">
        <f>INDEX(Data[],MATCH($A51,Data[Dist],0),MATCH(I$4,Data[#Headers],0))</f>
        <v>15549187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697394</v>
      </c>
      <c r="D52" s="22">
        <f>INDEX(Data[],MATCH($A52,Data[Dist],0),MATCH(D$4,Data[#Headers],0))</f>
        <v>1031913</v>
      </c>
      <c r="E52" s="22">
        <f>INDEX(Data[],MATCH($A52,Data[Dist],0),MATCH(E$4,Data[#Headers],0))</f>
        <v>120266</v>
      </c>
      <c r="F52" s="22">
        <f>INDEX(Data[],MATCH($A52,Data[Dist],0),MATCH(F$4,Data[#Headers],0))</f>
        <v>118562</v>
      </c>
      <c r="G52" s="22">
        <f>INDEX(Data[],MATCH($A52,Data[Dist],0),MATCH(G$4,Data[#Headers],0))</f>
        <v>597741</v>
      </c>
      <c r="H52" s="22">
        <f>INDEX(Data[],MATCH($A52,Data[Dist],0),MATCH(H$4,Data[#Headers],0))</f>
        <v>7034589</v>
      </c>
      <c r="I52" s="22">
        <f>INDEX(Data[],MATCH($A52,Data[Dist],0),MATCH(I$4,Data[#Headers],0))</f>
        <v>9600465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616216</v>
      </c>
      <c r="D53" s="22">
        <f>INDEX(Data[],MATCH($A53,Data[Dist],0),MATCH(D$4,Data[#Headers],0))</f>
        <v>3475007</v>
      </c>
      <c r="E53" s="22">
        <f>INDEX(Data[],MATCH($A53,Data[Dist],0),MATCH(E$4,Data[#Headers],0))</f>
        <v>413261</v>
      </c>
      <c r="F53" s="22">
        <f>INDEX(Data[],MATCH($A53,Data[Dist],0),MATCH(F$4,Data[#Headers],0))</f>
        <v>410923</v>
      </c>
      <c r="G53" s="22">
        <f>INDEX(Data[],MATCH($A53,Data[Dist],0),MATCH(G$4,Data[#Headers],0))</f>
        <v>1991443</v>
      </c>
      <c r="H53" s="22">
        <f>INDEX(Data[],MATCH($A53,Data[Dist],0),MATCH(H$4,Data[#Headers],0))</f>
        <v>30670751</v>
      </c>
      <c r="I53" s="22">
        <f>INDEX(Data[],MATCH($A53,Data[Dist],0),MATCH(I$4,Data[#Headers],0))</f>
        <v>37577601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2560801</v>
      </c>
      <c r="D54" s="22">
        <f>INDEX(Data[],MATCH($A54,Data[Dist],0),MATCH(D$4,Data[#Headers],0))</f>
        <v>10046797</v>
      </c>
      <c r="E54" s="22">
        <f>INDEX(Data[],MATCH($A54,Data[Dist],0),MATCH(E$4,Data[#Headers],0))</f>
        <v>1288505</v>
      </c>
      <c r="F54" s="22">
        <f>INDEX(Data[],MATCH($A54,Data[Dist],0),MATCH(F$4,Data[#Headers],0))</f>
        <v>1181049</v>
      </c>
      <c r="G54" s="22">
        <f>INDEX(Data[],MATCH($A54,Data[Dist],0),MATCH(G$4,Data[#Headers],0))</f>
        <v>5755642</v>
      </c>
      <c r="H54" s="22">
        <f>INDEX(Data[],MATCH($A54,Data[Dist],0),MATCH(H$4,Data[#Headers],0))</f>
        <v>92470525</v>
      </c>
      <c r="I54" s="22">
        <f>INDEX(Data[],MATCH($A54,Data[Dist],0),MATCH(I$4,Data[#Headers],0))</f>
        <v>113303319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298884</v>
      </c>
      <c r="D55" s="22">
        <f>INDEX(Data[],MATCH($A55,Data[Dist],0),MATCH(D$4,Data[#Headers],0))</f>
        <v>790851</v>
      </c>
      <c r="E55" s="22">
        <f>INDEX(Data[],MATCH($A55,Data[Dist],0),MATCH(E$4,Data[#Headers],0))</f>
        <v>91093</v>
      </c>
      <c r="F55" s="22">
        <f>INDEX(Data[],MATCH($A55,Data[Dist],0),MATCH(F$4,Data[#Headers],0))</f>
        <v>87906</v>
      </c>
      <c r="G55" s="22">
        <f>INDEX(Data[],MATCH($A55,Data[Dist],0),MATCH(G$4,Data[#Headers],0))</f>
        <v>449003</v>
      </c>
      <c r="H55" s="22">
        <f>INDEX(Data[],MATCH($A55,Data[Dist],0),MATCH(H$4,Data[#Headers],0))</f>
        <v>7612559</v>
      </c>
      <c r="I55" s="22">
        <f>INDEX(Data[],MATCH($A55,Data[Dist],0),MATCH(I$4,Data[#Headers],0))</f>
        <v>9330296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273054</v>
      </c>
      <c r="D56" s="22">
        <f>INDEX(Data[],MATCH($A56,Data[Dist],0),MATCH(D$4,Data[#Headers],0))</f>
        <v>842981</v>
      </c>
      <c r="E56" s="22">
        <f>INDEX(Data[],MATCH($A56,Data[Dist],0),MATCH(E$4,Data[#Headers],0))</f>
        <v>102321</v>
      </c>
      <c r="F56" s="22">
        <f>INDEX(Data[],MATCH($A56,Data[Dist],0),MATCH(F$4,Data[#Headers],0))</f>
        <v>96555</v>
      </c>
      <c r="G56" s="22">
        <f>INDEX(Data[],MATCH($A56,Data[Dist],0),MATCH(G$4,Data[#Headers],0))</f>
        <v>474228</v>
      </c>
      <c r="H56" s="22">
        <f>INDEX(Data[],MATCH($A56,Data[Dist],0),MATCH(H$4,Data[#Headers],0))</f>
        <v>8735439</v>
      </c>
      <c r="I56" s="22">
        <f>INDEX(Data[],MATCH($A56,Data[Dist],0),MATCH(I$4,Data[#Headers],0))</f>
        <v>10524578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261984</v>
      </c>
      <c r="D57" s="22">
        <f>INDEX(Data[],MATCH($A57,Data[Dist],0),MATCH(D$4,Data[#Headers],0))</f>
        <v>515545</v>
      </c>
      <c r="E57" s="22">
        <f>INDEX(Data[],MATCH($A57,Data[Dist],0),MATCH(E$4,Data[#Headers],0))</f>
        <v>56942</v>
      </c>
      <c r="F57" s="22">
        <f>INDEX(Data[],MATCH($A57,Data[Dist],0),MATCH(F$4,Data[#Headers],0))</f>
        <v>65515</v>
      </c>
      <c r="G57" s="22">
        <f>INDEX(Data[],MATCH($A57,Data[Dist],0),MATCH(G$4,Data[#Headers],0))</f>
        <v>278333</v>
      </c>
      <c r="H57" s="22">
        <f>INDEX(Data[],MATCH($A57,Data[Dist],0),MATCH(H$4,Data[#Headers],0))</f>
        <v>3698760</v>
      </c>
      <c r="I57" s="22">
        <f>INDEX(Data[],MATCH($A57,Data[Dist],0),MATCH(I$4,Data[#Headers],0))</f>
        <v>4877079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84869</v>
      </c>
      <c r="D58" s="22">
        <f>INDEX(Data[],MATCH($A58,Data[Dist],0),MATCH(D$4,Data[#Headers],0))</f>
        <v>284818</v>
      </c>
      <c r="E58" s="22">
        <f>INDEX(Data[],MATCH($A58,Data[Dist],0),MATCH(E$4,Data[#Headers],0))</f>
        <v>29618</v>
      </c>
      <c r="F58" s="22">
        <f>INDEX(Data[],MATCH($A58,Data[Dist],0),MATCH(F$4,Data[#Headers],0))</f>
        <v>29723</v>
      </c>
      <c r="G58" s="22">
        <f>INDEX(Data[],MATCH($A58,Data[Dist],0),MATCH(G$4,Data[#Headers],0))</f>
        <v>156466</v>
      </c>
      <c r="H58" s="22">
        <f>INDEX(Data[],MATCH($A58,Data[Dist],0),MATCH(H$4,Data[#Headers],0))</f>
        <v>2188375</v>
      </c>
      <c r="I58" s="22">
        <f>INDEX(Data[],MATCH($A58,Data[Dist],0),MATCH(I$4,Data[#Headers],0))</f>
        <v>2773869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328403</v>
      </c>
      <c r="D59" s="22">
        <f>INDEX(Data[],MATCH($A59,Data[Dist],0),MATCH(D$4,Data[#Headers],0))</f>
        <v>949974</v>
      </c>
      <c r="E59" s="22">
        <f>INDEX(Data[],MATCH($A59,Data[Dist],0),MATCH(E$4,Data[#Headers],0))</f>
        <v>98941</v>
      </c>
      <c r="F59" s="22">
        <f>INDEX(Data[],MATCH($A59,Data[Dist],0),MATCH(F$4,Data[#Headers],0))</f>
        <v>103308</v>
      </c>
      <c r="G59" s="22">
        <f>INDEX(Data[],MATCH($A59,Data[Dist],0),MATCH(G$4,Data[#Headers],0))</f>
        <v>522603</v>
      </c>
      <c r="H59" s="22">
        <f>INDEX(Data[],MATCH($A59,Data[Dist],0),MATCH(H$4,Data[#Headers],0))</f>
        <v>7975056</v>
      </c>
      <c r="I59" s="22">
        <f>INDEX(Data[],MATCH($A59,Data[Dist],0),MATCH(I$4,Data[#Headers],0))</f>
        <v>9978285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70109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2645810</v>
      </c>
      <c r="I60" s="22">
        <f>INDEX(Data[],MATCH($A60,Data[Dist],0),MATCH(I$4,Data[#Headers],0))</f>
        <v>3271229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154976</v>
      </c>
      <c r="D61" s="22">
        <f>INDEX(Data[],MATCH($A61,Data[Dist],0),MATCH(D$4,Data[#Headers],0))</f>
        <v>424927</v>
      </c>
      <c r="E61" s="22">
        <f>INDEX(Data[],MATCH($A61,Data[Dist],0),MATCH(E$4,Data[#Headers],0))</f>
        <v>56680</v>
      </c>
      <c r="F61" s="22">
        <f>INDEX(Data[],MATCH($A61,Data[Dist],0),MATCH(F$4,Data[#Headers],0))</f>
        <v>44281</v>
      </c>
      <c r="G61" s="22">
        <f>INDEX(Data[],MATCH($A61,Data[Dist],0),MATCH(G$4,Data[#Headers],0))</f>
        <v>230352</v>
      </c>
      <c r="H61" s="22">
        <f>INDEX(Data[],MATCH($A61,Data[Dist],0),MATCH(H$4,Data[#Headers],0))</f>
        <v>4387186</v>
      </c>
      <c r="I61" s="22">
        <f>INDEX(Data[],MATCH($A61,Data[Dist],0),MATCH(I$4,Data[#Headers],0))</f>
        <v>5298402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162356</v>
      </c>
      <c r="D62" s="22">
        <f>INDEX(Data[],MATCH($A62,Data[Dist],0),MATCH(D$4,Data[#Headers],0))</f>
        <v>470739</v>
      </c>
      <c r="E62" s="22">
        <f>INDEX(Data[],MATCH($A62,Data[Dist],0),MATCH(E$4,Data[#Headers],0))</f>
        <v>50817</v>
      </c>
      <c r="F62" s="22">
        <f>INDEX(Data[],MATCH($A62,Data[Dist],0),MATCH(F$4,Data[#Headers],0))</f>
        <v>54152</v>
      </c>
      <c r="G62" s="22">
        <f>INDEX(Data[],MATCH($A62,Data[Dist],0),MATCH(G$4,Data[#Headers],0))</f>
        <v>271785</v>
      </c>
      <c r="H62" s="22">
        <f>INDEX(Data[],MATCH($A62,Data[Dist],0),MATCH(H$4,Data[#Headers],0))</f>
        <v>3932955</v>
      </c>
      <c r="I62" s="22">
        <f>INDEX(Data[],MATCH($A62,Data[Dist],0),MATCH(I$4,Data[#Headers],0))</f>
        <v>4942804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247225</v>
      </c>
      <c r="D63" s="22">
        <f>INDEX(Data[],MATCH($A63,Data[Dist],0),MATCH(D$4,Data[#Headers],0))</f>
        <v>784015</v>
      </c>
      <c r="E63" s="22">
        <f>INDEX(Data[],MATCH($A63,Data[Dist],0),MATCH(E$4,Data[#Headers],0))</f>
        <v>107147</v>
      </c>
      <c r="F63" s="22">
        <f>INDEX(Data[],MATCH($A63,Data[Dist],0),MATCH(F$4,Data[#Headers],0))</f>
        <v>84267</v>
      </c>
      <c r="G63" s="22">
        <f>INDEX(Data[],MATCH($A63,Data[Dist],0),MATCH(G$4,Data[#Headers],0))</f>
        <v>448073</v>
      </c>
      <c r="H63" s="22">
        <f>INDEX(Data[],MATCH($A63,Data[Dist],0),MATCH(H$4,Data[#Headers],0))</f>
        <v>7603609</v>
      </c>
      <c r="I63" s="22">
        <f>INDEX(Data[],MATCH($A63,Data[Dist],0),MATCH(I$4,Data[#Headers],0))</f>
        <v>9274336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269364</v>
      </c>
      <c r="D64" s="22">
        <f>INDEX(Data[],MATCH($A64,Data[Dist],0),MATCH(D$4,Data[#Headers],0))</f>
        <v>985569</v>
      </c>
      <c r="E64" s="22">
        <f>INDEX(Data[],MATCH($A64,Data[Dist],0),MATCH(E$4,Data[#Headers],0))</f>
        <v>115468</v>
      </c>
      <c r="F64" s="22">
        <f>INDEX(Data[],MATCH($A64,Data[Dist],0),MATCH(F$4,Data[#Headers],0))</f>
        <v>116028</v>
      </c>
      <c r="G64" s="22">
        <f>INDEX(Data[],MATCH($A64,Data[Dist],0),MATCH(G$4,Data[#Headers],0))</f>
        <v>556200</v>
      </c>
      <c r="H64" s="22">
        <f>INDEX(Data[],MATCH($A64,Data[Dist],0),MATCH(H$4,Data[#Headers],0))</f>
        <v>8943412</v>
      </c>
      <c r="I64" s="22">
        <f>INDEX(Data[],MATCH($A64,Data[Dist],0),MATCH(I$4,Data[#Headers],0))</f>
        <v>10986041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44279</v>
      </c>
      <c r="D65" s="22">
        <f>INDEX(Data[],MATCH($A65,Data[Dist],0),MATCH(D$4,Data[#Headers],0))</f>
        <v>193821</v>
      </c>
      <c r="E65" s="22">
        <f>INDEX(Data[],MATCH($A65,Data[Dist],0),MATCH(E$4,Data[#Headers],0))</f>
        <v>22376</v>
      </c>
      <c r="F65" s="22">
        <f>INDEX(Data[],MATCH($A65,Data[Dist],0),MATCH(F$4,Data[#Headers],0))</f>
        <v>20431</v>
      </c>
      <c r="G65" s="22">
        <f>INDEX(Data[],MATCH($A65,Data[Dist],0),MATCH(G$4,Data[#Headers],0))</f>
        <v>98681</v>
      </c>
      <c r="H65" s="22">
        <f>INDEX(Data[],MATCH($A65,Data[Dist],0),MATCH(H$4,Data[#Headers],0))</f>
        <v>1181964</v>
      </c>
      <c r="I65" s="22">
        <f>INDEX(Data[],MATCH($A65,Data[Dist],0),MATCH(I$4,Data[#Headers],0))</f>
        <v>1561552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110697</v>
      </c>
      <c r="D66" s="22">
        <f>INDEX(Data[],MATCH($A66,Data[Dist],0),MATCH(D$4,Data[#Headers],0))</f>
        <v>672705</v>
      </c>
      <c r="E66" s="22">
        <f>INDEX(Data[],MATCH($A66,Data[Dist],0),MATCH(E$4,Data[#Headers],0))</f>
        <v>81060</v>
      </c>
      <c r="F66" s="22">
        <f>INDEX(Data[],MATCH($A66,Data[Dist],0),MATCH(F$4,Data[#Headers],0))</f>
        <v>75708</v>
      </c>
      <c r="G66" s="22">
        <f>INDEX(Data[],MATCH($A66,Data[Dist],0),MATCH(G$4,Data[#Headers],0))</f>
        <v>371074</v>
      </c>
      <c r="H66" s="22">
        <f>INDEX(Data[],MATCH($A66,Data[Dist],0),MATCH(H$4,Data[#Headers],0))</f>
        <v>6151012</v>
      </c>
      <c r="I66" s="22">
        <f>INDEX(Data[],MATCH($A66,Data[Dist],0),MATCH(I$4,Data[#Headers],0))</f>
        <v>7462256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125457</v>
      </c>
      <c r="D67" s="22">
        <f>INDEX(Data[],MATCH($A67,Data[Dist],0),MATCH(D$4,Data[#Headers],0))</f>
        <v>596334</v>
      </c>
      <c r="E67" s="22">
        <f>INDEX(Data[],MATCH($A67,Data[Dist],0),MATCH(E$4,Data[#Headers],0))</f>
        <v>66457</v>
      </c>
      <c r="F67" s="22">
        <f>INDEX(Data[],MATCH($A67,Data[Dist],0),MATCH(F$4,Data[#Headers],0))</f>
        <v>57279</v>
      </c>
      <c r="G67" s="22">
        <f>INDEX(Data[],MATCH($A67,Data[Dist],0),MATCH(G$4,Data[#Headers],0))</f>
        <v>346422</v>
      </c>
      <c r="H67" s="22">
        <f>INDEX(Data[],MATCH($A67,Data[Dist],0),MATCH(H$4,Data[#Headers],0))</f>
        <v>5511291</v>
      </c>
      <c r="I67" s="22">
        <f>INDEX(Data[],MATCH($A67,Data[Dist],0),MATCH(I$4,Data[#Headers],0))</f>
        <v>6703240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228775</v>
      </c>
      <c r="D68" s="22">
        <f>INDEX(Data[],MATCH($A68,Data[Dist],0),MATCH(D$4,Data[#Headers],0))</f>
        <v>636123</v>
      </c>
      <c r="E68" s="22">
        <f>INDEX(Data[],MATCH($A68,Data[Dist],0),MATCH(E$4,Data[#Headers],0))</f>
        <v>78189</v>
      </c>
      <c r="F68" s="22">
        <f>INDEX(Data[],MATCH($A68,Data[Dist],0),MATCH(F$4,Data[#Headers],0))</f>
        <v>71708</v>
      </c>
      <c r="G68" s="22">
        <f>INDEX(Data[],MATCH($A68,Data[Dist],0),MATCH(G$4,Data[#Headers],0))</f>
        <v>352433</v>
      </c>
      <c r="H68" s="22">
        <f>INDEX(Data[],MATCH($A68,Data[Dist],0),MATCH(H$4,Data[#Headers],0))</f>
        <v>4733917</v>
      </c>
      <c r="I68" s="22">
        <f>INDEX(Data[],MATCH($A68,Data[Dist],0),MATCH(I$4,Data[#Headers],0))</f>
        <v>6101145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228775</v>
      </c>
      <c r="D69" s="22">
        <f>INDEX(Data[],MATCH($A69,Data[Dist],0),MATCH(D$4,Data[#Headers],0))</f>
        <v>894213</v>
      </c>
      <c r="E69" s="22">
        <f>INDEX(Data[],MATCH($A69,Data[Dist],0),MATCH(E$4,Data[#Headers],0))</f>
        <v>116724</v>
      </c>
      <c r="F69" s="22">
        <f>INDEX(Data[],MATCH($A69,Data[Dist],0),MATCH(F$4,Data[#Headers],0))</f>
        <v>93162</v>
      </c>
      <c r="G69" s="22">
        <f>INDEX(Data[],MATCH($A69,Data[Dist],0),MATCH(G$4,Data[#Headers],0))</f>
        <v>503604</v>
      </c>
      <c r="H69" s="22">
        <f>INDEX(Data[],MATCH($A69,Data[Dist],0),MATCH(H$4,Data[#Headers],0))</f>
        <v>8905644</v>
      </c>
      <c r="I69" s="22">
        <f>INDEX(Data[],MATCH($A69,Data[Dist],0),MATCH(I$4,Data[#Headers],0))</f>
        <v>10742122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36899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1650366</v>
      </c>
      <c r="I70" s="22">
        <f>INDEX(Data[],MATCH($A70,Data[Dist],0),MATCH(I$4,Data[#Headers],0))</f>
        <v>2050587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40590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767616</v>
      </c>
      <c r="I71" s="22">
        <f>INDEX(Data[],MATCH($A71,Data[Dist],0),MATCH(I$4,Data[#Headers],0))</f>
        <v>1175463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660495</v>
      </c>
      <c r="D72" s="22">
        <f>INDEX(Data[],MATCH($A72,Data[Dist],0),MATCH(D$4,Data[#Headers],0))</f>
        <v>1785276</v>
      </c>
      <c r="E72" s="22">
        <f>INDEX(Data[],MATCH($A72,Data[Dist],0),MATCH(E$4,Data[#Headers],0))</f>
        <v>179563</v>
      </c>
      <c r="F72" s="22">
        <f>INDEX(Data[],MATCH($A72,Data[Dist],0),MATCH(F$4,Data[#Headers],0))</f>
        <v>194811</v>
      </c>
      <c r="G72" s="22">
        <f>INDEX(Data[],MATCH($A72,Data[Dist],0),MATCH(G$4,Data[#Headers],0))</f>
        <v>1001053</v>
      </c>
      <c r="H72" s="22">
        <f>INDEX(Data[],MATCH($A72,Data[Dist],0),MATCH(H$4,Data[#Headers],0))</f>
        <v>14027268</v>
      </c>
      <c r="I72" s="22">
        <f>INDEX(Data[],MATCH($A72,Data[Dist],0),MATCH(I$4,Data[#Headers],0))</f>
        <v>17848466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232465</v>
      </c>
      <c r="D73" s="22">
        <f>INDEX(Data[],MATCH($A73,Data[Dist],0),MATCH(D$4,Data[#Headers],0))</f>
        <v>729176</v>
      </c>
      <c r="E73" s="22">
        <f>INDEX(Data[],MATCH($A73,Data[Dist],0),MATCH(E$4,Data[#Headers],0))</f>
        <v>84142</v>
      </c>
      <c r="F73" s="22">
        <f>INDEX(Data[],MATCH($A73,Data[Dist],0),MATCH(F$4,Data[#Headers],0))</f>
        <v>80319</v>
      </c>
      <c r="G73" s="22">
        <f>INDEX(Data[],MATCH($A73,Data[Dist],0),MATCH(G$4,Data[#Headers],0))</f>
        <v>424744</v>
      </c>
      <c r="H73" s="22">
        <f>INDEX(Data[],MATCH($A73,Data[Dist],0),MATCH(H$4,Data[#Headers],0))</f>
        <v>4035130</v>
      </c>
      <c r="I73" s="22">
        <f>INDEX(Data[],MATCH($A73,Data[Dist],0),MATCH(I$4,Data[#Headers],0))</f>
        <v>5585976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671565</v>
      </c>
      <c r="D74" s="22">
        <f>INDEX(Data[],MATCH($A74,Data[Dist],0),MATCH(D$4,Data[#Headers],0))</f>
        <v>2301063</v>
      </c>
      <c r="E74" s="22">
        <f>INDEX(Data[],MATCH($A74,Data[Dist],0),MATCH(E$4,Data[#Headers],0))</f>
        <v>306801</v>
      </c>
      <c r="F74" s="22">
        <f>INDEX(Data[],MATCH($A74,Data[Dist],0),MATCH(F$4,Data[#Headers],0))</f>
        <v>264789</v>
      </c>
      <c r="G74" s="22">
        <f>INDEX(Data[],MATCH($A74,Data[Dist],0),MATCH(G$4,Data[#Headers],0))</f>
        <v>1292517</v>
      </c>
      <c r="H74" s="22">
        <f>INDEX(Data[],MATCH($A74,Data[Dist],0),MATCH(H$4,Data[#Headers],0))</f>
        <v>25316562</v>
      </c>
      <c r="I74" s="22">
        <f>INDEX(Data[],MATCH($A74,Data[Dist],0),MATCH(I$4,Data[#Headers],0))</f>
        <v>30153297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173427</v>
      </c>
      <c r="D75" s="22">
        <f>INDEX(Data[],MATCH($A75,Data[Dist],0),MATCH(D$4,Data[#Headers],0))</f>
        <v>461480</v>
      </c>
      <c r="E75" s="22">
        <f>INDEX(Data[],MATCH($A75,Data[Dist],0),MATCH(E$4,Data[#Headers],0))</f>
        <v>53361</v>
      </c>
      <c r="F75" s="22">
        <f>INDEX(Data[],MATCH($A75,Data[Dist],0),MATCH(F$4,Data[#Headers],0))</f>
        <v>45806</v>
      </c>
      <c r="G75" s="22">
        <f>INDEX(Data[],MATCH($A75,Data[Dist],0),MATCH(G$4,Data[#Headers],0))</f>
        <v>259942</v>
      </c>
      <c r="H75" s="22">
        <f>INDEX(Data[],MATCH($A75,Data[Dist],0),MATCH(H$4,Data[#Headers],0))</f>
        <v>4061923</v>
      </c>
      <c r="I75" s="22">
        <f>INDEX(Data[],MATCH($A75,Data[Dist],0),MATCH(I$4,Data[#Headers],0))</f>
        <v>5055939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1011037</v>
      </c>
      <c r="D76" s="22">
        <f>INDEX(Data[],MATCH($A76,Data[Dist],0),MATCH(D$4,Data[#Headers],0))</f>
        <v>3112917</v>
      </c>
      <c r="E76" s="22">
        <f>INDEX(Data[],MATCH($A76,Data[Dist],0),MATCH(E$4,Data[#Headers],0))</f>
        <v>400775</v>
      </c>
      <c r="F76" s="22">
        <f>INDEX(Data[],MATCH($A76,Data[Dist],0),MATCH(F$4,Data[#Headers],0))</f>
        <v>381739</v>
      </c>
      <c r="G76" s="22">
        <f>INDEX(Data[],MATCH($A76,Data[Dist],0),MATCH(G$4,Data[#Headers],0))</f>
        <v>1835836</v>
      </c>
      <c r="H76" s="22">
        <f>INDEX(Data[],MATCH($A76,Data[Dist],0),MATCH(H$4,Data[#Headers],0))</f>
        <v>25563756</v>
      </c>
      <c r="I76" s="22">
        <f>INDEX(Data[],MATCH($A76,Data[Dist],0),MATCH(I$4,Data[#Headers],0))</f>
        <v>32306060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51659</v>
      </c>
      <c r="D77" s="22">
        <f>INDEX(Data[],MATCH($A77,Data[Dist],0),MATCH(D$4,Data[#Headers],0))</f>
        <v>304908</v>
      </c>
      <c r="E77" s="22">
        <f>INDEX(Data[],MATCH($A77,Data[Dist],0),MATCH(E$4,Data[#Headers],0))</f>
        <v>34326</v>
      </c>
      <c r="F77" s="22">
        <f>INDEX(Data[],MATCH($A77,Data[Dist],0),MATCH(F$4,Data[#Headers],0))</f>
        <v>31432</v>
      </c>
      <c r="G77" s="22">
        <f>INDEX(Data[],MATCH($A77,Data[Dist],0),MATCH(G$4,Data[#Headers],0))</f>
        <v>166735</v>
      </c>
      <c r="H77" s="22">
        <f>INDEX(Data[],MATCH($A77,Data[Dist],0),MATCH(H$4,Data[#Headers],0))</f>
        <v>2483535</v>
      </c>
      <c r="I77" s="22">
        <f>INDEX(Data[],MATCH($A77,Data[Dist],0),MATCH(I$4,Data[#Headers],0))</f>
        <v>3072595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84869</v>
      </c>
      <c r="D78" s="22">
        <f>INDEX(Data[],MATCH($A78,Data[Dist],0),MATCH(D$4,Data[#Headers],0))</f>
        <v>330025</v>
      </c>
      <c r="E78" s="22">
        <f>INDEX(Data[],MATCH($A78,Data[Dist],0),MATCH(E$4,Data[#Headers],0))</f>
        <v>35485</v>
      </c>
      <c r="F78" s="22">
        <f>INDEX(Data[],MATCH($A78,Data[Dist],0),MATCH(F$4,Data[#Headers],0))</f>
        <v>33359</v>
      </c>
      <c r="G78" s="22">
        <f>INDEX(Data[],MATCH($A78,Data[Dist],0),MATCH(G$4,Data[#Headers],0))</f>
        <v>172460</v>
      </c>
      <c r="H78" s="22">
        <f>INDEX(Data[],MATCH($A78,Data[Dist],0),MATCH(H$4,Data[#Headers],0))</f>
        <v>1838351</v>
      </c>
      <c r="I78" s="22">
        <f>INDEX(Data[],MATCH($A78,Data[Dist],0),MATCH(I$4,Data[#Headers],0))</f>
        <v>2494549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118077</v>
      </c>
      <c r="D79" s="22">
        <f>INDEX(Data[],MATCH($A79,Data[Dist],0),MATCH(D$4,Data[#Headers],0))</f>
        <v>507639</v>
      </c>
      <c r="E79" s="22">
        <f>INDEX(Data[],MATCH($A79,Data[Dist],0),MATCH(E$4,Data[#Headers],0))</f>
        <v>62671</v>
      </c>
      <c r="F79" s="22">
        <f>INDEX(Data[],MATCH($A79,Data[Dist],0),MATCH(F$4,Data[#Headers],0))</f>
        <v>60203</v>
      </c>
      <c r="G79" s="22">
        <f>INDEX(Data[],MATCH($A79,Data[Dist],0),MATCH(G$4,Data[#Headers],0))</f>
        <v>270783</v>
      </c>
      <c r="H79" s="22">
        <f>INDEX(Data[],MATCH($A79,Data[Dist],0),MATCH(H$4,Data[#Headers],0))</f>
        <v>4592891</v>
      </c>
      <c r="I79" s="22">
        <f>INDEX(Data[],MATCH($A79,Data[Dist],0),MATCH(I$4,Data[#Headers],0))</f>
        <v>5612264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99628</v>
      </c>
      <c r="D80" s="22">
        <f>INDEX(Data[],MATCH($A80,Data[Dist],0),MATCH(D$4,Data[#Headers],0))</f>
        <v>304122</v>
      </c>
      <c r="E80" s="22">
        <f>INDEX(Data[],MATCH($A80,Data[Dist],0),MATCH(E$4,Data[#Headers],0))</f>
        <v>35116</v>
      </c>
      <c r="F80" s="22">
        <f>INDEX(Data[],MATCH($A80,Data[Dist],0),MATCH(F$4,Data[#Headers],0))</f>
        <v>32670</v>
      </c>
      <c r="G80" s="22">
        <f>INDEX(Data[],MATCH($A80,Data[Dist],0),MATCH(G$4,Data[#Headers],0))</f>
        <v>152781</v>
      </c>
      <c r="H80" s="22">
        <f>INDEX(Data[],MATCH($A80,Data[Dist],0),MATCH(H$4,Data[#Headers],0))</f>
        <v>2170831</v>
      </c>
      <c r="I80" s="22">
        <f>INDEX(Data[],MATCH($A80,Data[Dist],0),MATCH(I$4,Data[#Headers],0))</f>
        <v>2795148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132837</v>
      </c>
      <c r="D81" s="22">
        <f>INDEX(Data[],MATCH($A81,Data[Dist],0),MATCH(D$4,Data[#Headers],0))</f>
        <v>296359</v>
      </c>
      <c r="E81" s="22">
        <f>INDEX(Data[],MATCH($A81,Data[Dist],0),MATCH(E$4,Data[#Headers],0))</f>
        <v>35479</v>
      </c>
      <c r="F81" s="22">
        <f>INDEX(Data[],MATCH($A81,Data[Dist],0),MATCH(F$4,Data[#Headers],0))</f>
        <v>30192</v>
      </c>
      <c r="G81" s="22">
        <f>INDEX(Data[],MATCH($A81,Data[Dist],0),MATCH(G$4,Data[#Headers],0))</f>
        <v>147557</v>
      </c>
      <c r="H81" s="22">
        <f>INDEX(Data[],MATCH($A81,Data[Dist],0),MATCH(H$4,Data[#Headers],0))</f>
        <v>1542239</v>
      </c>
      <c r="I81" s="22">
        <f>INDEX(Data[],MATCH($A81,Data[Dist],0),MATCH(I$4,Data[#Headers],0))</f>
        <v>2184663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1424307</v>
      </c>
      <c r="D82" s="22">
        <f>INDEX(Data[],MATCH($A82,Data[Dist],0),MATCH(D$4,Data[#Headers],0))</f>
        <v>5323981</v>
      </c>
      <c r="E82" s="22">
        <f>INDEX(Data[],MATCH($A82,Data[Dist],0),MATCH(E$4,Data[#Headers],0))</f>
        <v>779375</v>
      </c>
      <c r="F82" s="22">
        <f>INDEX(Data[],MATCH($A82,Data[Dist],0),MATCH(F$4,Data[#Headers],0))</f>
        <v>616681</v>
      </c>
      <c r="G82" s="22">
        <f>INDEX(Data[],MATCH($A82,Data[Dist],0),MATCH(G$4,Data[#Headers],0))</f>
        <v>3108602</v>
      </c>
      <c r="H82" s="22">
        <f>INDEX(Data[],MATCH($A82,Data[Dist],0),MATCH(H$4,Data[#Headers],0))</f>
        <v>60856669</v>
      </c>
      <c r="I82" s="22">
        <f>INDEX(Data[],MATCH($A82,Data[Dist],0),MATCH(I$4,Data[#Headers],0))</f>
        <v>72109615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295193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8027565</v>
      </c>
      <c r="I83" s="22">
        <f>INDEX(Data[],MATCH($A83,Data[Dist],0),MATCH(I$4,Data[#Headers],0))</f>
        <v>9976587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597766</v>
      </c>
      <c r="D84" s="22">
        <f>INDEX(Data[],MATCH($A84,Data[Dist],0),MATCH(D$4,Data[#Headers],0))</f>
        <v>2068161</v>
      </c>
      <c r="E84" s="22">
        <f>INDEX(Data[],MATCH($A84,Data[Dist],0),MATCH(E$4,Data[#Headers],0))</f>
        <v>246310</v>
      </c>
      <c r="F84" s="22">
        <f>INDEX(Data[],MATCH($A84,Data[Dist],0),MATCH(F$4,Data[#Headers],0))</f>
        <v>219530</v>
      </c>
      <c r="G84" s="22">
        <f>INDEX(Data[],MATCH($A84,Data[Dist],0),MATCH(G$4,Data[#Headers],0))</f>
        <v>1214409</v>
      </c>
      <c r="H84" s="22">
        <f>INDEX(Data[],MATCH($A84,Data[Dist],0),MATCH(H$4,Data[#Headers],0))</f>
        <v>18263827</v>
      </c>
      <c r="I84" s="22">
        <f>INDEX(Data[],MATCH($A84,Data[Dist],0),MATCH(I$4,Data[#Headers],0))</f>
        <v>22610003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73798</v>
      </c>
      <c r="D85" s="22">
        <f>INDEX(Data[],MATCH($A85,Data[Dist],0),MATCH(D$4,Data[#Headers],0))</f>
        <v>307306</v>
      </c>
      <c r="E85" s="22">
        <f>INDEX(Data[],MATCH($A85,Data[Dist],0),MATCH(E$4,Data[#Headers],0))</f>
        <v>37231</v>
      </c>
      <c r="F85" s="22">
        <f>INDEX(Data[],MATCH($A85,Data[Dist],0),MATCH(F$4,Data[#Headers],0))</f>
        <v>33447</v>
      </c>
      <c r="G85" s="22">
        <f>INDEX(Data[],MATCH($A85,Data[Dist],0),MATCH(G$4,Data[#Headers],0))</f>
        <v>168915</v>
      </c>
      <c r="H85" s="22">
        <f>INDEX(Data[],MATCH($A85,Data[Dist],0),MATCH(H$4,Data[#Headers],0))</f>
        <v>2591861</v>
      </c>
      <c r="I85" s="22">
        <f>INDEX(Data[],MATCH($A85,Data[Dist],0),MATCH(I$4,Data[#Headers],0))</f>
        <v>3212558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2461632</v>
      </c>
      <c r="D86" s="22">
        <f>INDEX(Data[],MATCH($A86,Data[Dist],0),MATCH(D$4,Data[#Headers],0))</f>
        <v>8981644</v>
      </c>
      <c r="E86" s="22">
        <f>INDEX(Data[],MATCH($A86,Data[Dist],0),MATCH(E$4,Data[#Headers],0))</f>
        <v>1286180</v>
      </c>
      <c r="F86" s="22">
        <f>INDEX(Data[],MATCH($A86,Data[Dist],0),MATCH(F$4,Data[#Headers],0))</f>
        <v>1098961</v>
      </c>
      <c r="G86" s="22">
        <f>INDEX(Data[],MATCH($A86,Data[Dist],0),MATCH(G$4,Data[#Headers],0))</f>
        <v>5156828</v>
      </c>
      <c r="H86" s="22">
        <f>INDEX(Data[],MATCH($A86,Data[Dist],0),MATCH(H$4,Data[#Headers],0))</f>
        <v>86615140</v>
      </c>
      <c r="I86" s="22">
        <f>INDEX(Data[],MATCH($A86,Data[Dist],0),MATCH(I$4,Data[#Headers],0))</f>
        <v>105600385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206635</v>
      </c>
      <c r="D87" s="22">
        <f>INDEX(Data[],MATCH($A87,Data[Dist],0),MATCH(D$4,Data[#Headers],0))</f>
        <v>756575</v>
      </c>
      <c r="E87" s="22">
        <f>INDEX(Data[],MATCH($A87,Data[Dist],0),MATCH(E$4,Data[#Headers],0))</f>
        <v>84904</v>
      </c>
      <c r="F87" s="22">
        <f>INDEX(Data[],MATCH($A87,Data[Dist],0),MATCH(F$4,Data[#Headers],0))</f>
        <v>83544</v>
      </c>
      <c r="G87" s="22">
        <f>INDEX(Data[],MATCH($A87,Data[Dist],0),MATCH(G$4,Data[#Headers],0))</f>
        <v>423099</v>
      </c>
      <c r="H87" s="22">
        <f>INDEX(Data[],MATCH($A87,Data[Dist],0),MATCH(H$4,Data[#Headers],0))</f>
        <v>6340456</v>
      </c>
      <c r="I87" s="22">
        <f>INDEX(Data[],MATCH($A87,Data[Dist],0),MATCH(I$4,Data[#Headers],0))</f>
        <v>7895213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321023</v>
      </c>
      <c r="D88" s="22">
        <f>INDEX(Data[],MATCH($A88,Data[Dist],0),MATCH(D$4,Data[#Headers],0))</f>
        <v>973536</v>
      </c>
      <c r="E88" s="22">
        <f>INDEX(Data[],MATCH($A88,Data[Dist],0),MATCH(E$4,Data[#Headers],0))</f>
        <v>110808</v>
      </c>
      <c r="F88" s="22">
        <f>INDEX(Data[],MATCH($A88,Data[Dist],0),MATCH(F$4,Data[#Headers],0))</f>
        <v>113425</v>
      </c>
      <c r="G88" s="22">
        <f>INDEX(Data[],MATCH($A88,Data[Dist],0),MATCH(G$4,Data[#Headers],0))</f>
        <v>547613</v>
      </c>
      <c r="H88" s="22">
        <f>INDEX(Data[],MATCH($A88,Data[Dist],0),MATCH(H$4,Data[#Headers],0))</f>
        <v>6890627</v>
      </c>
      <c r="I88" s="22">
        <f>INDEX(Data[],MATCH($A88,Data[Dist],0),MATCH(I$4,Data[#Headers],0))</f>
        <v>8957032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73798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1003670</v>
      </c>
      <c r="I89" s="22">
        <f>INDEX(Data[],MATCH($A89,Data[Dist],0),MATCH(I$4,Data[#Headers],0))</f>
        <v>1294124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450170</v>
      </c>
      <c r="D90" s="22">
        <f>INDEX(Data[],MATCH($A90,Data[Dist],0),MATCH(D$4,Data[#Headers],0))</f>
        <v>1226982</v>
      </c>
      <c r="E90" s="22">
        <f>INDEX(Data[],MATCH($A90,Data[Dist],0),MATCH(E$4,Data[#Headers],0))</f>
        <v>180290</v>
      </c>
      <c r="F90" s="22">
        <f>INDEX(Data[],MATCH($A90,Data[Dist],0),MATCH(F$4,Data[#Headers],0))</f>
        <v>148964</v>
      </c>
      <c r="G90" s="22">
        <f>INDEX(Data[],MATCH($A90,Data[Dist],0),MATCH(G$4,Data[#Headers],0))</f>
        <v>731629</v>
      </c>
      <c r="H90" s="22">
        <f>INDEX(Data[],MATCH($A90,Data[Dist],0),MATCH(H$4,Data[#Headers],0))</f>
        <v>14442395</v>
      </c>
      <c r="I90" s="22">
        <f>INDEX(Data[],MATCH($A90,Data[Dist],0),MATCH(I$4,Data[#Headers],0))</f>
        <v>17180430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188186</v>
      </c>
      <c r="D91" s="22">
        <f>INDEX(Data[],MATCH($A91,Data[Dist],0),MATCH(D$4,Data[#Headers],0))</f>
        <v>552324</v>
      </c>
      <c r="E91" s="22">
        <f>INDEX(Data[],MATCH($A91,Data[Dist],0),MATCH(E$4,Data[#Headers],0))</f>
        <v>53189</v>
      </c>
      <c r="F91" s="22">
        <f>INDEX(Data[],MATCH($A91,Data[Dist],0),MATCH(F$4,Data[#Headers],0))</f>
        <v>53353</v>
      </c>
      <c r="G91" s="22">
        <f>INDEX(Data[],MATCH($A91,Data[Dist],0),MATCH(G$4,Data[#Headers],0))</f>
        <v>308996</v>
      </c>
      <c r="H91" s="22">
        <f>INDEX(Data[],MATCH($A91,Data[Dist],0),MATCH(H$4,Data[#Headers],0))</f>
        <v>5105867</v>
      </c>
      <c r="I91" s="22">
        <f>INDEX(Data[],MATCH($A91,Data[Dist],0),MATCH(I$4,Data[#Headers],0))</f>
        <v>6261915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5376282</v>
      </c>
      <c r="D92" s="22">
        <f>INDEX(Data[],MATCH($A92,Data[Dist],0),MATCH(D$4,Data[#Headers],0))</f>
        <v>20592047</v>
      </c>
      <c r="E92" s="22">
        <f>INDEX(Data[],MATCH($A92,Data[Dist],0),MATCH(E$4,Data[#Headers],0))</f>
        <v>3044676</v>
      </c>
      <c r="F92" s="22">
        <f>INDEX(Data[],MATCH($A92,Data[Dist],0),MATCH(F$4,Data[#Headers],0))</f>
        <v>2545193</v>
      </c>
      <c r="G92" s="22">
        <f>INDEX(Data[],MATCH($A92,Data[Dist],0),MATCH(G$4,Data[#Headers],0))</f>
        <v>11100316</v>
      </c>
      <c r="H92" s="22">
        <f>INDEX(Data[],MATCH($A92,Data[Dist],0),MATCH(H$4,Data[#Headers],0))</f>
        <v>211855576</v>
      </c>
      <c r="I92" s="22">
        <f>INDEX(Data[],MATCH($A92,Data[Dist],0),MATCH(I$4,Data[#Headers],0))</f>
        <v>254514090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36899</v>
      </c>
      <c r="D93" s="22">
        <f>INDEX(Data[],MATCH($A93,Data[Dist],0),MATCH(D$4,Data[#Headers],0))</f>
        <v>97963</v>
      </c>
      <c r="E93" s="22">
        <f>INDEX(Data[],MATCH($A93,Data[Dist],0),MATCH(E$4,Data[#Headers],0))</f>
        <v>12083</v>
      </c>
      <c r="F93" s="22">
        <f>INDEX(Data[],MATCH($A93,Data[Dist],0),MATCH(F$4,Data[#Headers],0))</f>
        <v>10975</v>
      </c>
      <c r="G93" s="22">
        <f>INDEX(Data[],MATCH($A93,Data[Dist],0),MATCH(G$4,Data[#Headers],0))</f>
        <v>39000</v>
      </c>
      <c r="H93" s="22">
        <f>INDEX(Data[],MATCH($A93,Data[Dist],0),MATCH(H$4,Data[#Headers],0))</f>
        <v>682180</v>
      </c>
      <c r="I93" s="22">
        <f>INDEX(Data[],MATCH($A93,Data[Dist],0),MATCH(I$4,Data[#Headers],0))</f>
        <v>879100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180806</v>
      </c>
      <c r="D94" s="22">
        <f>INDEX(Data[],MATCH($A94,Data[Dist],0),MATCH(D$4,Data[#Headers],0))</f>
        <v>576272</v>
      </c>
      <c r="E94" s="22">
        <f>INDEX(Data[],MATCH($A94,Data[Dist],0),MATCH(E$4,Data[#Headers],0))</f>
        <v>58777</v>
      </c>
      <c r="F94" s="22">
        <f>INDEX(Data[],MATCH($A94,Data[Dist],0),MATCH(F$4,Data[#Headers],0))</f>
        <v>61185</v>
      </c>
      <c r="G94" s="22">
        <f>INDEX(Data[],MATCH($A94,Data[Dist],0),MATCH(G$4,Data[#Headers],0))</f>
        <v>313325</v>
      </c>
      <c r="H94" s="22">
        <f>INDEX(Data[],MATCH($A94,Data[Dist],0),MATCH(H$4,Data[#Headers],0))</f>
        <v>4894315</v>
      </c>
      <c r="I94" s="22">
        <f>INDEX(Data[],MATCH($A94,Data[Dist],0),MATCH(I$4,Data[#Headers],0))</f>
        <v>6084680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2328337</v>
      </c>
      <c r="D95" s="22">
        <f>INDEX(Data[],MATCH($A95,Data[Dist],0),MATCH(D$4,Data[#Headers],0))</f>
        <v>6634160</v>
      </c>
      <c r="E95" s="22">
        <f>INDEX(Data[],MATCH($A95,Data[Dist],0),MATCH(E$4,Data[#Headers],0))</f>
        <v>796366</v>
      </c>
      <c r="F95" s="22">
        <f>INDEX(Data[],MATCH($A95,Data[Dist],0),MATCH(F$4,Data[#Headers],0))</f>
        <v>784020</v>
      </c>
      <c r="G95" s="22">
        <f>INDEX(Data[],MATCH($A95,Data[Dist],0),MATCH(G$4,Data[#Headers],0))</f>
        <v>3621043</v>
      </c>
      <c r="H95" s="22">
        <f>INDEX(Data[],MATCH($A95,Data[Dist],0),MATCH(H$4,Data[#Headers],0))</f>
        <v>58306377</v>
      </c>
      <c r="I95" s="22">
        <f>INDEX(Data[],MATCH($A95,Data[Dist],0),MATCH(I$4,Data[#Headers],0))</f>
        <v>72470303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92248</v>
      </c>
      <c r="D96" s="22">
        <f>INDEX(Data[],MATCH($A96,Data[Dist],0),MATCH(D$4,Data[#Headers],0))</f>
        <v>253462</v>
      </c>
      <c r="E96" s="22">
        <f>INDEX(Data[],MATCH($A96,Data[Dist],0),MATCH(E$4,Data[#Headers],0))</f>
        <v>28659</v>
      </c>
      <c r="F96" s="22">
        <f>INDEX(Data[],MATCH($A96,Data[Dist],0),MATCH(F$4,Data[#Headers],0))</f>
        <v>26624</v>
      </c>
      <c r="G96" s="22">
        <f>INDEX(Data[],MATCH($A96,Data[Dist],0),MATCH(G$4,Data[#Headers],0))</f>
        <v>136358</v>
      </c>
      <c r="H96" s="22">
        <f>INDEX(Data[],MATCH($A96,Data[Dist],0),MATCH(H$4,Data[#Headers],0))</f>
        <v>1982530</v>
      </c>
      <c r="I96" s="22">
        <f>INDEX(Data[],MATCH($A96,Data[Dist],0),MATCH(I$4,Data[#Headers],0))</f>
        <v>2519881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81178</v>
      </c>
      <c r="D97" s="22">
        <f>INDEX(Data[],MATCH($A97,Data[Dist],0),MATCH(D$4,Data[#Headers],0))</f>
        <v>280979</v>
      </c>
      <c r="E97" s="22">
        <f>INDEX(Data[],MATCH($A97,Data[Dist],0),MATCH(E$4,Data[#Headers],0))</f>
        <v>32125</v>
      </c>
      <c r="F97" s="22">
        <f>INDEX(Data[],MATCH($A97,Data[Dist],0),MATCH(F$4,Data[#Headers],0))</f>
        <v>33501</v>
      </c>
      <c r="G97" s="22">
        <f>INDEX(Data[],MATCH($A97,Data[Dist],0),MATCH(G$4,Data[#Headers],0))</f>
        <v>141939</v>
      </c>
      <c r="H97" s="22">
        <f>INDEX(Data[],MATCH($A97,Data[Dist],0),MATCH(H$4,Data[#Headers],0))</f>
        <v>1683587</v>
      </c>
      <c r="I97" s="22">
        <f>INDEX(Data[],MATCH($A97,Data[Dist],0),MATCH(I$4,Data[#Headers],0))</f>
        <v>2253309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66418</v>
      </c>
      <c r="D98" s="22">
        <f>INDEX(Data[],MATCH($A98,Data[Dist],0),MATCH(D$4,Data[#Headers],0))</f>
        <v>392197</v>
      </c>
      <c r="E98" s="22">
        <f>INDEX(Data[],MATCH($A98,Data[Dist],0),MATCH(E$4,Data[#Headers],0))</f>
        <v>36703</v>
      </c>
      <c r="F98" s="22">
        <f>INDEX(Data[],MATCH($A98,Data[Dist],0),MATCH(F$4,Data[#Headers],0))</f>
        <v>44381</v>
      </c>
      <c r="G98" s="22">
        <f>INDEX(Data[],MATCH($A98,Data[Dist],0),MATCH(G$4,Data[#Headers],0))</f>
        <v>189992</v>
      </c>
      <c r="H98" s="22">
        <f>INDEX(Data[],MATCH($A98,Data[Dist],0),MATCH(H$4,Data[#Headers],0))</f>
        <v>2556767</v>
      </c>
      <c r="I98" s="22">
        <f>INDEX(Data[],MATCH($A98,Data[Dist],0),MATCH(I$4,Data[#Headers],0))</f>
        <v>3286458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169736</v>
      </c>
      <c r="D99" s="22">
        <f>INDEX(Data[],MATCH($A99,Data[Dist],0),MATCH(D$4,Data[#Headers],0))</f>
        <v>649882</v>
      </c>
      <c r="E99" s="22">
        <f>INDEX(Data[],MATCH($A99,Data[Dist],0),MATCH(E$4,Data[#Headers],0))</f>
        <v>69697</v>
      </c>
      <c r="F99" s="22">
        <f>INDEX(Data[],MATCH($A99,Data[Dist],0),MATCH(F$4,Data[#Headers],0))</f>
        <v>58223</v>
      </c>
      <c r="G99" s="22">
        <f>INDEX(Data[],MATCH($A99,Data[Dist],0),MATCH(G$4,Data[#Headers],0))</f>
        <v>355439</v>
      </c>
      <c r="H99" s="22">
        <f>INDEX(Data[],MATCH($A99,Data[Dist],0),MATCH(H$4,Data[#Headers],0))</f>
        <v>5062536</v>
      </c>
      <c r="I99" s="22">
        <f>INDEX(Data[],MATCH($A99,Data[Dist],0),MATCH(I$4,Data[#Headers],0))</f>
        <v>6365513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232465</v>
      </c>
      <c r="D100" s="22">
        <f>INDEX(Data[],MATCH($A100,Data[Dist],0),MATCH(D$4,Data[#Headers],0))</f>
        <v>632257</v>
      </c>
      <c r="E100" s="22">
        <f>INDEX(Data[],MATCH($A100,Data[Dist],0),MATCH(E$4,Data[#Headers],0))</f>
        <v>77974</v>
      </c>
      <c r="F100" s="22">
        <f>INDEX(Data[],MATCH($A100,Data[Dist],0),MATCH(F$4,Data[#Headers],0))</f>
        <v>69420</v>
      </c>
      <c r="G100" s="22">
        <f>INDEX(Data[],MATCH($A100,Data[Dist],0),MATCH(G$4,Data[#Headers],0))</f>
        <v>347782</v>
      </c>
      <c r="H100" s="22">
        <f>INDEX(Data[],MATCH($A100,Data[Dist],0),MATCH(H$4,Data[#Headers],0))</f>
        <v>6116259</v>
      </c>
      <c r="I100" s="22">
        <f>INDEX(Data[],MATCH($A100,Data[Dist],0),MATCH(I$4,Data[#Headers],0))</f>
        <v>7476157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114388</v>
      </c>
      <c r="D101" s="22">
        <f>INDEX(Data[],MATCH($A101,Data[Dist],0),MATCH(D$4,Data[#Headers],0))</f>
        <v>389159</v>
      </c>
      <c r="E101" s="22">
        <f>INDEX(Data[],MATCH($A101,Data[Dist],0),MATCH(E$4,Data[#Headers],0))</f>
        <v>44995</v>
      </c>
      <c r="F101" s="22">
        <f>INDEX(Data[],MATCH($A101,Data[Dist],0),MATCH(F$4,Data[#Headers],0))</f>
        <v>39762</v>
      </c>
      <c r="G101" s="22">
        <f>INDEX(Data[],MATCH($A101,Data[Dist],0),MATCH(G$4,Data[#Headers],0))</f>
        <v>207810</v>
      </c>
      <c r="H101" s="22">
        <f>INDEX(Data[],MATCH($A101,Data[Dist],0),MATCH(H$4,Data[#Headers],0))</f>
        <v>3023062</v>
      </c>
      <c r="I101" s="22">
        <f>INDEX(Data[],MATCH($A101,Data[Dist],0),MATCH(I$4,Data[#Headers],0))</f>
        <v>3819176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110697</v>
      </c>
      <c r="D102" s="22">
        <f>INDEX(Data[],MATCH($A102,Data[Dist],0),MATCH(D$4,Data[#Headers],0))</f>
        <v>383700</v>
      </c>
      <c r="E102" s="22">
        <f>INDEX(Data[],MATCH($A102,Data[Dist],0),MATCH(E$4,Data[#Headers],0))</f>
        <v>40968</v>
      </c>
      <c r="F102" s="22">
        <f>INDEX(Data[],MATCH($A102,Data[Dist],0),MATCH(F$4,Data[#Headers],0))</f>
        <v>38857</v>
      </c>
      <c r="G102" s="22">
        <f>INDEX(Data[],MATCH($A102,Data[Dist],0),MATCH(G$4,Data[#Headers],0))</f>
        <v>197685</v>
      </c>
      <c r="H102" s="22">
        <f>INDEX(Data[],MATCH($A102,Data[Dist],0),MATCH(H$4,Data[#Headers],0))</f>
        <v>3056917</v>
      </c>
      <c r="I102" s="22">
        <f>INDEX(Data[],MATCH($A102,Data[Dist],0),MATCH(I$4,Data[#Headers],0))</f>
        <v>3828824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81178</v>
      </c>
      <c r="D103" s="22">
        <f>INDEX(Data[],MATCH($A103,Data[Dist],0),MATCH(D$4,Data[#Headers],0))</f>
        <v>361647</v>
      </c>
      <c r="E103" s="22">
        <f>INDEX(Data[],MATCH($A103,Data[Dist],0),MATCH(E$4,Data[#Headers],0))</f>
        <v>37469</v>
      </c>
      <c r="F103" s="22">
        <f>INDEX(Data[],MATCH($A103,Data[Dist],0),MATCH(F$4,Data[#Headers],0))</f>
        <v>39794</v>
      </c>
      <c r="G103" s="22">
        <f>INDEX(Data[],MATCH($A103,Data[Dist],0),MATCH(G$4,Data[#Headers],0))</f>
        <v>199974</v>
      </c>
      <c r="H103" s="22">
        <f>INDEX(Data[],MATCH($A103,Data[Dist],0),MATCH(H$4,Data[#Headers],0))</f>
        <v>3040788</v>
      </c>
      <c r="I103" s="22">
        <f>INDEX(Data[],MATCH($A103,Data[Dist],0),MATCH(I$4,Data[#Headers],0))</f>
        <v>3760850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84869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2931058</v>
      </c>
      <c r="I104" s="22">
        <f>INDEX(Data[],MATCH($A104,Data[Dist],0),MATCH(I$4,Data[#Headers],0))</f>
        <v>3587066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118077</v>
      </c>
      <c r="D105" s="22">
        <f>INDEX(Data[],MATCH($A105,Data[Dist],0),MATCH(D$4,Data[#Headers],0))</f>
        <v>234378</v>
      </c>
      <c r="E105" s="22">
        <f>INDEX(Data[],MATCH($A105,Data[Dist],0),MATCH(E$4,Data[#Headers],0))</f>
        <v>27227</v>
      </c>
      <c r="F105" s="22">
        <f>INDEX(Data[],MATCH($A105,Data[Dist],0),MATCH(F$4,Data[#Headers],0))</f>
        <v>22616</v>
      </c>
      <c r="G105" s="22">
        <f>INDEX(Data[],MATCH($A105,Data[Dist],0),MATCH(G$4,Data[#Headers],0))</f>
        <v>118181</v>
      </c>
      <c r="H105" s="22">
        <f>INDEX(Data[],MATCH($A105,Data[Dist],0),MATCH(H$4,Data[#Headers],0))</f>
        <v>1400662</v>
      </c>
      <c r="I105" s="22">
        <f>INDEX(Data[],MATCH($A105,Data[Dist],0),MATCH(I$4,Data[#Headers],0))</f>
        <v>1921141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62729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1526382</v>
      </c>
      <c r="I106" s="22">
        <f>INDEX(Data[],MATCH($A106,Data[Dist],0),MATCH(I$4,Data[#Headers],0))</f>
        <v>2067929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121768</v>
      </c>
      <c r="D107" s="22">
        <f>INDEX(Data[],MATCH($A107,Data[Dist],0),MATCH(D$4,Data[#Headers],0))</f>
        <v>276076</v>
      </c>
      <c r="E107" s="22">
        <f>INDEX(Data[],MATCH($A107,Data[Dist],0),MATCH(E$4,Data[#Headers],0))</f>
        <v>33149</v>
      </c>
      <c r="F107" s="22">
        <f>INDEX(Data[],MATCH($A107,Data[Dist],0),MATCH(F$4,Data[#Headers],0))</f>
        <v>30847</v>
      </c>
      <c r="G107" s="22">
        <f>INDEX(Data[],MATCH($A107,Data[Dist],0),MATCH(G$4,Data[#Headers],0))</f>
        <v>142762</v>
      </c>
      <c r="H107" s="22">
        <f>INDEX(Data[],MATCH($A107,Data[Dist],0),MATCH(H$4,Data[#Headers],0))</f>
        <v>1940289</v>
      </c>
      <c r="I107" s="22">
        <f>INDEX(Data[],MATCH($A107,Data[Dist],0),MATCH(I$4,Data[#Headers],0))</f>
        <v>2544891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140217</v>
      </c>
      <c r="D108" s="22">
        <f>INDEX(Data[],MATCH($A108,Data[Dist],0),MATCH(D$4,Data[#Headers],0))</f>
        <v>371705</v>
      </c>
      <c r="E108" s="22">
        <f>INDEX(Data[],MATCH($A108,Data[Dist],0),MATCH(E$4,Data[#Headers],0))</f>
        <v>43170</v>
      </c>
      <c r="F108" s="22">
        <f>INDEX(Data[],MATCH($A108,Data[Dist],0),MATCH(F$4,Data[#Headers],0))</f>
        <v>43204</v>
      </c>
      <c r="G108" s="22">
        <f>INDEX(Data[],MATCH($A108,Data[Dist],0),MATCH(G$4,Data[#Headers],0))</f>
        <v>199912</v>
      </c>
      <c r="H108" s="22">
        <f>INDEX(Data[],MATCH($A108,Data[Dist],0),MATCH(H$4,Data[#Headers],0))</f>
        <v>3086386</v>
      </c>
      <c r="I108" s="22">
        <f>INDEX(Data[],MATCH($A108,Data[Dist],0),MATCH(I$4,Data[#Headers],0))</f>
        <v>3884594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214015</v>
      </c>
      <c r="D109" s="22">
        <f>INDEX(Data[],MATCH($A109,Data[Dist],0),MATCH(D$4,Data[#Headers],0))</f>
        <v>413181</v>
      </c>
      <c r="E109" s="22">
        <f>INDEX(Data[],MATCH($A109,Data[Dist],0),MATCH(E$4,Data[#Headers],0))</f>
        <v>49640</v>
      </c>
      <c r="F109" s="22">
        <f>INDEX(Data[],MATCH($A109,Data[Dist],0),MATCH(F$4,Data[#Headers],0))</f>
        <v>48179</v>
      </c>
      <c r="G109" s="22">
        <f>INDEX(Data[],MATCH($A109,Data[Dist],0),MATCH(G$4,Data[#Headers],0))</f>
        <v>232355</v>
      </c>
      <c r="H109" s="22">
        <f>INDEX(Data[],MATCH($A109,Data[Dist],0),MATCH(H$4,Data[#Headers],0))</f>
        <v>3007846</v>
      </c>
      <c r="I109" s="22">
        <f>INDEX(Data[],MATCH($A109,Data[Dist],0),MATCH(I$4,Data[#Headers],0))</f>
        <v>3965216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121615</v>
      </c>
      <c r="D110" s="22">
        <f>INDEX(Data[],MATCH($A110,Data[Dist],0),MATCH(D$4,Data[#Headers],0))</f>
        <v>354176</v>
      </c>
      <c r="E110" s="22">
        <f>INDEX(Data[],MATCH($A110,Data[Dist],0),MATCH(E$4,Data[#Headers],0))</f>
        <v>38733</v>
      </c>
      <c r="F110" s="22">
        <f>INDEX(Data[],MATCH($A110,Data[Dist],0),MATCH(F$4,Data[#Headers],0))</f>
        <v>37573</v>
      </c>
      <c r="G110" s="22">
        <f>INDEX(Data[],MATCH($A110,Data[Dist],0),MATCH(G$4,Data[#Headers],0))</f>
        <v>172245</v>
      </c>
      <c r="H110" s="22">
        <f>INDEX(Data[],MATCH($A110,Data[Dist],0),MATCH(H$4,Data[#Headers],0))</f>
        <v>2466507</v>
      </c>
      <c r="I110" s="22">
        <f>INDEX(Data[],MATCH($A110,Data[Dist],0),MATCH(I$4,Data[#Headers],0))</f>
        <v>3190849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62729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960433</v>
      </c>
      <c r="I111" s="22">
        <f>INDEX(Data[],MATCH($A111,Data[Dist],0),MATCH(I$4,Data[#Headers],0))</f>
        <v>1257802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236155</v>
      </c>
      <c r="D112" s="22">
        <f>INDEX(Data[],MATCH($A112,Data[Dist],0),MATCH(D$4,Data[#Headers],0))</f>
        <v>784723</v>
      </c>
      <c r="E112" s="22">
        <f>INDEX(Data[],MATCH($A112,Data[Dist],0),MATCH(E$4,Data[#Headers],0))</f>
        <v>99626</v>
      </c>
      <c r="F112" s="22">
        <f>INDEX(Data[],MATCH($A112,Data[Dist],0),MATCH(F$4,Data[#Headers],0))</f>
        <v>88003</v>
      </c>
      <c r="G112" s="22">
        <f>INDEX(Data[],MATCH($A112,Data[Dist],0),MATCH(G$4,Data[#Headers],0))</f>
        <v>437267</v>
      </c>
      <c r="H112" s="22">
        <f>INDEX(Data[],MATCH($A112,Data[Dist],0),MATCH(H$4,Data[#Headers],0))</f>
        <v>6992014</v>
      </c>
      <c r="I112" s="22">
        <f>INDEX(Data[],MATCH($A112,Data[Dist],0),MATCH(I$4,Data[#Headers],0))</f>
        <v>8637788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84869</v>
      </c>
      <c r="D113" s="22">
        <f>INDEX(Data[],MATCH($A113,Data[Dist],0),MATCH(D$4,Data[#Headers],0))</f>
        <v>294102</v>
      </c>
      <c r="E113" s="22">
        <f>INDEX(Data[],MATCH($A113,Data[Dist],0),MATCH(E$4,Data[#Headers],0))</f>
        <v>30203</v>
      </c>
      <c r="F113" s="22">
        <f>INDEX(Data[],MATCH($A113,Data[Dist],0),MATCH(F$4,Data[#Headers],0))</f>
        <v>31180</v>
      </c>
      <c r="G113" s="22">
        <f>INDEX(Data[],MATCH($A113,Data[Dist],0),MATCH(G$4,Data[#Headers],0))</f>
        <v>145625</v>
      </c>
      <c r="H113" s="22">
        <f>INDEX(Data[],MATCH($A113,Data[Dist],0),MATCH(H$4,Data[#Headers],0))</f>
        <v>1864728</v>
      </c>
      <c r="I113" s="22">
        <f>INDEX(Data[],MATCH($A113,Data[Dist],0),MATCH(I$4,Data[#Headers],0))</f>
        <v>2450707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221395</v>
      </c>
      <c r="D114" s="22">
        <f>INDEX(Data[],MATCH($A114,Data[Dist],0),MATCH(D$4,Data[#Headers],0))</f>
        <v>1048732</v>
      </c>
      <c r="E114" s="22">
        <f>INDEX(Data[],MATCH($A114,Data[Dist],0),MATCH(E$4,Data[#Headers],0))</f>
        <v>121214</v>
      </c>
      <c r="F114" s="22">
        <f>INDEX(Data[],MATCH($A114,Data[Dist],0),MATCH(F$4,Data[#Headers],0))</f>
        <v>110525</v>
      </c>
      <c r="G114" s="22">
        <f>INDEX(Data[],MATCH($A114,Data[Dist],0),MATCH(G$4,Data[#Headers],0))</f>
        <v>575128</v>
      </c>
      <c r="H114" s="22">
        <f>INDEX(Data[],MATCH($A114,Data[Dist],0),MATCH(H$4,Data[#Headers],0))</f>
        <v>7880277</v>
      </c>
      <c r="I114" s="22">
        <f>INDEX(Data[],MATCH($A114,Data[Dist],0),MATCH(I$4,Data[#Headers],0))</f>
        <v>9957271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258294</v>
      </c>
      <c r="D115" s="22">
        <f>INDEX(Data[],MATCH($A115,Data[Dist],0),MATCH(D$4,Data[#Headers],0))</f>
        <v>708596</v>
      </c>
      <c r="E115" s="22">
        <f>INDEX(Data[],MATCH($A115,Data[Dist],0),MATCH(E$4,Data[#Headers],0))</f>
        <v>80376</v>
      </c>
      <c r="F115" s="22">
        <f>INDEX(Data[],MATCH($A115,Data[Dist],0),MATCH(F$4,Data[#Headers],0))</f>
        <v>82312</v>
      </c>
      <c r="G115" s="22">
        <f>INDEX(Data[],MATCH($A115,Data[Dist],0),MATCH(G$4,Data[#Headers],0))</f>
        <v>378552</v>
      </c>
      <c r="H115" s="22">
        <f>INDEX(Data[],MATCH($A115,Data[Dist],0),MATCH(H$4,Data[#Headers],0))</f>
        <v>5628694</v>
      </c>
      <c r="I115" s="22">
        <f>INDEX(Data[],MATCH($A115,Data[Dist],0),MATCH(I$4,Data[#Headers],0))</f>
        <v>7136824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797022</v>
      </c>
      <c r="D116" s="22">
        <f>INDEX(Data[],MATCH($A116,Data[Dist],0),MATCH(D$4,Data[#Headers],0))</f>
        <v>2367204</v>
      </c>
      <c r="E116" s="22">
        <f>INDEX(Data[],MATCH($A116,Data[Dist],0),MATCH(E$4,Data[#Headers],0))</f>
        <v>310670</v>
      </c>
      <c r="F116" s="22">
        <f>INDEX(Data[],MATCH($A116,Data[Dist],0),MATCH(F$4,Data[#Headers],0))</f>
        <v>274843</v>
      </c>
      <c r="G116" s="22">
        <f>INDEX(Data[],MATCH($A116,Data[Dist],0),MATCH(G$4,Data[#Headers],0))</f>
        <v>1308045</v>
      </c>
      <c r="H116" s="22">
        <f>INDEX(Data[],MATCH($A116,Data[Dist],0),MATCH(H$4,Data[#Headers],0))</f>
        <v>22837473</v>
      </c>
      <c r="I116" s="22">
        <f>INDEX(Data[],MATCH($A116,Data[Dist],0),MATCH(I$4,Data[#Headers],0))</f>
        <v>27895257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284048</v>
      </c>
      <c r="D117" s="22">
        <f>INDEX(Data[],MATCH($A117,Data[Dist],0),MATCH(D$4,Data[#Headers],0))</f>
        <v>1246933</v>
      </c>
      <c r="E117" s="22">
        <f>INDEX(Data[],MATCH($A117,Data[Dist],0),MATCH(E$4,Data[#Headers],0))</f>
        <v>155670</v>
      </c>
      <c r="F117" s="22">
        <f>INDEX(Data[],MATCH($A117,Data[Dist],0),MATCH(F$4,Data[#Headers],0))</f>
        <v>139892</v>
      </c>
      <c r="G117" s="22">
        <f>INDEX(Data[],MATCH($A117,Data[Dist],0),MATCH(G$4,Data[#Headers],0))</f>
        <v>732202</v>
      </c>
      <c r="H117" s="22">
        <f>INDEX(Data[],MATCH($A117,Data[Dist],0),MATCH(H$4,Data[#Headers],0))</f>
        <v>11567212</v>
      </c>
      <c r="I117" s="22">
        <f>INDEX(Data[],MATCH($A117,Data[Dist],0),MATCH(I$4,Data[#Headers],0))</f>
        <v>14125957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88558</v>
      </c>
      <c r="D118" s="22">
        <f>INDEX(Data[],MATCH($A118,Data[Dist],0),MATCH(D$4,Data[#Headers],0))</f>
        <v>277632</v>
      </c>
      <c r="E118" s="22">
        <f>INDEX(Data[],MATCH($A118,Data[Dist],0),MATCH(E$4,Data[#Headers],0))</f>
        <v>35608</v>
      </c>
      <c r="F118" s="22">
        <f>INDEX(Data[],MATCH($A118,Data[Dist],0),MATCH(F$4,Data[#Headers],0))</f>
        <v>27368</v>
      </c>
      <c r="G118" s="22">
        <f>INDEX(Data[],MATCH($A118,Data[Dist],0),MATCH(G$4,Data[#Headers],0))</f>
        <v>156001</v>
      </c>
      <c r="H118" s="22">
        <f>INDEX(Data[],MATCH($A118,Data[Dist],0),MATCH(H$4,Data[#Headers],0))</f>
        <v>2367837</v>
      </c>
      <c r="I118" s="22">
        <f>INDEX(Data[],MATCH($A118,Data[Dist],0),MATCH(I$4,Data[#Headers],0))</f>
        <v>2953004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99628</v>
      </c>
      <c r="D119" s="22">
        <f>INDEX(Data[],MATCH($A119,Data[Dist],0),MATCH(D$4,Data[#Headers],0))</f>
        <v>322607</v>
      </c>
      <c r="E119" s="22">
        <f>INDEX(Data[],MATCH($A119,Data[Dist],0),MATCH(E$4,Data[#Headers],0))</f>
        <v>35391</v>
      </c>
      <c r="F119" s="22">
        <f>INDEX(Data[],MATCH($A119,Data[Dist],0),MATCH(F$4,Data[#Headers],0))</f>
        <v>33776</v>
      </c>
      <c r="G119" s="22">
        <f>INDEX(Data[],MATCH($A119,Data[Dist],0),MATCH(G$4,Data[#Headers],0))</f>
        <v>168882</v>
      </c>
      <c r="H119" s="22">
        <f>INDEX(Data[],MATCH($A119,Data[Dist],0),MATCH(H$4,Data[#Headers],0))</f>
        <v>1981153</v>
      </c>
      <c r="I119" s="22">
        <f>INDEX(Data[],MATCH($A119,Data[Dist],0),MATCH(I$4,Data[#Headers],0))</f>
        <v>2641437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265674</v>
      </c>
      <c r="D120" s="22">
        <f>INDEX(Data[],MATCH($A120,Data[Dist],0),MATCH(D$4,Data[#Headers],0))</f>
        <v>561383</v>
      </c>
      <c r="E120" s="22">
        <f>INDEX(Data[],MATCH($A120,Data[Dist],0),MATCH(E$4,Data[#Headers],0))</f>
        <v>64972</v>
      </c>
      <c r="F120" s="22">
        <f>INDEX(Data[],MATCH($A120,Data[Dist],0),MATCH(F$4,Data[#Headers],0))</f>
        <v>62421</v>
      </c>
      <c r="G120" s="22">
        <f>INDEX(Data[],MATCH($A120,Data[Dist],0),MATCH(G$4,Data[#Headers],0))</f>
        <v>299264</v>
      </c>
      <c r="H120" s="22">
        <f>INDEX(Data[],MATCH($A120,Data[Dist],0),MATCH(H$4,Data[#Headers],0))</f>
        <v>2814026</v>
      </c>
      <c r="I120" s="22">
        <f>INDEX(Data[],MATCH($A120,Data[Dist],0),MATCH(I$4,Data[#Headers],0))</f>
        <v>4067740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92248</v>
      </c>
      <c r="D121" s="22">
        <f>INDEX(Data[],MATCH($A121,Data[Dist],0),MATCH(D$4,Data[#Headers],0))</f>
        <v>300826</v>
      </c>
      <c r="E121" s="22">
        <f>INDEX(Data[],MATCH($A121,Data[Dist],0),MATCH(E$4,Data[#Headers],0))</f>
        <v>34314</v>
      </c>
      <c r="F121" s="22">
        <f>INDEX(Data[],MATCH($A121,Data[Dist],0),MATCH(F$4,Data[#Headers],0))</f>
        <v>33499</v>
      </c>
      <c r="G121" s="22">
        <f>INDEX(Data[],MATCH($A121,Data[Dist],0),MATCH(G$4,Data[#Headers],0))</f>
        <v>163049</v>
      </c>
      <c r="H121" s="22">
        <f>INDEX(Data[],MATCH($A121,Data[Dist],0),MATCH(H$4,Data[#Headers],0))</f>
        <v>2095523</v>
      </c>
      <c r="I121" s="22">
        <f>INDEX(Data[],MATCH($A121,Data[Dist],0),MATCH(I$4,Data[#Headers],0))</f>
        <v>2719459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184496</v>
      </c>
      <c r="D122" s="22">
        <f>INDEX(Data[],MATCH($A122,Data[Dist],0),MATCH(D$4,Data[#Headers],0))</f>
        <v>945105</v>
      </c>
      <c r="E122" s="22">
        <f>INDEX(Data[],MATCH($A122,Data[Dist],0),MATCH(E$4,Data[#Headers],0))</f>
        <v>93528</v>
      </c>
      <c r="F122" s="22">
        <f>INDEX(Data[],MATCH($A122,Data[Dist],0),MATCH(F$4,Data[#Headers],0))</f>
        <v>104982</v>
      </c>
      <c r="G122" s="22">
        <f>INDEX(Data[],MATCH($A122,Data[Dist],0),MATCH(G$4,Data[#Headers],0))</f>
        <v>559134</v>
      </c>
      <c r="H122" s="22">
        <f>INDEX(Data[],MATCH($A122,Data[Dist],0),MATCH(H$4,Data[#Headers],0))</f>
        <v>7598181</v>
      </c>
      <c r="I122" s="22">
        <f>INDEX(Data[],MATCH($A122,Data[Dist],0),MATCH(I$4,Data[#Headers],0))</f>
        <v>9485426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59039</v>
      </c>
      <c r="D123" s="22">
        <f>INDEX(Data[],MATCH($A123,Data[Dist],0),MATCH(D$4,Data[#Headers],0))</f>
        <v>116458</v>
      </c>
      <c r="E123" s="22">
        <f>INDEX(Data[],MATCH($A123,Data[Dist],0),MATCH(E$4,Data[#Headers],0))</f>
        <v>9806</v>
      </c>
      <c r="F123" s="22">
        <f>INDEX(Data[],MATCH($A123,Data[Dist],0),MATCH(F$4,Data[#Headers],0))</f>
        <v>13707</v>
      </c>
      <c r="G123" s="22">
        <f>INDEX(Data[],MATCH($A123,Data[Dist],0),MATCH(G$4,Data[#Headers],0))</f>
        <v>58679</v>
      </c>
      <c r="H123" s="22">
        <f>INDEX(Data[],MATCH($A123,Data[Dist],0),MATCH(H$4,Data[#Headers],0))</f>
        <v>755387</v>
      </c>
      <c r="I123" s="22">
        <f>INDEX(Data[],MATCH($A123,Data[Dist],0),MATCH(I$4,Data[#Headers],0))</f>
        <v>1013076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95938</v>
      </c>
      <c r="D124" s="22">
        <f>INDEX(Data[],MATCH($A124,Data[Dist],0),MATCH(D$4,Data[#Headers],0))</f>
        <v>422675</v>
      </c>
      <c r="E124" s="22">
        <f>INDEX(Data[],MATCH($A124,Data[Dist],0),MATCH(E$4,Data[#Headers],0))</f>
        <v>38390</v>
      </c>
      <c r="F124" s="22">
        <f>INDEX(Data[],MATCH($A124,Data[Dist],0),MATCH(F$4,Data[#Headers],0))</f>
        <v>43904</v>
      </c>
      <c r="G124" s="22">
        <f>INDEX(Data[],MATCH($A124,Data[Dist],0),MATCH(G$4,Data[#Headers],0))</f>
        <v>220691</v>
      </c>
      <c r="H124" s="22">
        <f>INDEX(Data[],MATCH($A124,Data[Dist],0),MATCH(H$4,Data[#Headers],0))</f>
        <v>2962964</v>
      </c>
      <c r="I124" s="22">
        <f>INDEX(Data[],MATCH($A124,Data[Dist],0),MATCH(I$4,Data[#Headers],0))</f>
        <v>3784562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239845</v>
      </c>
      <c r="D125" s="22">
        <f>INDEX(Data[],MATCH($A125,Data[Dist],0),MATCH(D$4,Data[#Headers],0))</f>
        <v>1181871</v>
      </c>
      <c r="E125" s="22">
        <f>INDEX(Data[],MATCH($A125,Data[Dist],0),MATCH(E$4,Data[#Headers],0))</f>
        <v>146250</v>
      </c>
      <c r="F125" s="22">
        <f>INDEX(Data[],MATCH($A125,Data[Dist],0),MATCH(F$4,Data[#Headers],0))</f>
        <v>128442</v>
      </c>
      <c r="G125" s="22">
        <f>INDEX(Data[],MATCH($A125,Data[Dist],0),MATCH(G$4,Data[#Headers],0))</f>
        <v>691806</v>
      </c>
      <c r="H125" s="22">
        <f>INDEX(Data[],MATCH($A125,Data[Dist],0),MATCH(H$4,Data[#Headers],0))</f>
        <v>10593500</v>
      </c>
      <c r="I125" s="22">
        <f>INDEX(Data[],MATCH($A125,Data[Dist],0),MATCH(I$4,Data[#Headers],0))</f>
        <v>12981714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81178</v>
      </c>
      <c r="D126" s="22">
        <f>INDEX(Data[],MATCH($A126,Data[Dist],0),MATCH(D$4,Data[#Headers],0))</f>
        <v>191860</v>
      </c>
      <c r="E126" s="22">
        <f>INDEX(Data[],MATCH($A126,Data[Dist],0),MATCH(E$4,Data[#Headers],0))</f>
        <v>21000</v>
      </c>
      <c r="F126" s="22">
        <f>INDEX(Data[],MATCH($A126,Data[Dist],0),MATCH(F$4,Data[#Headers],0))</f>
        <v>20420</v>
      </c>
      <c r="G126" s="22">
        <f>INDEX(Data[],MATCH($A126,Data[Dist],0),MATCH(G$4,Data[#Headers],0))</f>
        <v>99826</v>
      </c>
      <c r="H126" s="22">
        <f>INDEX(Data[],MATCH($A126,Data[Dist],0),MATCH(H$4,Data[#Headers],0))</f>
        <v>1139490</v>
      </c>
      <c r="I126" s="22">
        <f>INDEX(Data[],MATCH($A126,Data[Dist],0),MATCH(I$4,Data[#Headers],0))</f>
        <v>1553774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62729</v>
      </c>
      <c r="D127" s="22">
        <f>INDEX(Data[],MATCH($A127,Data[Dist],0),MATCH(D$4,Data[#Headers],0))</f>
        <v>258469</v>
      </c>
      <c r="E127" s="22">
        <f>INDEX(Data[],MATCH($A127,Data[Dist],0),MATCH(E$4,Data[#Headers],0))</f>
        <v>30146</v>
      </c>
      <c r="F127" s="22">
        <f>INDEX(Data[],MATCH($A127,Data[Dist],0),MATCH(F$4,Data[#Headers],0))</f>
        <v>24876</v>
      </c>
      <c r="G127" s="22">
        <f>INDEX(Data[],MATCH($A127,Data[Dist],0),MATCH(G$4,Data[#Headers],0))</f>
        <v>137825</v>
      </c>
      <c r="H127" s="22">
        <f>INDEX(Data[],MATCH($A127,Data[Dist],0),MATCH(H$4,Data[#Headers],0))</f>
        <v>1469030</v>
      </c>
      <c r="I127" s="22">
        <f>INDEX(Data[],MATCH($A127,Data[Dist],0),MATCH(I$4,Data[#Headers],0))</f>
        <v>1983075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99628</v>
      </c>
      <c r="D128" s="22">
        <f>INDEX(Data[],MATCH($A128,Data[Dist],0),MATCH(D$4,Data[#Headers],0))</f>
        <v>414835</v>
      </c>
      <c r="E128" s="22">
        <f>INDEX(Data[],MATCH($A128,Data[Dist],0),MATCH(E$4,Data[#Headers],0))</f>
        <v>47098</v>
      </c>
      <c r="F128" s="22">
        <f>INDEX(Data[],MATCH($A128,Data[Dist],0),MATCH(F$4,Data[#Headers],0))</f>
        <v>47467</v>
      </c>
      <c r="G128" s="22">
        <f>INDEX(Data[],MATCH($A128,Data[Dist],0),MATCH(G$4,Data[#Headers],0))</f>
        <v>220226</v>
      </c>
      <c r="H128" s="22">
        <f>INDEX(Data[],MATCH($A128,Data[Dist],0),MATCH(H$4,Data[#Headers],0))</f>
        <v>3076098</v>
      </c>
      <c r="I128" s="22">
        <f>INDEX(Data[],MATCH($A128,Data[Dist],0),MATCH(I$4,Data[#Headers],0))</f>
        <v>3905352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118077</v>
      </c>
      <c r="D129" s="22">
        <f>INDEX(Data[],MATCH($A129,Data[Dist],0),MATCH(D$4,Data[#Headers],0))</f>
        <v>187207</v>
      </c>
      <c r="E129" s="22">
        <f>INDEX(Data[],MATCH($A129,Data[Dist],0),MATCH(E$4,Data[#Headers],0))</f>
        <v>22297</v>
      </c>
      <c r="F129" s="22">
        <f>INDEX(Data[],MATCH($A129,Data[Dist],0),MATCH(F$4,Data[#Headers],0))</f>
        <v>22072</v>
      </c>
      <c r="G129" s="22">
        <f>INDEX(Data[],MATCH($A129,Data[Dist],0),MATCH(G$4,Data[#Headers],0))</f>
        <v>91311</v>
      </c>
      <c r="H129" s="22">
        <f>INDEX(Data[],MATCH($A129,Data[Dist],0),MATCH(H$4,Data[#Headers],0))</f>
        <v>858611</v>
      </c>
      <c r="I129" s="22">
        <f>INDEX(Data[],MATCH($A129,Data[Dist],0),MATCH(I$4,Data[#Headers],0))</f>
        <v>1299575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298807</v>
      </c>
      <c r="D130" s="22">
        <f>INDEX(Data[],MATCH($A130,Data[Dist],0),MATCH(D$4,Data[#Headers],0))</f>
        <v>960028</v>
      </c>
      <c r="E130" s="22">
        <f>INDEX(Data[],MATCH($A130,Data[Dist],0),MATCH(E$4,Data[#Headers],0))</f>
        <v>116958</v>
      </c>
      <c r="F130" s="22">
        <f>INDEX(Data[],MATCH($A130,Data[Dist],0),MATCH(F$4,Data[#Headers],0))</f>
        <v>105266</v>
      </c>
      <c r="G130" s="22">
        <f>INDEX(Data[],MATCH($A130,Data[Dist],0),MATCH(G$4,Data[#Headers],0))</f>
        <v>548598</v>
      </c>
      <c r="H130" s="22">
        <f>INDEX(Data[],MATCH($A130,Data[Dist],0),MATCH(H$4,Data[#Headers],0))</f>
        <v>7946099</v>
      </c>
      <c r="I130" s="22">
        <f>INDEX(Data[],MATCH($A130,Data[Dist],0),MATCH(I$4,Data[#Headers],0))</f>
        <v>9975756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59039</v>
      </c>
      <c r="D131" s="22">
        <f>INDEX(Data[],MATCH($A131,Data[Dist],0),MATCH(D$4,Data[#Headers],0))</f>
        <v>285154</v>
      </c>
      <c r="E131" s="22">
        <f>INDEX(Data[],MATCH($A131,Data[Dist],0),MATCH(E$4,Data[#Headers],0))</f>
        <v>30421</v>
      </c>
      <c r="F131" s="22">
        <f>INDEX(Data[],MATCH($A131,Data[Dist],0),MATCH(F$4,Data[#Headers],0))</f>
        <v>29905</v>
      </c>
      <c r="G131" s="22">
        <f>INDEX(Data[],MATCH($A131,Data[Dist],0),MATCH(G$4,Data[#Headers],0))</f>
        <v>163407</v>
      </c>
      <c r="H131" s="22">
        <f>INDEX(Data[],MATCH($A131,Data[Dist],0),MATCH(H$4,Data[#Headers],0))</f>
        <v>2124474</v>
      </c>
      <c r="I131" s="22">
        <f>INDEX(Data[],MATCH($A131,Data[Dist],0),MATCH(I$4,Data[#Headers],0))</f>
        <v>2692400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121768</v>
      </c>
      <c r="D132" s="22">
        <f>INDEX(Data[],MATCH($A132,Data[Dist],0),MATCH(D$4,Data[#Headers],0))</f>
        <v>459929</v>
      </c>
      <c r="E132" s="22">
        <f>INDEX(Data[],MATCH($A132,Data[Dist],0),MATCH(E$4,Data[#Headers],0))</f>
        <v>45357</v>
      </c>
      <c r="F132" s="22">
        <f>INDEX(Data[],MATCH($A132,Data[Dist],0),MATCH(F$4,Data[#Headers],0))</f>
        <v>49433</v>
      </c>
      <c r="G132" s="22">
        <f>INDEX(Data[],MATCH($A132,Data[Dist],0),MATCH(G$4,Data[#Headers],0))</f>
        <v>239082</v>
      </c>
      <c r="H132" s="22">
        <f>INDEX(Data[],MATCH($A132,Data[Dist],0),MATCH(H$4,Data[#Headers],0))</f>
        <v>3606557</v>
      </c>
      <c r="I132" s="22">
        <f>INDEX(Data[],MATCH($A132,Data[Dist],0),MATCH(I$4,Data[#Headers],0))</f>
        <v>4522126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99628</v>
      </c>
      <c r="D133" s="22">
        <f>INDEX(Data[],MATCH($A133,Data[Dist],0),MATCH(D$4,Data[#Headers],0))</f>
        <v>263116</v>
      </c>
      <c r="E133" s="22">
        <f>INDEX(Data[],MATCH($A133,Data[Dist],0),MATCH(E$4,Data[#Headers],0))</f>
        <v>32045</v>
      </c>
      <c r="F133" s="22">
        <f>INDEX(Data[],MATCH($A133,Data[Dist],0),MATCH(F$4,Data[#Headers],0))</f>
        <v>27088</v>
      </c>
      <c r="G133" s="22">
        <f>INDEX(Data[],MATCH($A133,Data[Dist],0),MATCH(G$4,Data[#Headers],0))</f>
        <v>141760</v>
      </c>
      <c r="H133" s="22">
        <f>INDEX(Data[],MATCH($A133,Data[Dist],0),MATCH(H$4,Data[#Headers],0))</f>
        <v>1900989</v>
      </c>
      <c r="I133" s="22">
        <f>INDEX(Data[],MATCH($A133,Data[Dist],0),MATCH(I$4,Data[#Headers],0))</f>
        <v>2464626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140217</v>
      </c>
      <c r="D134" s="22">
        <f>INDEX(Data[],MATCH($A134,Data[Dist],0),MATCH(D$4,Data[#Headers],0))</f>
        <v>385098</v>
      </c>
      <c r="E134" s="22">
        <f>INDEX(Data[],MATCH($A134,Data[Dist],0),MATCH(E$4,Data[#Headers],0))</f>
        <v>39863</v>
      </c>
      <c r="F134" s="22">
        <f>INDEX(Data[],MATCH($A134,Data[Dist],0),MATCH(F$4,Data[#Headers],0))</f>
        <v>43588</v>
      </c>
      <c r="G134" s="22">
        <f>INDEX(Data[],MATCH($A134,Data[Dist],0),MATCH(G$4,Data[#Headers],0))</f>
        <v>215324</v>
      </c>
      <c r="H134" s="22">
        <f>INDEX(Data[],MATCH($A134,Data[Dist],0),MATCH(H$4,Data[#Headers],0))</f>
        <v>2392818</v>
      </c>
      <c r="I134" s="22">
        <f>INDEX(Data[],MATCH($A134,Data[Dist],0),MATCH(I$4,Data[#Headers],0))</f>
        <v>3216908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25830</v>
      </c>
      <c r="D135" s="22">
        <f>INDEX(Data[],MATCH($A135,Data[Dist],0),MATCH(D$4,Data[#Headers],0))</f>
        <v>216631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1583749</v>
      </c>
      <c r="I135" s="22">
        <f>INDEX(Data[],MATCH($A135,Data[Dist],0),MATCH(I$4,Data[#Headers],0))</f>
        <v>1988837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33210</v>
      </c>
      <c r="D136" s="22">
        <f>INDEX(Data[],MATCH($A136,Data[Dist],0),MATCH(D$4,Data[#Headers],0))</f>
        <v>147375</v>
      </c>
      <c r="E136" s="22">
        <f>INDEX(Data[],MATCH($A136,Data[Dist],0),MATCH(E$4,Data[#Headers],0))</f>
        <v>17282</v>
      </c>
      <c r="F136" s="22">
        <f>INDEX(Data[],MATCH($A136,Data[Dist],0),MATCH(F$4,Data[#Headers],0))</f>
        <v>15341</v>
      </c>
      <c r="G136" s="22">
        <f>INDEX(Data[],MATCH($A136,Data[Dist],0),MATCH(G$4,Data[#Headers],0))</f>
        <v>81221</v>
      </c>
      <c r="H136" s="22">
        <f>INDEX(Data[],MATCH($A136,Data[Dist],0),MATCH(H$4,Data[#Headers],0))</f>
        <v>1100637</v>
      </c>
      <c r="I136" s="22">
        <f>INDEX(Data[],MATCH($A136,Data[Dist],0),MATCH(I$4,Data[#Headers],0))</f>
        <v>1395066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202946</v>
      </c>
      <c r="D137" s="22">
        <f>INDEX(Data[],MATCH($A137,Data[Dist],0),MATCH(D$4,Data[#Headers],0))</f>
        <v>731855</v>
      </c>
      <c r="E137" s="22">
        <f>INDEX(Data[],MATCH($A137,Data[Dist],0),MATCH(E$4,Data[#Headers],0))</f>
        <v>94017</v>
      </c>
      <c r="F137" s="22">
        <f>INDEX(Data[],MATCH($A137,Data[Dist],0),MATCH(F$4,Data[#Headers],0))</f>
        <v>79576</v>
      </c>
      <c r="G137" s="22">
        <f>INDEX(Data[],MATCH($A137,Data[Dist],0),MATCH(G$4,Data[#Headers],0))</f>
        <v>396550</v>
      </c>
      <c r="H137" s="22">
        <f>INDEX(Data[],MATCH($A137,Data[Dist],0),MATCH(H$4,Data[#Headers],0))</f>
        <v>6310468</v>
      </c>
      <c r="I137" s="22">
        <f>INDEX(Data[],MATCH($A137,Data[Dist],0),MATCH(I$4,Data[#Headers],0))</f>
        <v>7815412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287813</v>
      </c>
      <c r="D138" s="22">
        <f>INDEX(Data[],MATCH($A138,Data[Dist],0),MATCH(D$4,Data[#Headers],0))</f>
        <v>859347</v>
      </c>
      <c r="E138" s="22">
        <f>INDEX(Data[],MATCH($A138,Data[Dist],0),MATCH(E$4,Data[#Headers],0))</f>
        <v>100478</v>
      </c>
      <c r="F138" s="22">
        <f>INDEX(Data[],MATCH($A138,Data[Dist],0),MATCH(F$4,Data[#Headers],0))</f>
        <v>100600</v>
      </c>
      <c r="G138" s="22">
        <f>INDEX(Data[],MATCH($A138,Data[Dist],0),MATCH(G$4,Data[#Headers],0))</f>
        <v>483602</v>
      </c>
      <c r="H138" s="22">
        <f>INDEX(Data[],MATCH($A138,Data[Dist],0),MATCH(H$4,Data[#Headers],0))</f>
        <v>6989751</v>
      </c>
      <c r="I138" s="22">
        <f>INDEX(Data[],MATCH($A138,Data[Dist],0),MATCH(I$4,Data[#Headers],0))</f>
        <v>8821591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66418</v>
      </c>
      <c r="D139" s="22">
        <f>INDEX(Data[],MATCH($A139,Data[Dist],0),MATCH(D$4,Data[#Headers],0))</f>
        <v>194221</v>
      </c>
      <c r="E139" s="22">
        <f>INDEX(Data[],MATCH($A139,Data[Dist],0),MATCH(E$4,Data[#Headers],0))</f>
        <v>26083</v>
      </c>
      <c r="F139" s="22">
        <f>INDEX(Data[],MATCH($A139,Data[Dist],0),MATCH(F$4,Data[#Headers],0))</f>
        <v>20399</v>
      </c>
      <c r="G139" s="22">
        <f>INDEX(Data[],MATCH($A139,Data[Dist],0),MATCH(G$4,Data[#Headers],0))</f>
        <v>104835</v>
      </c>
      <c r="H139" s="22">
        <f>INDEX(Data[],MATCH($A139,Data[Dist],0),MATCH(H$4,Data[#Headers],0))</f>
        <v>688602</v>
      </c>
      <c r="I139" s="22">
        <f>INDEX(Data[],MATCH($A139,Data[Dist],0),MATCH(I$4,Data[#Headers],0))</f>
        <v>1100558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125457</v>
      </c>
      <c r="D140" s="22">
        <f>INDEX(Data[],MATCH($A140,Data[Dist],0),MATCH(D$4,Data[#Headers],0))</f>
        <v>430477</v>
      </c>
      <c r="E140" s="22">
        <f>INDEX(Data[],MATCH($A140,Data[Dist],0),MATCH(E$4,Data[#Headers],0))</f>
        <v>44115</v>
      </c>
      <c r="F140" s="22">
        <f>INDEX(Data[],MATCH($A140,Data[Dist],0),MATCH(F$4,Data[#Headers],0))</f>
        <v>46635</v>
      </c>
      <c r="G140" s="22">
        <f>INDEX(Data[],MATCH($A140,Data[Dist],0),MATCH(G$4,Data[#Headers],0))</f>
        <v>229994</v>
      </c>
      <c r="H140" s="22">
        <f>INDEX(Data[],MATCH($A140,Data[Dist],0),MATCH(H$4,Data[#Headers],0))</f>
        <v>2499833</v>
      </c>
      <c r="I140" s="22">
        <f>INDEX(Data[],MATCH($A140,Data[Dist],0),MATCH(I$4,Data[#Headers],0))</f>
        <v>3376511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99628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2627695</v>
      </c>
      <c r="I141" s="22">
        <f>INDEX(Data[],MATCH($A141,Data[Dist],0),MATCH(I$4,Data[#Headers],0))</f>
        <v>3426686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132837</v>
      </c>
      <c r="D142" s="22">
        <f>INDEX(Data[],MATCH($A142,Data[Dist],0),MATCH(D$4,Data[#Headers],0))</f>
        <v>367150</v>
      </c>
      <c r="E142" s="22">
        <f>INDEX(Data[],MATCH($A142,Data[Dist],0),MATCH(E$4,Data[#Headers],0))</f>
        <v>44459</v>
      </c>
      <c r="F142" s="22">
        <f>INDEX(Data[],MATCH($A142,Data[Dist],0),MATCH(F$4,Data[#Headers],0))</f>
        <v>41255</v>
      </c>
      <c r="G142" s="22">
        <f>INDEX(Data[],MATCH($A142,Data[Dist],0),MATCH(G$4,Data[#Headers],0))</f>
        <v>199366</v>
      </c>
      <c r="H142" s="22">
        <f>INDEX(Data[],MATCH($A142,Data[Dist],0),MATCH(H$4,Data[#Headers],0))</f>
        <v>2796005</v>
      </c>
      <c r="I142" s="22">
        <f>INDEX(Data[],MATCH($A142,Data[Dist],0),MATCH(I$4,Data[#Headers],0))</f>
        <v>3581072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206635</v>
      </c>
      <c r="D143" s="22">
        <f>INDEX(Data[],MATCH($A143,Data[Dist],0),MATCH(D$4,Data[#Headers],0))</f>
        <v>759863</v>
      </c>
      <c r="E143" s="22">
        <f>INDEX(Data[],MATCH($A143,Data[Dist],0),MATCH(E$4,Data[#Headers],0))</f>
        <v>81508</v>
      </c>
      <c r="F143" s="22">
        <f>INDEX(Data[],MATCH($A143,Data[Dist],0),MATCH(F$4,Data[#Headers],0))</f>
        <v>82155</v>
      </c>
      <c r="G143" s="22">
        <f>INDEX(Data[],MATCH($A143,Data[Dist],0),MATCH(G$4,Data[#Headers],0))</f>
        <v>413259</v>
      </c>
      <c r="H143" s="22">
        <f>INDEX(Data[],MATCH($A143,Data[Dist],0),MATCH(H$4,Data[#Headers],0))</f>
        <v>5692157</v>
      </c>
      <c r="I143" s="22">
        <f>INDEX(Data[],MATCH($A143,Data[Dist],0),MATCH(I$4,Data[#Headers],0))</f>
        <v>7235577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66418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26154</v>
      </c>
      <c r="F144" s="22">
        <f>INDEX(Data[],MATCH($A144,Data[Dist],0),MATCH(F$4,Data[#Headers],0))</f>
        <v>22693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1322884</v>
      </c>
      <c r="I144" s="22">
        <f>INDEX(Data[],MATCH($A144,Data[Dist],0),MATCH(I$4,Data[#Headers],0))</f>
        <v>1842707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125457</v>
      </c>
      <c r="D145" s="22">
        <f>INDEX(Data[],MATCH($A145,Data[Dist],0),MATCH(D$4,Data[#Headers],0))</f>
        <v>462756</v>
      </c>
      <c r="E145" s="22">
        <f>INDEX(Data[],MATCH($A145,Data[Dist],0),MATCH(E$4,Data[#Headers],0))</f>
        <v>42116</v>
      </c>
      <c r="F145" s="22">
        <f>INDEX(Data[],MATCH($A145,Data[Dist],0),MATCH(F$4,Data[#Headers],0))</f>
        <v>52384</v>
      </c>
      <c r="G145" s="22">
        <f>INDEX(Data[],MATCH($A145,Data[Dist],0),MATCH(G$4,Data[#Headers],0))</f>
        <v>242660</v>
      </c>
      <c r="H145" s="22">
        <f>INDEX(Data[],MATCH($A145,Data[Dist],0),MATCH(H$4,Data[#Headers],0))</f>
        <v>3968622</v>
      </c>
      <c r="I145" s="22">
        <f>INDEX(Data[],MATCH($A145,Data[Dist],0),MATCH(I$4,Data[#Headers],0))</f>
        <v>4893995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302573</v>
      </c>
      <c r="D146" s="22">
        <f>INDEX(Data[],MATCH($A146,Data[Dist],0),MATCH(D$4,Data[#Headers],0))</f>
        <v>804550</v>
      </c>
      <c r="E146" s="22">
        <f>INDEX(Data[],MATCH($A146,Data[Dist],0),MATCH(E$4,Data[#Headers],0))</f>
        <v>97923</v>
      </c>
      <c r="F146" s="22">
        <f>INDEX(Data[],MATCH($A146,Data[Dist],0),MATCH(F$4,Data[#Headers],0))</f>
        <v>88328</v>
      </c>
      <c r="G146" s="22">
        <f>INDEX(Data[],MATCH($A146,Data[Dist],0),MATCH(G$4,Data[#Headers],0))</f>
        <v>442384</v>
      </c>
      <c r="H146" s="22">
        <f>INDEX(Data[],MATCH($A146,Data[Dist],0),MATCH(H$4,Data[#Headers],0))</f>
        <v>6405175</v>
      </c>
      <c r="I146" s="22">
        <f>INDEX(Data[],MATCH($A146,Data[Dist],0),MATCH(I$4,Data[#Headers],0))</f>
        <v>8140933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346852</v>
      </c>
      <c r="D147" s="22">
        <f>INDEX(Data[],MATCH($A147,Data[Dist],0),MATCH(D$4,Data[#Headers],0))</f>
        <v>931770</v>
      </c>
      <c r="E147" s="22">
        <f>INDEX(Data[],MATCH($A147,Data[Dist],0),MATCH(E$4,Data[#Headers],0))</f>
        <v>104715</v>
      </c>
      <c r="F147" s="22">
        <f>INDEX(Data[],MATCH($A147,Data[Dist],0),MATCH(F$4,Data[#Headers],0))</f>
        <v>109329</v>
      </c>
      <c r="G147" s="22">
        <f>INDEX(Data[],MATCH($A147,Data[Dist],0),MATCH(G$4,Data[#Headers],0))</f>
        <v>503317</v>
      </c>
      <c r="H147" s="22">
        <f>INDEX(Data[],MATCH($A147,Data[Dist],0),MATCH(H$4,Data[#Headers],0))</f>
        <v>7849879</v>
      </c>
      <c r="I147" s="22">
        <f>INDEX(Data[],MATCH($A147,Data[Dist],0),MATCH(I$4,Data[#Headers],0))</f>
        <v>9845862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457549</v>
      </c>
      <c r="D148" s="22">
        <f>INDEX(Data[],MATCH($A148,Data[Dist],0),MATCH(D$4,Data[#Headers],0))</f>
        <v>2063610</v>
      </c>
      <c r="E148" s="22">
        <f>INDEX(Data[],MATCH($A148,Data[Dist],0),MATCH(E$4,Data[#Headers],0))</f>
        <v>236266</v>
      </c>
      <c r="F148" s="22">
        <f>INDEX(Data[],MATCH($A148,Data[Dist],0),MATCH(F$4,Data[#Headers],0))</f>
        <v>243597</v>
      </c>
      <c r="G148" s="22">
        <f>INDEX(Data[],MATCH($A148,Data[Dist],0),MATCH(G$4,Data[#Headers],0))</f>
        <v>1243176</v>
      </c>
      <c r="H148" s="22">
        <f>INDEX(Data[],MATCH($A148,Data[Dist],0),MATCH(H$4,Data[#Headers],0))</f>
        <v>21327656</v>
      </c>
      <c r="I148" s="22">
        <f>INDEX(Data[],MATCH($A148,Data[Dist],0),MATCH(I$4,Data[#Headers],0))</f>
        <v>25571854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162356</v>
      </c>
      <c r="D149" s="22">
        <f>INDEX(Data[],MATCH($A149,Data[Dist],0),MATCH(D$4,Data[#Headers],0))</f>
        <v>547136</v>
      </c>
      <c r="E149" s="22">
        <f>INDEX(Data[],MATCH($A149,Data[Dist],0),MATCH(E$4,Data[#Headers],0))</f>
        <v>58667</v>
      </c>
      <c r="F149" s="22">
        <f>INDEX(Data[],MATCH($A149,Data[Dist],0),MATCH(F$4,Data[#Headers],0))</f>
        <v>51660</v>
      </c>
      <c r="G149" s="22">
        <f>INDEX(Data[],MATCH($A149,Data[Dist],0),MATCH(G$4,Data[#Headers],0))</f>
        <v>303164</v>
      </c>
      <c r="H149" s="22">
        <f>INDEX(Data[],MATCH($A149,Data[Dist],0),MATCH(H$4,Data[#Headers],0))</f>
        <v>4792976</v>
      </c>
      <c r="I149" s="22">
        <f>INDEX(Data[],MATCH($A149,Data[Dist],0),MATCH(I$4,Data[#Headers],0))</f>
        <v>5915959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1921071</v>
      </c>
      <c r="D150" s="22">
        <f>INDEX(Data[],MATCH($A150,Data[Dist],0),MATCH(D$4,Data[#Headers],0))</f>
        <v>8830037</v>
      </c>
      <c r="E150" s="22">
        <f>INDEX(Data[],MATCH($A150,Data[Dist],0),MATCH(E$4,Data[#Headers],0))</f>
        <v>1116332</v>
      </c>
      <c r="F150" s="22">
        <f>INDEX(Data[],MATCH($A150,Data[Dist],0),MATCH(F$4,Data[#Headers],0))</f>
        <v>1083080</v>
      </c>
      <c r="G150" s="22">
        <f>INDEX(Data[],MATCH($A150,Data[Dist],0),MATCH(G$4,Data[#Headers],0))</f>
        <v>5150531</v>
      </c>
      <c r="H150" s="22">
        <f>INDEX(Data[],MATCH($A150,Data[Dist],0),MATCH(H$4,Data[#Headers],0))</f>
        <v>69702618</v>
      </c>
      <c r="I150" s="22">
        <f>INDEX(Data[],MATCH($A150,Data[Dist],0),MATCH(I$4,Data[#Headers],0))</f>
        <v>87803669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221395</v>
      </c>
      <c r="D151" s="22">
        <f>INDEX(Data[],MATCH($A151,Data[Dist],0),MATCH(D$4,Data[#Headers],0))</f>
        <v>655054</v>
      </c>
      <c r="E151" s="22">
        <f>INDEX(Data[],MATCH($A151,Data[Dist],0),MATCH(E$4,Data[#Headers],0))</f>
        <v>82040</v>
      </c>
      <c r="F151" s="22">
        <f>INDEX(Data[],MATCH($A151,Data[Dist],0),MATCH(F$4,Data[#Headers],0))</f>
        <v>76001</v>
      </c>
      <c r="G151" s="22">
        <f>INDEX(Data[],MATCH($A151,Data[Dist],0),MATCH(G$4,Data[#Headers],0))</f>
        <v>363203</v>
      </c>
      <c r="H151" s="22">
        <f>INDEX(Data[],MATCH($A151,Data[Dist],0),MATCH(H$4,Data[#Headers],0))</f>
        <v>5474943</v>
      </c>
      <c r="I151" s="22">
        <f>INDEX(Data[],MATCH($A151,Data[Dist],0),MATCH(I$4,Data[#Headers],0))</f>
        <v>6872636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103318</v>
      </c>
      <c r="D152" s="22">
        <f>INDEX(Data[],MATCH($A152,Data[Dist],0),MATCH(D$4,Data[#Headers],0))</f>
        <v>307989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35839</v>
      </c>
      <c r="G152" s="22">
        <f>INDEX(Data[],MATCH($A152,Data[Dist],0),MATCH(G$4,Data[#Headers],0))</f>
        <v>181307</v>
      </c>
      <c r="H152" s="22">
        <f>INDEX(Data[],MATCH($A152,Data[Dist],0),MATCH(H$4,Data[#Headers],0))</f>
        <v>2876204</v>
      </c>
      <c r="I152" s="22">
        <f>INDEX(Data[],MATCH($A152,Data[Dist],0),MATCH(I$4,Data[#Headers],0))</f>
        <v>3535587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180806</v>
      </c>
      <c r="D153" s="22">
        <f>INDEX(Data[],MATCH($A153,Data[Dist],0),MATCH(D$4,Data[#Headers],0))</f>
        <v>468575</v>
      </c>
      <c r="E153" s="22">
        <f>INDEX(Data[],MATCH($A153,Data[Dist],0),MATCH(E$4,Data[#Headers],0))</f>
        <v>49104</v>
      </c>
      <c r="F153" s="22">
        <f>INDEX(Data[],MATCH($A153,Data[Dist],0),MATCH(F$4,Data[#Headers],0))</f>
        <v>53612</v>
      </c>
      <c r="G153" s="22">
        <f>INDEX(Data[],MATCH($A153,Data[Dist],0),MATCH(G$4,Data[#Headers],0))</f>
        <v>244020</v>
      </c>
      <c r="H153" s="22">
        <f>INDEX(Data[],MATCH($A153,Data[Dist],0),MATCH(H$4,Data[#Headers],0))</f>
        <v>2840673</v>
      </c>
      <c r="I153" s="22">
        <f>INDEX(Data[],MATCH($A153,Data[Dist],0),MATCH(I$4,Data[#Headers],0))</f>
        <v>3836790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81178</v>
      </c>
      <c r="D154" s="22">
        <f>INDEX(Data[],MATCH($A154,Data[Dist],0),MATCH(D$4,Data[#Headers],0))</f>
        <v>273832</v>
      </c>
      <c r="E154" s="22">
        <f>INDEX(Data[],MATCH($A154,Data[Dist],0),MATCH(E$4,Data[#Headers],0))</f>
        <v>24181</v>
      </c>
      <c r="F154" s="22">
        <f>INDEX(Data[],MATCH($A154,Data[Dist],0),MATCH(F$4,Data[#Headers],0))</f>
        <v>26690</v>
      </c>
      <c r="G154" s="22">
        <f>INDEX(Data[],MATCH($A154,Data[Dist],0),MATCH(G$4,Data[#Headers],0))</f>
        <v>156681</v>
      </c>
      <c r="H154" s="22">
        <f>INDEX(Data[],MATCH($A154,Data[Dist],0),MATCH(H$4,Data[#Headers],0))</f>
        <v>2426733</v>
      </c>
      <c r="I154" s="22">
        <f>INDEX(Data[],MATCH($A154,Data[Dist],0),MATCH(I$4,Data[#Headers],0))</f>
        <v>2989295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295193</v>
      </c>
      <c r="D155" s="22">
        <f>INDEX(Data[],MATCH($A155,Data[Dist],0),MATCH(D$4,Data[#Headers],0))</f>
        <v>766300</v>
      </c>
      <c r="E155" s="22">
        <f>INDEX(Data[],MATCH($A155,Data[Dist],0),MATCH(E$4,Data[#Headers],0))</f>
        <v>94410</v>
      </c>
      <c r="F155" s="22">
        <f>INDEX(Data[],MATCH($A155,Data[Dist],0),MATCH(F$4,Data[#Headers],0))</f>
        <v>87143</v>
      </c>
      <c r="G155" s="22">
        <f>INDEX(Data[],MATCH($A155,Data[Dist],0),MATCH(G$4,Data[#Headers],0))</f>
        <v>424852</v>
      </c>
      <c r="H155" s="22">
        <f>INDEX(Data[],MATCH($A155,Data[Dist],0),MATCH(H$4,Data[#Headers],0))</f>
        <v>5820782</v>
      </c>
      <c r="I155" s="22">
        <f>INDEX(Data[],MATCH($A155,Data[Dist],0),MATCH(I$4,Data[#Headers],0))</f>
        <v>7488680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228775</v>
      </c>
      <c r="D156" s="22">
        <f>INDEX(Data[],MATCH($A156,Data[Dist],0),MATCH(D$4,Data[#Headers],0))</f>
        <v>532180</v>
      </c>
      <c r="E156" s="22">
        <f>INDEX(Data[],MATCH($A156,Data[Dist],0),MATCH(E$4,Data[#Headers],0))</f>
        <v>70004</v>
      </c>
      <c r="F156" s="22">
        <f>INDEX(Data[],MATCH($A156,Data[Dist],0),MATCH(F$4,Data[#Headers],0))</f>
        <v>57958</v>
      </c>
      <c r="G156" s="22">
        <f>INDEX(Data[],MATCH($A156,Data[Dist],0),MATCH(G$4,Data[#Headers],0))</f>
        <v>326779</v>
      </c>
      <c r="H156" s="22">
        <f>INDEX(Data[],MATCH($A156,Data[Dist],0),MATCH(H$4,Data[#Headers],0))</f>
        <v>5105963</v>
      </c>
      <c r="I156" s="22">
        <f>INDEX(Data[],MATCH($A156,Data[Dist],0),MATCH(I$4,Data[#Headers],0))</f>
        <v>6321659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1010884</v>
      </c>
      <c r="D157" s="22">
        <f>INDEX(Data[],MATCH($A157,Data[Dist],0),MATCH(D$4,Data[#Headers],0))</f>
        <v>4164542</v>
      </c>
      <c r="E157" s="22">
        <f>INDEX(Data[],MATCH($A157,Data[Dist],0),MATCH(E$4,Data[#Headers],0))</f>
        <v>458690</v>
      </c>
      <c r="F157" s="22">
        <f>INDEX(Data[],MATCH($A157,Data[Dist],0),MATCH(F$4,Data[#Headers],0))</f>
        <v>463022</v>
      </c>
      <c r="G157" s="22">
        <f>INDEX(Data[],MATCH($A157,Data[Dist],0),MATCH(G$4,Data[#Headers],0))</f>
        <v>2499913</v>
      </c>
      <c r="H157" s="22">
        <f>INDEX(Data[],MATCH($A157,Data[Dist],0),MATCH(H$4,Data[#Headers],0))</f>
        <v>38184961</v>
      </c>
      <c r="I157" s="22">
        <f>INDEX(Data[],MATCH($A157,Data[Dist],0),MATCH(I$4,Data[#Headers],0))</f>
        <v>46782012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335783</v>
      </c>
      <c r="D158" s="22">
        <f>INDEX(Data[],MATCH($A158,Data[Dist],0),MATCH(D$4,Data[#Headers],0))</f>
        <v>1173750</v>
      </c>
      <c r="E158" s="22">
        <f>INDEX(Data[],MATCH($A158,Data[Dist],0),MATCH(E$4,Data[#Headers],0))</f>
        <v>150079</v>
      </c>
      <c r="F158" s="22">
        <f>INDEX(Data[],MATCH($A158,Data[Dist],0),MATCH(F$4,Data[#Headers],0))</f>
        <v>138965</v>
      </c>
      <c r="G158" s="22">
        <f>INDEX(Data[],MATCH($A158,Data[Dist],0),MATCH(G$4,Data[#Headers],0))</f>
        <v>671734</v>
      </c>
      <c r="H158" s="22">
        <f>INDEX(Data[],MATCH($A158,Data[Dist],0),MATCH(H$4,Data[#Headers],0))</f>
        <v>13262039</v>
      </c>
      <c r="I158" s="22">
        <f>INDEX(Data[],MATCH($A158,Data[Dist],0),MATCH(I$4,Data[#Headers],0))</f>
        <v>15732350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66418</v>
      </c>
      <c r="D159" s="22">
        <f>INDEX(Data[],MATCH($A159,Data[Dist],0),MATCH(D$4,Data[#Headers],0))</f>
        <v>235049</v>
      </c>
      <c r="E159" s="22">
        <f>INDEX(Data[],MATCH($A159,Data[Dist],0),MATCH(E$4,Data[#Headers],0))</f>
        <v>23170</v>
      </c>
      <c r="F159" s="22">
        <f>INDEX(Data[],MATCH($A159,Data[Dist],0),MATCH(F$4,Data[#Headers],0))</f>
        <v>24786</v>
      </c>
      <c r="G159" s="22">
        <f>INDEX(Data[],MATCH($A159,Data[Dist],0),MATCH(G$4,Data[#Headers],0))</f>
        <v>124049</v>
      </c>
      <c r="H159" s="22">
        <f>INDEX(Data[],MATCH($A159,Data[Dist],0),MATCH(H$4,Data[#Headers],0))</f>
        <v>1628382</v>
      </c>
      <c r="I159" s="22">
        <f>INDEX(Data[],MATCH($A159,Data[Dist],0),MATCH(I$4,Data[#Headers],0))</f>
        <v>2101854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312918</v>
      </c>
      <c r="E160" s="22">
        <f>INDEX(Data[],MATCH($A160,Data[Dist],0),MATCH(E$4,Data[#Headers],0))</f>
        <v>39472</v>
      </c>
      <c r="F160" s="22">
        <f>INDEX(Data[],MATCH($A160,Data[Dist],0),MATCH(F$4,Data[#Headers],0))</f>
        <v>36204</v>
      </c>
      <c r="G160" s="22">
        <f>INDEX(Data[],MATCH($A160,Data[Dist],0),MATCH(G$4,Data[#Headers],0))</f>
        <v>165840</v>
      </c>
      <c r="H160" s="22">
        <f>INDEX(Data[],MATCH($A160,Data[Dist],0),MATCH(H$4,Data[#Headers],0))</f>
        <v>2435123</v>
      </c>
      <c r="I160" s="22">
        <f>INDEX(Data[],MATCH($A160,Data[Dist],0),MATCH(I$4,Data[#Headers],0))</f>
        <v>2989557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365302</v>
      </c>
      <c r="D161" s="22">
        <f>INDEX(Data[],MATCH($A161,Data[Dist],0),MATCH(D$4,Data[#Headers],0))</f>
        <v>1120379</v>
      </c>
      <c r="E161" s="22">
        <f>INDEX(Data[],MATCH($A161,Data[Dist],0),MATCH(E$4,Data[#Headers],0))</f>
        <v>133048</v>
      </c>
      <c r="F161" s="22">
        <f>INDEX(Data[],MATCH($A161,Data[Dist],0),MATCH(F$4,Data[#Headers],0))</f>
        <v>120472</v>
      </c>
      <c r="G161" s="22">
        <f>INDEX(Data[],MATCH($A161,Data[Dist],0),MATCH(G$4,Data[#Headers],0))</f>
        <v>627617</v>
      </c>
      <c r="H161" s="22">
        <f>INDEX(Data[],MATCH($A161,Data[Dist],0),MATCH(H$4,Data[#Headers],0))</f>
        <v>10798186</v>
      </c>
      <c r="I161" s="22">
        <f>INDEX(Data[],MATCH($A161,Data[Dist],0),MATCH(I$4,Data[#Headers],0))</f>
        <v>13165004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95938</v>
      </c>
      <c r="D162" s="22">
        <f>INDEX(Data[],MATCH($A162,Data[Dist],0),MATCH(D$4,Data[#Headers],0))</f>
        <v>385878</v>
      </c>
      <c r="E162" s="22">
        <f>INDEX(Data[],MATCH($A162,Data[Dist],0),MATCH(E$4,Data[#Headers],0))</f>
        <v>45605</v>
      </c>
      <c r="F162" s="22">
        <f>INDEX(Data[],MATCH($A162,Data[Dist],0),MATCH(F$4,Data[#Headers],0))</f>
        <v>39983</v>
      </c>
      <c r="G162" s="22">
        <f>INDEX(Data[],MATCH($A162,Data[Dist],0),MATCH(G$4,Data[#Headers],0))</f>
        <v>205485</v>
      </c>
      <c r="H162" s="22">
        <f>INDEX(Data[],MATCH($A162,Data[Dist],0),MATCH(H$4,Data[#Headers],0))</f>
        <v>2681034</v>
      </c>
      <c r="I162" s="22">
        <f>INDEX(Data[],MATCH($A162,Data[Dist],0),MATCH(I$4,Data[#Headers],0))</f>
        <v>3453923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92248</v>
      </c>
      <c r="D163" s="22">
        <f>INDEX(Data[],MATCH($A163,Data[Dist],0),MATCH(D$4,Data[#Headers],0))</f>
        <v>224457</v>
      </c>
      <c r="E163" s="22">
        <f>INDEX(Data[],MATCH($A163,Data[Dist],0),MATCH(E$4,Data[#Headers],0))</f>
        <v>24564</v>
      </c>
      <c r="F163" s="22">
        <f>INDEX(Data[],MATCH($A163,Data[Dist],0),MATCH(F$4,Data[#Headers],0))</f>
        <v>24282</v>
      </c>
      <c r="G163" s="22">
        <f>INDEX(Data[],MATCH($A163,Data[Dist],0),MATCH(G$4,Data[#Headers],0))</f>
        <v>112135</v>
      </c>
      <c r="H163" s="22">
        <f>INDEX(Data[],MATCH($A163,Data[Dist],0),MATCH(H$4,Data[#Headers],0))</f>
        <v>2135479</v>
      </c>
      <c r="I163" s="22">
        <f>INDEX(Data[],MATCH($A163,Data[Dist],0),MATCH(I$4,Data[#Headers],0))</f>
        <v>2613165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73798</v>
      </c>
      <c r="D164" s="22">
        <f>INDEX(Data[],MATCH($A164,Data[Dist],0),MATCH(D$4,Data[#Headers],0))</f>
        <v>195280</v>
      </c>
      <c r="E164" s="22">
        <f>INDEX(Data[],MATCH($A164,Data[Dist],0),MATCH(E$4,Data[#Headers],0))</f>
        <v>20379</v>
      </c>
      <c r="F164" s="22">
        <f>INDEX(Data[],MATCH($A164,Data[Dist],0),MATCH(F$4,Data[#Headers],0))</f>
        <v>21366</v>
      </c>
      <c r="G164" s="22">
        <f>INDEX(Data[],MATCH($A164,Data[Dist],0),MATCH(G$4,Data[#Headers],0))</f>
        <v>99397</v>
      </c>
      <c r="H164" s="22">
        <f>INDEX(Data[],MATCH($A164,Data[Dist],0),MATCH(H$4,Data[#Headers],0))</f>
        <v>1307568</v>
      </c>
      <c r="I164" s="22">
        <f>INDEX(Data[],MATCH($A164,Data[Dist],0),MATCH(I$4,Data[#Headers],0))</f>
        <v>1717788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158667</v>
      </c>
      <c r="D165" s="22">
        <f>INDEX(Data[],MATCH($A165,Data[Dist],0),MATCH(D$4,Data[#Headers],0))</f>
        <v>386079</v>
      </c>
      <c r="E165" s="22">
        <f>INDEX(Data[],MATCH($A165,Data[Dist],0),MATCH(E$4,Data[#Headers],0))</f>
        <v>40157</v>
      </c>
      <c r="F165" s="22">
        <f>INDEX(Data[],MATCH($A165,Data[Dist],0),MATCH(F$4,Data[#Headers],0))</f>
        <v>41211</v>
      </c>
      <c r="G165" s="22">
        <f>INDEX(Data[],MATCH($A165,Data[Dist],0),MATCH(G$4,Data[#Headers],0))</f>
        <v>220441</v>
      </c>
      <c r="H165" s="22">
        <f>INDEX(Data[],MATCH($A165,Data[Dist],0),MATCH(H$4,Data[#Headers],0))</f>
        <v>3053303</v>
      </c>
      <c r="I165" s="22">
        <f>INDEX(Data[],MATCH($A165,Data[Dist],0),MATCH(I$4,Data[#Headers],0))</f>
        <v>3899858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118077</v>
      </c>
      <c r="D166" s="22">
        <f>INDEX(Data[],MATCH($A166,Data[Dist],0),MATCH(D$4,Data[#Headers],0))</f>
        <v>388186</v>
      </c>
      <c r="E166" s="22">
        <f>INDEX(Data[],MATCH($A166,Data[Dist],0),MATCH(E$4,Data[#Headers],0))</f>
        <v>44707</v>
      </c>
      <c r="F166" s="22">
        <f>INDEX(Data[],MATCH($A166,Data[Dist],0),MATCH(F$4,Data[#Headers],0))</f>
        <v>44111</v>
      </c>
      <c r="G166" s="22">
        <f>INDEX(Data[],MATCH($A166,Data[Dist],0),MATCH(G$4,Data[#Headers],0))</f>
        <v>202944</v>
      </c>
      <c r="H166" s="22">
        <f>INDEX(Data[],MATCH($A166,Data[Dist],0),MATCH(H$4,Data[#Headers],0))</f>
        <v>2600790</v>
      </c>
      <c r="I166" s="22">
        <f>INDEX(Data[],MATCH($A166,Data[Dist],0),MATCH(I$4,Data[#Headers],0))</f>
        <v>3398815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343163</v>
      </c>
      <c r="D167" s="22">
        <f>INDEX(Data[],MATCH($A167,Data[Dist],0),MATCH(D$4,Data[#Headers],0))</f>
        <v>1372289</v>
      </c>
      <c r="E167" s="22">
        <f>INDEX(Data[],MATCH($A167,Data[Dist],0),MATCH(E$4,Data[#Headers],0))</f>
        <v>152101</v>
      </c>
      <c r="F167" s="22">
        <f>INDEX(Data[],MATCH($A167,Data[Dist],0),MATCH(F$4,Data[#Headers],0))</f>
        <v>159100</v>
      </c>
      <c r="G167" s="22">
        <f>INDEX(Data[],MATCH($A167,Data[Dist],0),MATCH(G$4,Data[#Headers],0))</f>
        <v>799969</v>
      </c>
      <c r="H167" s="22">
        <f>INDEX(Data[],MATCH($A167,Data[Dist],0),MATCH(H$4,Data[#Headers],0))</f>
        <v>11997607</v>
      </c>
      <c r="I167" s="22">
        <f>INDEX(Data[],MATCH($A167,Data[Dist],0),MATCH(I$4,Data[#Headers],0))</f>
        <v>14824229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129148</v>
      </c>
      <c r="D168" s="22">
        <f>INDEX(Data[],MATCH($A168,Data[Dist],0),MATCH(D$4,Data[#Headers],0))</f>
        <v>313778</v>
      </c>
      <c r="E168" s="22">
        <f>INDEX(Data[],MATCH($A168,Data[Dist],0),MATCH(E$4,Data[#Headers],0))</f>
        <v>41293</v>
      </c>
      <c r="F168" s="22">
        <f>INDEX(Data[],MATCH($A168,Data[Dist],0),MATCH(F$4,Data[#Headers],0))</f>
        <v>36159</v>
      </c>
      <c r="G168" s="22">
        <f>INDEX(Data[],MATCH($A168,Data[Dist],0),MATCH(G$4,Data[#Headers],0))</f>
        <v>161117</v>
      </c>
      <c r="H168" s="22">
        <f>INDEX(Data[],MATCH($A168,Data[Dist],0),MATCH(H$4,Data[#Headers],0))</f>
        <v>2492565</v>
      </c>
      <c r="I168" s="22">
        <f>INDEX(Data[],MATCH($A168,Data[Dist],0),MATCH(I$4,Data[#Headers],0))</f>
        <v>3174060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243534</v>
      </c>
      <c r="D169" s="22">
        <f>INDEX(Data[],MATCH($A169,Data[Dist],0),MATCH(D$4,Data[#Headers],0))</f>
        <v>1624021</v>
      </c>
      <c r="E169" s="22">
        <f>INDEX(Data[],MATCH($A169,Data[Dist],0),MATCH(E$4,Data[#Headers],0))</f>
        <v>238646</v>
      </c>
      <c r="F169" s="22">
        <f>INDEX(Data[],MATCH($A169,Data[Dist],0),MATCH(F$4,Data[#Headers],0))</f>
        <v>189677</v>
      </c>
      <c r="G169" s="22">
        <f>INDEX(Data[],MATCH($A169,Data[Dist],0),MATCH(G$4,Data[#Headers],0))</f>
        <v>939976</v>
      </c>
      <c r="H169" s="22">
        <f>INDEX(Data[],MATCH($A169,Data[Dist],0),MATCH(H$4,Data[#Headers],0))</f>
        <v>11489938</v>
      </c>
      <c r="I169" s="22">
        <f>INDEX(Data[],MATCH($A169,Data[Dist],0),MATCH(I$4,Data[#Headers],0))</f>
        <v>14725792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147597</v>
      </c>
      <c r="D170" s="22">
        <f>INDEX(Data[],MATCH($A170,Data[Dist],0),MATCH(D$4,Data[#Headers],0))</f>
        <v>455090</v>
      </c>
      <c r="E170" s="22">
        <f>INDEX(Data[],MATCH($A170,Data[Dist],0),MATCH(E$4,Data[#Headers],0))</f>
        <v>48307</v>
      </c>
      <c r="F170" s="22">
        <f>INDEX(Data[],MATCH($A170,Data[Dist],0),MATCH(F$4,Data[#Headers],0))</f>
        <v>48989</v>
      </c>
      <c r="G170" s="22">
        <f>INDEX(Data[],MATCH($A170,Data[Dist],0),MATCH(G$4,Data[#Headers],0))</f>
        <v>256900</v>
      </c>
      <c r="H170" s="22">
        <f>INDEX(Data[],MATCH($A170,Data[Dist],0),MATCH(H$4,Data[#Headers],0))</f>
        <v>3608089</v>
      </c>
      <c r="I170" s="22">
        <f>INDEX(Data[],MATCH($A170,Data[Dist],0),MATCH(I$4,Data[#Headers],0))</f>
        <v>4564972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889270</v>
      </c>
      <c r="D171" s="22">
        <f>INDEX(Data[],MATCH($A171,Data[Dist],0),MATCH(D$4,Data[#Headers],0))</f>
        <v>4535226</v>
      </c>
      <c r="E171" s="22">
        <f>INDEX(Data[],MATCH($A171,Data[Dist],0),MATCH(E$4,Data[#Headers],0))</f>
        <v>505160</v>
      </c>
      <c r="F171" s="22">
        <f>INDEX(Data[],MATCH($A171,Data[Dist],0),MATCH(F$4,Data[#Headers],0))</f>
        <v>507434</v>
      </c>
      <c r="G171" s="22">
        <f>INDEX(Data[],MATCH($A171,Data[Dist],0),MATCH(G$4,Data[#Headers],0))</f>
        <v>2711874</v>
      </c>
      <c r="H171" s="22">
        <f>INDEX(Data[],MATCH($A171,Data[Dist],0),MATCH(H$4,Data[#Headers],0))</f>
        <v>43142510</v>
      </c>
      <c r="I171" s="22">
        <f>INDEX(Data[],MATCH($A171,Data[Dist],0),MATCH(I$4,Data[#Headers],0))</f>
        <v>52291474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191876</v>
      </c>
      <c r="D172" s="22">
        <f>INDEX(Data[],MATCH($A172,Data[Dist],0),MATCH(D$4,Data[#Headers],0))</f>
        <v>397565</v>
      </c>
      <c r="E172" s="22">
        <f>INDEX(Data[],MATCH($A172,Data[Dist],0),MATCH(E$4,Data[#Headers],0))</f>
        <v>39720</v>
      </c>
      <c r="F172" s="22">
        <f>INDEX(Data[],MATCH($A172,Data[Dist],0),MATCH(F$4,Data[#Headers],0))</f>
        <v>39957</v>
      </c>
      <c r="G172" s="22">
        <f>INDEX(Data[],MATCH($A172,Data[Dist],0),MATCH(G$4,Data[#Headers],0))</f>
        <v>235683</v>
      </c>
      <c r="H172" s="22">
        <f>INDEX(Data[],MATCH($A172,Data[Dist],0),MATCH(H$4,Data[#Headers],0))</f>
        <v>3837255</v>
      </c>
      <c r="I172" s="22">
        <f>INDEX(Data[],MATCH($A172,Data[Dist],0),MATCH(I$4,Data[#Headers],0))</f>
        <v>4742056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173427</v>
      </c>
      <c r="D173" s="22">
        <f>INDEX(Data[],MATCH($A173,Data[Dist],0),MATCH(D$4,Data[#Headers],0))</f>
        <v>367647</v>
      </c>
      <c r="E173" s="22">
        <f>INDEX(Data[],MATCH($A173,Data[Dist],0),MATCH(E$4,Data[#Headers],0))</f>
        <v>41999</v>
      </c>
      <c r="F173" s="22">
        <f>INDEX(Data[],MATCH($A173,Data[Dist],0),MATCH(F$4,Data[#Headers],0))</f>
        <v>41051</v>
      </c>
      <c r="G173" s="22">
        <f>INDEX(Data[],MATCH($A173,Data[Dist],0),MATCH(G$4,Data[#Headers],0))</f>
        <v>205628</v>
      </c>
      <c r="H173" s="22">
        <f>INDEX(Data[],MATCH($A173,Data[Dist],0),MATCH(H$4,Data[#Headers],0))</f>
        <v>2999482</v>
      </c>
      <c r="I173" s="22">
        <f>INDEX(Data[],MATCH($A173,Data[Dist],0),MATCH(I$4,Data[#Headers],0))</f>
        <v>3829234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103318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1501910</v>
      </c>
      <c r="I174" s="22">
        <f>INDEX(Data[],MATCH($A174,Data[Dist],0),MATCH(I$4,Data[#Headers],0))</f>
        <v>2046557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173427</v>
      </c>
      <c r="D175" s="22">
        <f>INDEX(Data[],MATCH($A175,Data[Dist],0),MATCH(D$4,Data[#Headers],0))</f>
        <v>474245</v>
      </c>
      <c r="E175" s="22">
        <f>INDEX(Data[],MATCH($A175,Data[Dist],0),MATCH(E$4,Data[#Headers],0))</f>
        <v>50864</v>
      </c>
      <c r="F175" s="22">
        <f>INDEX(Data[],MATCH($A175,Data[Dist],0),MATCH(F$4,Data[#Headers],0))</f>
        <v>54818</v>
      </c>
      <c r="G175" s="22">
        <f>INDEX(Data[],MATCH($A175,Data[Dist],0),MATCH(G$4,Data[#Headers],0))</f>
        <v>247777</v>
      </c>
      <c r="H175" s="22">
        <f>INDEX(Data[],MATCH($A175,Data[Dist],0),MATCH(H$4,Data[#Headers],0))</f>
        <v>3625685</v>
      </c>
      <c r="I175" s="22">
        <f>INDEX(Data[],MATCH($A175,Data[Dist],0),MATCH(I$4,Data[#Headers],0))</f>
        <v>4626816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3690</v>
      </c>
      <c r="D176" s="22">
        <f>INDEX(Data[],MATCH($A176,Data[Dist],0),MATCH(D$4,Data[#Headers],0))</f>
        <v>110884</v>
      </c>
      <c r="E176" s="22">
        <f>INDEX(Data[],MATCH($A176,Data[Dist],0),MATCH(E$4,Data[#Headers],0))</f>
        <v>2841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101254</v>
      </c>
      <c r="I176" s="22">
        <f>INDEX(Data[],MATCH($A176,Data[Dist],0),MATCH(I$4,Data[#Headers],0))</f>
        <v>285763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140141</v>
      </c>
      <c r="D177" s="22">
        <f>INDEX(Data[],MATCH($A177,Data[Dist],0),MATCH(D$4,Data[#Headers],0))</f>
        <v>291997</v>
      </c>
      <c r="E177" s="22">
        <f>INDEX(Data[],MATCH($A177,Data[Dist],0),MATCH(E$4,Data[#Headers],0))</f>
        <v>30082</v>
      </c>
      <c r="F177" s="22">
        <f>INDEX(Data[],MATCH($A177,Data[Dist],0),MATCH(F$4,Data[#Headers],0))</f>
        <v>29609</v>
      </c>
      <c r="G177" s="22">
        <f>INDEX(Data[],MATCH($A177,Data[Dist],0),MATCH(G$4,Data[#Headers],0))</f>
        <v>161296</v>
      </c>
      <c r="H177" s="22">
        <f>INDEX(Data[],MATCH($A177,Data[Dist],0),MATCH(H$4,Data[#Headers],0))</f>
        <v>2133122</v>
      </c>
      <c r="I177" s="22">
        <f>INDEX(Data[],MATCH($A177,Data[Dist],0),MATCH(I$4,Data[#Headers],0))</f>
        <v>2786247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118077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4060298</v>
      </c>
      <c r="I178" s="22">
        <f>INDEX(Data[],MATCH($A178,Data[Dist],0),MATCH(I$4,Data[#Headers],0))</f>
        <v>4922753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73798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2349339</v>
      </c>
      <c r="I179" s="22">
        <f>INDEX(Data[],MATCH($A179,Data[Dist],0),MATCH(I$4,Data[#Headers],0))</f>
        <v>3061511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136527</v>
      </c>
      <c r="D180" s="22">
        <f>INDEX(Data[],MATCH($A180,Data[Dist],0),MATCH(D$4,Data[#Headers],0))</f>
        <v>434461</v>
      </c>
      <c r="E180" s="22">
        <f>INDEX(Data[],MATCH($A180,Data[Dist],0),MATCH(E$4,Data[#Headers],0))</f>
        <v>39245</v>
      </c>
      <c r="F180" s="22">
        <f>INDEX(Data[],MATCH($A180,Data[Dist],0),MATCH(F$4,Data[#Headers],0))</f>
        <v>47310</v>
      </c>
      <c r="G180" s="22">
        <f>INDEX(Data[],MATCH($A180,Data[Dist],0),MATCH(G$4,Data[#Headers],0))</f>
        <v>232713</v>
      </c>
      <c r="H180" s="22">
        <f>INDEX(Data[],MATCH($A180,Data[Dist],0),MATCH(H$4,Data[#Headers],0))</f>
        <v>2462319</v>
      </c>
      <c r="I180" s="22">
        <f>INDEX(Data[],MATCH($A180,Data[Dist],0),MATCH(I$4,Data[#Headers],0))</f>
        <v>3352575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140217</v>
      </c>
      <c r="D181" s="22">
        <f>INDEX(Data[],MATCH($A181,Data[Dist],0),MATCH(D$4,Data[#Headers],0))</f>
        <v>395690</v>
      </c>
      <c r="E181" s="22">
        <f>INDEX(Data[],MATCH($A181,Data[Dist],0),MATCH(E$4,Data[#Headers],0))</f>
        <v>40238</v>
      </c>
      <c r="F181" s="22">
        <f>INDEX(Data[],MATCH($A181,Data[Dist],0),MATCH(F$4,Data[#Headers],0))</f>
        <v>41749</v>
      </c>
      <c r="G181" s="22">
        <f>INDEX(Data[],MATCH($A181,Data[Dist],0),MATCH(G$4,Data[#Headers],0))</f>
        <v>218866</v>
      </c>
      <c r="H181" s="22">
        <f>INDEX(Data[],MATCH($A181,Data[Dist],0),MATCH(H$4,Data[#Headers],0))</f>
        <v>2433117</v>
      </c>
      <c r="I181" s="22">
        <f>INDEX(Data[],MATCH($A181,Data[Dist],0),MATCH(I$4,Data[#Headers],0))</f>
        <v>3269877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276744</v>
      </c>
      <c r="D182" s="22">
        <f>INDEX(Data[],MATCH($A182,Data[Dist],0),MATCH(D$4,Data[#Headers],0))</f>
        <v>830561</v>
      </c>
      <c r="E182" s="22">
        <f>INDEX(Data[],MATCH($A182,Data[Dist],0),MATCH(E$4,Data[#Headers],0))</f>
        <v>99890</v>
      </c>
      <c r="F182" s="22">
        <f>INDEX(Data[],MATCH($A182,Data[Dist],0),MATCH(F$4,Data[#Headers],0))</f>
        <v>96814</v>
      </c>
      <c r="G182" s="22">
        <f>INDEX(Data[],MATCH($A182,Data[Dist],0),MATCH(G$4,Data[#Headers],0))</f>
        <v>445533</v>
      </c>
      <c r="H182" s="22">
        <f>INDEX(Data[],MATCH($A182,Data[Dist],0),MATCH(H$4,Data[#Headers],0))</f>
        <v>8085926</v>
      </c>
      <c r="I182" s="22">
        <f>INDEX(Data[],MATCH($A182,Data[Dist],0),MATCH(I$4,Data[#Headers],0))</f>
        <v>9835468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118077</v>
      </c>
      <c r="D183" s="22">
        <f>INDEX(Data[],MATCH($A183,Data[Dist],0),MATCH(D$4,Data[#Headers],0))</f>
        <v>439369</v>
      </c>
      <c r="E183" s="22">
        <f>INDEX(Data[],MATCH($A183,Data[Dist],0),MATCH(E$4,Data[#Headers],0))</f>
        <v>47798</v>
      </c>
      <c r="F183" s="22">
        <f>INDEX(Data[],MATCH($A183,Data[Dist],0),MATCH(F$4,Data[#Headers],0))</f>
        <v>48564</v>
      </c>
      <c r="G183" s="22">
        <f>INDEX(Data[],MATCH($A183,Data[Dist],0),MATCH(G$4,Data[#Headers],0))</f>
        <v>242445</v>
      </c>
      <c r="H183" s="22">
        <f>INDEX(Data[],MATCH($A183,Data[Dist],0),MATCH(H$4,Data[#Headers],0))</f>
        <v>2775407</v>
      </c>
      <c r="I183" s="22">
        <f>INDEX(Data[],MATCH($A183,Data[Dist],0),MATCH(I$4,Data[#Headers],0))</f>
        <v>3671660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99628</v>
      </c>
      <c r="D184" s="22">
        <f>INDEX(Data[],MATCH($A184,Data[Dist],0),MATCH(D$4,Data[#Headers],0))</f>
        <v>304778</v>
      </c>
      <c r="E184" s="22">
        <f>INDEX(Data[],MATCH($A184,Data[Dist],0),MATCH(E$4,Data[#Headers],0))</f>
        <v>25934</v>
      </c>
      <c r="F184" s="22">
        <f>INDEX(Data[],MATCH($A184,Data[Dist],0),MATCH(F$4,Data[#Headers],0))</f>
        <v>32423</v>
      </c>
      <c r="G184" s="22">
        <f>INDEX(Data[],MATCH($A184,Data[Dist],0),MATCH(G$4,Data[#Headers],0))</f>
        <v>161797</v>
      </c>
      <c r="H184" s="22">
        <f>INDEX(Data[],MATCH($A184,Data[Dist],0),MATCH(H$4,Data[#Headers],0))</f>
        <v>1399617</v>
      </c>
      <c r="I184" s="22">
        <f>INDEX(Data[],MATCH($A184,Data[Dist],0),MATCH(I$4,Data[#Headers],0))</f>
        <v>2024177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376371</v>
      </c>
      <c r="D185" s="22">
        <f>INDEX(Data[],MATCH($A185,Data[Dist],0),MATCH(D$4,Data[#Headers],0))</f>
        <v>1223259</v>
      </c>
      <c r="E185" s="22">
        <f>INDEX(Data[],MATCH($A185,Data[Dist],0),MATCH(E$4,Data[#Headers],0))</f>
        <v>149952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668156</v>
      </c>
      <c r="H185" s="22">
        <f>INDEX(Data[],MATCH($A185,Data[Dist],0),MATCH(H$4,Data[#Headers],0))</f>
        <v>11951116</v>
      </c>
      <c r="I185" s="22">
        <f>INDEX(Data[],MATCH($A185,Data[Dist],0),MATCH(I$4,Data[#Headers],0))</f>
        <v>14515397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977828</v>
      </c>
      <c r="D186" s="22">
        <f>INDEX(Data[],MATCH($A186,Data[Dist],0),MATCH(D$4,Data[#Headers],0))</f>
        <v>3263436</v>
      </c>
      <c r="E186" s="22">
        <f>INDEX(Data[],MATCH($A186,Data[Dist],0),MATCH(E$4,Data[#Headers],0))</f>
        <v>497121</v>
      </c>
      <c r="F186" s="22">
        <f>INDEX(Data[],MATCH($A186,Data[Dist],0),MATCH(F$4,Data[#Headers],0))</f>
        <v>365835</v>
      </c>
      <c r="G186" s="22">
        <f>INDEX(Data[],MATCH($A186,Data[Dist],0),MATCH(G$4,Data[#Headers],0))</f>
        <v>1891832</v>
      </c>
      <c r="H186" s="22">
        <f>INDEX(Data[],MATCH($A186,Data[Dist],0),MATCH(H$4,Data[#Headers],0))</f>
        <v>37073521</v>
      </c>
      <c r="I186" s="22">
        <f>INDEX(Data[],MATCH($A186,Data[Dist],0),MATCH(I$4,Data[#Headers],0))</f>
        <v>44069573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81178</v>
      </c>
      <c r="D187" s="22">
        <f>INDEX(Data[],MATCH($A187,Data[Dist],0),MATCH(D$4,Data[#Headers],0))</f>
        <v>321159</v>
      </c>
      <c r="E187" s="22">
        <f>INDEX(Data[],MATCH($A187,Data[Dist],0),MATCH(E$4,Data[#Headers],0))</f>
        <v>35373</v>
      </c>
      <c r="F187" s="22">
        <f>INDEX(Data[],MATCH($A187,Data[Dist],0),MATCH(F$4,Data[#Headers],0))</f>
        <v>31302</v>
      </c>
      <c r="G187" s="22">
        <f>INDEX(Data[],MATCH($A187,Data[Dist],0),MATCH(G$4,Data[#Headers],0))</f>
        <v>181405</v>
      </c>
      <c r="H187" s="22">
        <f>INDEX(Data[],MATCH($A187,Data[Dist],0),MATCH(H$4,Data[#Headers],0))</f>
        <v>2482162</v>
      </c>
      <c r="I187" s="22">
        <f>INDEX(Data[],MATCH($A187,Data[Dist],0),MATCH(I$4,Data[#Headers],0))</f>
        <v>3132579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619906</v>
      </c>
      <c r="D188" s="22">
        <f>INDEX(Data[],MATCH($A188,Data[Dist],0),MATCH(D$4,Data[#Headers],0))</f>
        <v>2121671</v>
      </c>
      <c r="E188" s="22">
        <f>INDEX(Data[],MATCH($A188,Data[Dist],0),MATCH(E$4,Data[#Headers],0))</f>
        <v>283565</v>
      </c>
      <c r="F188" s="22">
        <f>INDEX(Data[],MATCH($A188,Data[Dist],0),MATCH(F$4,Data[#Headers],0))</f>
        <v>251142</v>
      </c>
      <c r="G188" s="22">
        <f>INDEX(Data[],MATCH($A188,Data[Dist],0),MATCH(G$4,Data[#Headers],0))</f>
        <v>1219616</v>
      </c>
      <c r="H188" s="22">
        <f>INDEX(Data[],MATCH($A188,Data[Dist],0),MATCH(H$4,Data[#Headers],0))</f>
        <v>19042929</v>
      </c>
      <c r="I188" s="22">
        <f>INDEX(Data[],MATCH($A188,Data[Dist],0),MATCH(I$4,Data[#Headers],0))</f>
        <v>23538829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239769</v>
      </c>
      <c r="D189" s="22">
        <f>INDEX(Data[],MATCH($A189,Data[Dist],0),MATCH(D$4,Data[#Headers],0))</f>
        <v>961568</v>
      </c>
      <c r="E189" s="22">
        <f>INDEX(Data[],MATCH($A189,Data[Dist],0),MATCH(E$4,Data[#Headers],0))</f>
        <v>111519</v>
      </c>
      <c r="F189" s="22">
        <f>INDEX(Data[],MATCH($A189,Data[Dist],0),MATCH(F$4,Data[#Headers],0))</f>
        <v>114450</v>
      </c>
      <c r="G189" s="22">
        <f>INDEX(Data[],MATCH($A189,Data[Dist],0),MATCH(G$4,Data[#Headers],0))</f>
        <v>549151</v>
      </c>
      <c r="H189" s="22">
        <f>INDEX(Data[],MATCH($A189,Data[Dist],0),MATCH(H$4,Data[#Headers],0))</f>
        <v>7565663</v>
      </c>
      <c r="I189" s="22">
        <f>INDEX(Data[],MATCH($A189,Data[Dist],0),MATCH(I$4,Data[#Headers],0))</f>
        <v>9542120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551359</v>
      </c>
      <c r="E190" s="22">
        <f>INDEX(Data[],MATCH($A190,Data[Dist],0),MATCH(E$4,Data[#Headers],0))</f>
        <v>58240</v>
      </c>
      <c r="F190" s="22">
        <f>INDEX(Data[],MATCH($A190,Data[Dist],0),MATCH(F$4,Data[#Headers],0))</f>
        <v>54985</v>
      </c>
      <c r="G190" s="22">
        <f>INDEX(Data[],MATCH($A190,Data[Dist],0),MATCH(G$4,Data[#Headers],0))</f>
        <v>306491</v>
      </c>
      <c r="H190" s="22">
        <f>INDEX(Data[],MATCH($A190,Data[Dist],0),MATCH(H$4,Data[#Headers],0))</f>
        <v>4263068</v>
      </c>
      <c r="I190" s="22">
        <f>INDEX(Data[],MATCH($A190,Data[Dist],0),MATCH(I$4,Data[#Headers],0))</f>
        <v>5234143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59268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114496</v>
      </c>
      <c r="H191" s="22">
        <f>INDEX(Data[],MATCH($A191,Data[Dist],0),MATCH(H$4,Data[#Headers],0))</f>
        <v>2062529</v>
      </c>
      <c r="I191" s="22">
        <f>INDEX(Data[],MATCH($A191,Data[Dist],0),MATCH(I$4,Data[#Headers],0))</f>
        <v>2522260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107008</v>
      </c>
      <c r="D192" s="22">
        <f>INDEX(Data[],MATCH($A192,Data[Dist],0),MATCH(D$4,Data[#Headers],0))</f>
        <v>350848</v>
      </c>
      <c r="E192" s="22">
        <f>INDEX(Data[],MATCH($A192,Data[Dist],0),MATCH(E$4,Data[#Headers],0))</f>
        <v>37512</v>
      </c>
      <c r="F192" s="22">
        <f>INDEX(Data[],MATCH($A192,Data[Dist],0),MATCH(F$4,Data[#Headers],0))</f>
        <v>35290</v>
      </c>
      <c r="G192" s="22">
        <f>INDEX(Data[],MATCH($A192,Data[Dist],0),MATCH(G$4,Data[#Headers],0))</f>
        <v>184088</v>
      </c>
      <c r="H192" s="22">
        <f>INDEX(Data[],MATCH($A192,Data[Dist],0),MATCH(H$4,Data[#Headers],0))</f>
        <v>2556219</v>
      </c>
      <c r="I192" s="22">
        <f>INDEX(Data[],MATCH($A192,Data[Dist],0),MATCH(I$4,Data[#Headers],0))</f>
        <v>3270965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225085</v>
      </c>
      <c r="D193" s="22">
        <f>INDEX(Data[],MATCH($A193,Data[Dist],0),MATCH(D$4,Data[#Headers],0))</f>
        <v>821310</v>
      </c>
      <c r="E193" s="22">
        <f>INDEX(Data[],MATCH($A193,Data[Dist],0),MATCH(E$4,Data[#Headers],0))</f>
        <v>92789</v>
      </c>
      <c r="F193" s="22">
        <f>INDEX(Data[],MATCH($A193,Data[Dist],0),MATCH(F$4,Data[#Headers],0))</f>
        <v>89731</v>
      </c>
      <c r="G193" s="22">
        <f>INDEX(Data[],MATCH($A193,Data[Dist],0),MATCH(G$4,Data[#Headers],0))</f>
        <v>450291</v>
      </c>
      <c r="H193" s="22">
        <f>INDEX(Data[],MATCH($A193,Data[Dist],0),MATCH(H$4,Data[#Headers],0))</f>
        <v>6446219</v>
      </c>
      <c r="I193" s="22">
        <f>INDEX(Data[],MATCH($A193,Data[Dist],0),MATCH(I$4,Data[#Headers],0))</f>
        <v>8125425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143907</v>
      </c>
      <c r="D194" s="22">
        <f>INDEX(Data[],MATCH($A194,Data[Dist],0),MATCH(D$4,Data[#Headers],0))</f>
        <v>472439</v>
      </c>
      <c r="E194" s="22">
        <f>INDEX(Data[],MATCH($A194,Data[Dist],0),MATCH(E$4,Data[#Headers],0))</f>
        <v>55806</v>
      </c>
      <c r="F194" s="22">
        <f>INDEX(Data[],MATCH($A194,Data[Dist],0),MATCH(F$4,Data[#Headers],0))</f>
        <v>47705</v>
      </c>
      <c r="G194" s="22">
        <f>INDEX(Data[],MATCH($A194,Data[Dist],0),MATCH(G$4,Data[#Headers],0))</f>
        <v>276329</v>
      </c>
      <c r="H194" s="22">
        <f>INDEX(Data[],MATCH($A194,Data[Dist],0),MATCH(H$4,Data[#Headers],0))</f>
        <v>4137190</v>
      </c>
      <c r="I194" s="22">
        <f>INDEX(Data[],MATCH($A194,Data[Dist],0),MATCH(I$4,Data[#Headers],0))</f>
        <v>5133376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188186</v>
      </c>
      <c r="D195" s="22">
        <f>INDEX(Data[],MATCH($A195,Data[Dist],0),MATCH(D$4,Data[#Headers],0))</f>
        <v>523393</v>
      </c>
      <c r="E195" s="22">
        <f>INDEX(Data[],MATCH($A195,Data[Dist],0),MATCH(E$4,Data[#Headers],0))</f>
        <v>64417</v>
      </c>
      <c r="F195" s="22">
        <f>INDEX(Data[],MATCH($A195,Data[Dist],0),MATCH(F$4,Data[#Headers],0))</f>
        <v>63140</v>
      </c>
      <c r="G195" s="22">
        <f>INDEX(Data[],MATCH($A195,Data[Dist],0),MATCH(G$4,Data[#Headers],0))</f>
        <v>287242</v>
      </c>
      <c r="H195" s="22">
        <f>INDEX(Data[],MATCH($A195,Data[Dist],0),MATCH(H$4,Data[#Headers],0))</f>
        <v>4447530</v>
      </c>
      <c r="I195" s="22">
        <f>INDEX(Data[],MATCH($A195,Data[Dist],0),MATCH(I$4,Data[#Headers],0))</f>
        <v>5573908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84869</v>
      </c>
      <c r="D196" s="22">
        <f>INDEX(Data[],MATCH($A196,Data[Dist],0),MATCH(D$4,Data[#Headers],0))</f>
        <v>298612</v>
      </c>
      <c r="E196" s="22">
        <f>INDEX(Data[],MATCH($A196,Data[Dist],0),MATCH(E$4,Data[#Headers],0))</f>
        <v>38266</v>
      </c>
      <c r="F196" s="22">
        <f>INDEX(Data[],MATCH($A196,Data[Dist],0),MATCH(F$4,Data[#Headers],0))</f>
        <v>29580</v>
      </c>
      <c r="G196" s="22">
        <f>INDEX(Data[],MATCH($A196,Data[Dist],0),MATCH(G$4,Data[#Headers],0))</f>
        <v>176574</v>
      </c>
      <c r="H196" s="22">
        <f>INDEX(Data[],MATCH($A196,Data[Dist],0),MATCH(H$4,Data[#Headers],0))</f>
        <v>1603892</v>
      </c>
      <c r="I196" s="22">
        <f>INDEX(Data[],MATCH($A196,Data[Dist],0),MATCH(I$4,Data[#Headers],0))</f>
        <v>2231793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180806</v>
      </c>
      <c r="D197" s="22">
        <f>INDEX(Data[],MATCH($A197,Data[Dist],0),MATCH(D$4,Data[#Headers],0))</f>
        <v>614549</v>
      </c>
      <c r="E197" s="22">
        <f>INDEX(Data[],MATCH($A197,Data[Dist],0),MATCH(E$4,Data[#Headers],0))</f>
        <v>65825</v>
      </c>
      <c r="F197" s="22">
        <f>INDEX(Data[],MATCH($A197,Data[Dist],0),MATCH(F$4,Data[#Headers],0))</f>
        <v>60808</v>
      </c>
      <c r="G197" s="22">
        <f>INDEX(Data[],MATCH($A197,Data[Dist],0),MATCH(G$4,Data[#Headers],0))</f>
        <v>342629</v>
      </c>
      <c r="H197" s="22">
        <f>INDEX(Data[],MATCH($A197,Data[Dist],0),MATCH(H$4,Data[#Headers],0))</f>
        <v>4989723</v>
      </c>
      <c r="I197" s="22">
        <f>INDEX(Data[],MATCH($A197,Data[Dist],0),MATCH(I$4,Data[#Headers],0))</f>
        <v>6254340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59039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1876521</v>
      </c>
      <c r="I198" s="22">
        <f>INDEX(Data[],MATCH($A198,Data[Dist],0),MATCH(I$4,Data[#Headers],0))</f>
        <v>2363645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18450</v>
      </c>
      <c r="D199" s="22">
        <f>INDEX(Data[],MATCH($A199,Data[Dist],0),MATCH(D$4,Data[#Headers],0))</f>
        <v>142970</v>
      </c>
      <c r="E199" s="22">
        <f>INDEX(Data[],MATCH($A199,Data[Dist],0),MATCH(E$4,Data[#Headers],0))</f>
        <v>16755</v>
      </c>
      <c r="F199" s="22">
        <f>INDEX(Data[],MATCH($A199,Data[Dist],0),MATCH(F$4,Data[#Headers],0))</f>
        <v>13342</v>
      </c>
      <c r="G199" s="22">
        <f>INDEX(Data[],MATCH($A199,Data[Dist],0),MATCH(G$4,Data[#Headers],0))</f>
        <v>78466</v>
      </c>
      <c r="H199" s="22">
        <f>INDEX(Data[],MATCH($A199,Data[Dist],0),MATCH(H$4,Data[#Headers],0))</f>
        <v>1288331</v>
      </c>
      <c r="I199" s="22">
        <f>INDEX(Data[],MATCH($A199,Data[Dist],0),MATCH(I$4,Data[#Headers],0))</f>
        <v>1558314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66418</v>
      </c>
      <c r="D200" s="22">
        <f>INDEX(Data[],MATCH($A200,Data[Dist],0),MATCH(D$4,Data[#Headers],0))</f>
        <v>121112</v>
      </c>
      <c r="E200" s="22">
        <f>INDEX(Data[],MATCH($A200,Data[Dist],0),MATCH(E$4,Data[#Headers],0))</f>
        <v>17478</v>
      </c>
      <c r="F200" s="22">
        <f>INDEX(Data[],MATCH($A200,Data[Dist],0),MATCH(F$4,Data[#Headers],0))</f>
        <v>13279</v>
      </c>
      <c r="G200" s="22">
        <f>INDEX(Data[],MATCH($A200,Data[Dist],0),MATCH(G$4,Data[#Headers],0))</f>
        <v>66323</v>
      </c>
      <c r="H200" s="22">
        <f>INDEX(Data[],MATCH($A200,Data[Dist],0),MATCH(H$4,Data[#Headers],0))</f>
        <v>1047125</v>
      </c>
      <c r="I200" s="22">
        <f>INDEX(Data[],MATCH($A200,Data[Dist],0),MATCH(I$4,Data[#Headers],0))</f>
        <v>1331735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22139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936932</v>
      </c>
      <c r="I201" s="22">
        <f>INDEX(Data[],MATCH($A201,Data[Dist],0),MATCH(I$4,Data[#Headers],0))</f>
        <v>1204226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118077</v>
      </c>
      <c r="D202" s="22">
        <f>INDEX(Data[],MATCH($A202,Data[Dist],0),MATCH(D$4,Data[#Headers],0))</f>
        <v>425902</v>
      </c>
      <c r="E202" s="22">
        <f>INDEX(Data[],MATCH($A202,Data[Dist],0),MATCH(E$4,Data[#Headers],0))</f>
        <v>49523</v>
      </c>
      <c r="F202" s="22">
        <f>INDEX(Data[],MATCH($A202,Data[Dist],0),MATCH(F$4,Data[#Headers],0))</f>
        <v>52597</v>
      </c>
      <c r="G202" s="22">
        <f>INDEX(Data[],MATCH($A202,Data[Dist],0),MATCH(G$4,Data[#Headers],0))</f>
        <v>213177</v>
      </c>
      <c r="H202" s="22">
        <f>INDEX(Data[],MATCH($A202,Data[Dist],0),MATCH(H$4,Data[#Headers],0))</f>
        <v>2735132</v>
      </c>
      <c r="I202" s="22">
        <f>INDEX(Data[],MATCH($A202,Data[Dist],0),MATCH(I$4,Data[#Headers],0))</f>
        <v>3594408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258294</v>
      </c>
      <c r="D203" s="22">
        <f>INDEX(Data[],MATCH($A203,Data[Dist],0),MATCH(D$4,Data[#Headers],0))</f>
        <v>1145653</v>
      </c>
      <c r="E203" s="22">
        <f>INDEX(Data[],MATCH($A203,Data[Dist],0),MATCH(E$4,Data[#Headers],0))</f>
        <v>151634</v>
      </c>
      <c r="F203" s="22">
        <f>INDEX(Data[],MATCH($A203,Data[Dist],0),MATCH(F$4,Data[#Headers],0))</f>
        <v>136152</v>
      </c>
      <c r="G203" s="22">
        <f>INDEX(Data[],MATCH($A203,Data[Dist],0),MATCH(G$4,Data[#Headers],0))</f>
        <v>654774</v>
      </c>
      <c r="H203" s="22">
        <f>INDEX(Data[],MATCH($A203,Data[Dist],0),MATCH(H$4,Data[#Headers],0))</f>
        <v>10508044</v>
      </c>
      <c r="I203" s="22">
        <f>INDEX(Data[],MATCH($A203,Data[Dist],0),MATCH(I$4,Data[#Headers],0))</f>
        <v>12854551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210326</v>
      </c>
      <c r="D204" s="22">
        <f>INDEX(Data[],MATCH($A204,Data[Dist],0),MATCH(D$4,Data[#Headers],0))</f>
        <v>718137</v>
      </c>
      <c r="E204" s="22">
        <f>INDEX(Data[],MATCH($A204,Data[Dist],0),MATCH(E$4,Data[#Headers],0))</f>
        <v>88172</v>
      </c>
      <c r="F204" s="22">
        <f>INDEX(Data[],MATCH($A204,Data[Dist],0),MATCH(F$4,Data[#Headers],0))</f>
        <v>81130</v>
      </c>
      <c r="G204" s="22">
        <f>INDEX(Data[],MATCH($A204,Data[Dist],0),MATCH(G$4,Data[#Headers],0))</f>
        <v>400557</v>
      </c>
      <c r="H204" s="22">
        <f>INDEX(Data[],MATCH($A204,Data[Dist],0),MATCH(H$4,Data[#Headers],0))</f>
        <v>6222725</v>
      </c>
      <c r="I204" s="22">
        <f>INDEX(Data[],MATCH($A204,Data[Dist],0),MATCH(I$4,Data[#Headers],0))</f>
        <v>7721047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81178</v>
      </c>
      <c r="D205" s="22">
        <f>INDEX(Data[],MATCH($A205,Data[Dist],0),MATCH(D$4,Data[#Headers],0))</f>
        <v>166635</v>
      </c>
      <c r="E205" s="22">
        <f>INDEX(Data[],MATCH($A205,Data[Dist],0),MATCH(E$4,Data[#Headers],0))</f>
        <v>20374</v>
      </c>
      <c r="F205" s="22">
        <f>INDEX(Data[],MATCH($A205,Data[Dist],0),MATCH(F$4,Data[#Headers],0))</f>
        <v>16796</v>
      </c>
      <c r="G205" s="22">
        <f>INDEX(Data[],MATCH($A205,Data[Dist],0),MATCH(G$4,Data[#Headers],0))</f>
        <v>80469</v>
      </c>
      <c r="H205" s="22">
        <f>INDEX(Data[],MATCH($A205,Data[Dist],0),MATCH(H$4,Data[#Headers],0))</f>
        <v>1335580</v>
      </c>
      <c r="I205" s="22">
        <f>INDEX(Data[],MATCH($A205,Data[Dist],0),MATCH(I$4,Data[#Headers],0))</f>
        <v>1701032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911410</v>
      </c>
      <c r="D206" s="22">
        <f>INDEX(Data[],MATCH($A206,Data[Dist],0),MATCH(D$4,Data[#Headers],0))</f>
        <v>2869570</v>
      </c>
      <c r="E206" s="22">
        <f>INDEX(Data[],MATCH($A206,Data[Dist],0),MATCH(E$4,Data[#Headers],0))</f>
        <v>381897</v>
      </c>
      <c r="F206" s="22">
        <f>INDEX(Data[],MATCH($A206,Data[Dist],0),MATCH(F$4,Data[#Headers],0))</f>
        <v>314672</v>
      </c>
      <c r="G206" s="22">
        <f>INDEX(Data[],MATCH($A206,Data[Dist],0),MATCH(G$4,Data[#Headers],0))</f>
        <v>1647490</v>
      </c>
      <c r="H206" s="22">
        <f>INDEX(Data[],MATCH($A206,Data[Dist],0),MATCH(H$4,Data[#Headers],0))</f>
        <v>28302739</v>
      </c>
      <c r="I206" s="22">
        <f>INDEX(Data[],MATCH($A206,Data[Dist],0),MATCH(I$4,Data[#Headers],0))</f>
        <v>34427778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136527</v>
      </c>
      <c r="D207" s="22">
        <f>INDEX(Data[],MATCH($A207,Data[Dist],0),MATCH(D$4,Data[#Headers],0))</f>
        <v>370972</v>
      </c>
      <c r="E207" s="22">
        <f>INDEX(Data[],MATCH($A207,Data[Dist],0),MATCH(E$4,Data[#Headers],0))</f>
        <v>37791</v>
      </c>
      <c r="F207" s="22">
        <f>INDEX(Data[],MATCH($A207,Data[Dist],0),MATCH(F$4,Data[#Headers],0))</f>
        <v>42128</v>
      </c>
      <c r="G207" s="22">
        <f>INDEX(Data[],MATCH($A207,Data[Dist],0),MATCH(G$4,Data[#Headers],0))</f>
        <v>213141</v>
      </c>
      <c r="H207" s="22">
        <f>INDEX(Data[],MATCH($A207,Data[Dist],0),MATCH(H$4,Data[#Headers],0))</f>
        <v>3074443</v>
      </c>
      <c r="I207" s="22">
        <f>INDEX(Data[],MATCH($A207,Data[Dist],0),MATCH(I$4,Data[#Headers],0))</f>
        <v>3875002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309953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7707788</v>
      </c>
      <c r="I208" s="22">
        <f>INDEX(Data[],MATCH($A208,Data[Dist],0),MATCH(I$4,Data[#Headers],0))</f>
        <v>9671062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103318</v>
      </c>
      <c r="D209" s="22">
        <f>INDEX(Data[],MATCH($A209,Data[Dist],0),MATCH(D$4,Data[#Headers],0))</f>
        <v>307535</v>
      </c>
      <c r="E209" s="22">
        <f>INDEX(Data[],MATCH($A209,Data[Dist],0),MATCH(E$4,Data[#Headers],0))</f>
        <v>39401</v>
      </c>
      <c r="F209" s="22">
        <f>INDEX(Data[],MATCH($A209,Data[Dist],0),MATCH(F$4,Data[#Headers],0))</f>
        <v>33029</v>
      </c>
      <c r="G209" s="22">
        <f>INDEX(Data[],MATCH($A209,Data[Dist],0),MATCH(G$4,Data[#Headers],0))</f>
        <v>170384</v>
      </c>
      <c r="H209" s="22">
        <f>INDEX(Data[],MATCH($A209,Data[Dist],0),MATCH(H$4,Data[#Headers],0))</f>
        <v>1918361</v>
      </c>
      <c r="I209" s="22">
        <f>INDEX(Data[],MATCH($A209,Data[Dist],0),MATCH(I$4,Data[#Headers],0))</f>
        <v>2572028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236155</v>
      </c>
      <c r="D210" s="22">
        <f>INDEX(Data[],MATCH($A210,Data[Dist],0),MATCH(D$4,Data[#Headers],0))</f>
        <v>590798</v>
      </c>
      <c r="E210" s="22">
        <f>INDEX(Data[],MATCH($A210,Data[Dist],0),MATCH(E$4,Data[#Headers],0))</f>
        <v>55277</v>
      </c>
      <c r="F210" s="22">
        <f>INDEX(Data[],MATCH($A210,Data[Dist],0),MATCH(F$4,Data[#Headers],0))</f>
        <v>65633</v>
      </c>
      <c r="G210" s="22">
        <f>INDEX(Data[],MATCH($A210,Data[Dist],0),MATCH(G$4,Data[#Headers],0))</f>
        <v>329963</v>
      </c>
      <c r="H210" s="22">
        <f>INDEX(Data[],MATCH($A210,Data[Dist],0),MATCH(H$4,Data[#Headers],0))</f>
        <v>3982818</v>
      </c>
      <c r="I210" s="22">
        <f>INDEX(Data[],MATCH($A210,Data[Dist],0),MATCH(I$4,Data[#Headers],0))</f>
        <v>5260644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77489</v>
      </c>
      <c r="D211" s="22">
        <f>INDEX(Data[],MATCH($A211,Data[Dist],0),MATCH(D$4,Data[#Headers],0))</f>
        <v>350026</v>
      </c>
      <c r="E211" s="22">
        <f>INDEX(Data[],MATCH($A211,Data[Dist],0),MATCH(E$4,Data[#Headers],0))</f>
        <v>41835</v>
      </c>
      <c r="F211" s="22">
        <f>INDEX(Data[],MATCH($A211,Data[Dist],0),MATCH(F$4,Data[#Headers],0))</f>
        <v>37086</v>
      </c>
      <c r="G211" s="22">
        <f>INDEX(Data[],MATCH($A211,Data[Dist],0),MATCH(G$4,Data[#Headers],0))</f>
        <v>190707</v>
      </c>
      <c r="H211" s="22">
        <f>INDEX(Data[],MATCH($A211,Data[Dist],0),MATCH(H$4,Data[#Headers],0))</f>
        <v>3378327</v>
      </c>
      <c r="I211" s="22">
        <f>INDEX(Data[],MATCH($A211,Data[Dist],0),MATCH(I$4,Data[#Headers],0))</f>
        <v>4075470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298884</v>
      </c>
      <c r="D212" s="22">
        <f>INDEX(Data[],MATCH($A212,Data[Dist],0),MATCH(D$4,Data[#Headers],0))</f>
        <v>1836879</v>
      </c>
      <c r="E212" s="22">
        <f>INDEX(Data[],MATCH($A212,Data[Dist],0),MATCH(E$4,Data[#Headers],0))</f>
        <v>238103</v>
      </c>
      <c r="F212" s="22">
        <f>INDEX(Data[],MATCH($A212,Data[Dist],0),MATCH(F$4,Data[#Headers],0))</f>
        <v>204705</v>
      </c>
      <c r="G212" s="22">
        <f>INDEX(Data[],MATCH($A212,Data[Dist],0),MATCH(G$4,Data[#Headers],0))</f>
        <v>1051896</v>
      </c>
      <c r="H212" s="22">
        <f>INDEX(Data[],MATCH($A212,Data[Dist],0),MATCH(H$4,Data[#Headers],0))</f>
        <v>18649761</v>
      </c>
      <c r="I212" s="22">
        <f>INDEX(Data[],MATCH($A212,Data[Dist],0),MATCH(I$4,Data[#Headers],0))</f>
        <v>22280228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147597</v>
      </c>
      <c r="D213" s="22">
        <f>INDEX(Data[],MATCH($A213,Data[Dist],0),MATCH(D$4,Data[#Headers],0))</f>
        <v>531574</v>
      </c>
      <c r="E213" s="22">
        <f>INDEX(Data[],MATCH($A213,Data[Dist],0),MATCH(E$4,Data[#Headers],0))</f>
        <v>55479</v>
      </c>
      <c r="F213" s="22">
        <f>INDEX(Data[],MATCH($A213,Data[Dist],0),MATCH(F$4,Data[#Headers],0))</f>
        <v>59715</v>
      </c>
      <c r="G213" s="22">
        <f>INDEX(Data[],MATCH($A213,Data[Dist],0),MATCH(G$4,Data[#Headers],0))</f>
        <v>285453</v>
      </c>
      <c r="H213" s="22">
        <f>INDEX(Data[],MATCH($A213,Data[Dist],0),MATCH(H$4,Data[#Headers],0))</f>
        <v>3921151</v>
      </c>
      <c r="I213" s="22">
        <f>INDEX(Data[],MATCH($A213,Data[Dist],0),MATCH(I$4,Data[#Headers],0))</f>
        <v>5000969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166047</v>
      </c>
      <c r="D214" s="22">
        <f>INDEX(Data[],MATCH($A214,Data[Dist],0),MATCH(D$4,Data[#Headers],0))</f>
        <v>351983</v>
      </c>
      <c r="E214" s="22">
        <f>INDEX(Data[],MATCH($A214,Data[Dist],0),MATCH(E$4,Data[#Headers],0))</f>
        <v>42608</v>
      </c>
      <c r="F214" s="22">
        <f>INDEX(Data[],MATCH($A214,Data[Dist],0),MATCH(F$4,Data[#Headers],0))</f>
        <v>39701</v>
      </c>
      <c r="G214" s="22">
        <f>INDEX(Data[],MATCH($A214,Data[Dist],0),MATCH(G$4,Data[#Headers],0))</f>
        <v>184052</v>
      </c>
      <c r="H214" s="22">
        <f>INDEX(Data[],MATCH($A214,Data[Dist],0),MATCH(H$4,Data[#Headers],0))</f>
        <v>2668692</v>
      </c>
      <c r="I214" s="22">
        <f>INDEX(Data[],MATCH($A214,Data[Dist],0),MATCH(I$4,Data[#Headers],0))</f>
        <v>3453083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195566</v>
      </c>
      <c r="D215" s="22">
        <f>INDEX(Data[],MATCH($A215,Data[Dist],0),MATCH(D$4,Data[#Headers],0))</f>
        <v>719261</v>
      </c>
      <c r="E215" s="22">
        <f>INDEX(Data[],MATCH($A215,Data[Dist],0),MATCH(E$4,Data[#Headers],0))</f>
        <v>79293</v>
      </c>
      <c r="F215" s="22">
        <f>INDEX(Data[],MATCH($A215,Data[Dist],0),MATCH(F$4,Data[#Headers],0))</f>
        <v>78870</v>
      </c>
      <c r="G215" s="22">
        <f>INDEX(Data[],MATCH($A215,Data[Dist],0),MATCH(G$4,Data[#Headers],0))</f>
        <v>398303</v>
      </c>
      <c r="H215" s="22">
        <f>INDEX(Data[],MATCH($A215,Data[Dist],0),MATCH(H$4,Data[#Headers],0))</f>
        <v>6029497</v>
      </c>
      <c r="I215" s="22">
        <f>INDEX(Data[],MATCH($A215,Data[Dist],0),MATCH(I$4,Data[#Headers],0))</f>
        <v>7500790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99628</v>
      </c>
      <c r="D216" s="22">
        <f>INDEX(Data[],MATCH($A216,Data[Dist],0),MATCH(D$4,Data[#Headers],0))</f>
        <v>331313</v>
      </c>
      <c r="E216" s="22">
        <f>INDEX(Data[],MATCH($A216,Data[Dist],0),MATCH(E$4,Data[#Headers],0))</f>
        <v>41590</v>
      </c>
      <c r="F216" s="22">
        <f>INDEX(Data[],MATCH($A216,Data[Dist],0),MATCH(F$4,Data[#Headers],0))</f>
        <v>35746</v>
      </c>
      <c r="G216" s="22">
        <f>INDEX(Data[],MATCH($A216,Data[Dist],0),MATCH(G$4,Data[#Headers],0))</f>
        <v>178256</v>
      </c>
      <c r="H216" s="22">
        <f>INDEX(Data[],MATCH($A216,Data[Dist],0),MATCH(H$4,Data[#Headers],0))</f>
        <v>2385975</v>
      </c>
      <c r="I216" s="22">
        <f>INDEX(Data[],MATCH($A216,Data[Dist],0),MATCH(I$4,Data[#Headers],0))</f>
        <v>3072508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125457</v>
      </c>
      <c r="D217" s="22">
        <f>INDEX(Data[],MATCH($A217,Data[Dist],0),MATCH(D$4,Data[#Headers],0))</f>
        <v>357659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204311</v>
      </c>
      <c r="H217" s="22">
        <f>INDEX(Data[],MATCH($A217,Data[Dist],0),MATCH(H$4,Data[#Headers],0))</f>
        <v>2596943</v>
      </c>
      <c r="I217" s="22">
        <f>INDEX(Data[],MATCH($A217,Data[Dist],0),MATCH(I$4,Data[#Headers],0))</f>
        <v>3359529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73798</v>
      </c>
      <c r="D218" s="22">
        <f>INDEX(Data[],MATCH($A218,Data[Dist],0),MATCH(D$4,Data[#Headers],0))</f>
        <v>169610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18989</v>
      </c>
      <c r="G218" s="22">
        <f>INDEX(Data[],MATCH($A218,Data[Dist],0),MATCH(G$4,Data[#Headers],0))</f>
        <v>92783</v>
      </c>
      <c r="H218" s="22">
        <f>INDEX(Data[],MATCH($A218,Data[Dist],0),MATCH(H$4,Data[#Headers],0))</f>
        <v>621694</v>
      </c>
      <c r="I218" s="22">
        <f>INDEX(Data[],MATCH($A218,Data[Dist],0),MATCH(I$4,Data[#Headers],0))</f>
        <v>994063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439100</v>
      </c>
      <c r="D219" s="22">
        <f>INDEX(Data[],MATCH($A219,Data[Dist],0),MATCH(D$4,Data[#Headers],0))</f>
        <v>1158804</v>
      </c>
      <c r="E219" s="22">
        <f>INDEX(Data[],MATCH($A219,Data[Dist],0),MATCH(E$4,Data[#Headers],0))</f>
        <v>120963</v>
      </c>
      <c r="F219" s="22">
        <f>INDEX(Data[],MATCH($A219,Data[Dist],0),MATCH(F$4,Data[#Headers],0))</f>
        <v>121489</v>
      </c>
      <c r="G219" s="22">
        <f>INDEX(Data[],MATCH($A219,Data[Dist],0),MATCH(G$4,Data[#Headers],0))</f>
        <v>696279</v>
      </c>
      <c r="H219" s="22">
        <f>INDEX(Data[],MATCH($A219,Data[Dist],0),MATCH(H$4,Data[#Headers],0))</f>
        <v>10971908</v>
      </c>
      <c r="I219" s="22">
        <f>INDEX(Data[],MATCH($A219,Data[Dist],0),MATCH(I$4,Data[#Headers],0))</f>
        <v>13508543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553564</v>
      </c>
      <c r="D220" s="22">
        <f>INDEX(Data[],MATCH($A220,Data[Dist],0),MATCH(D$4,Data[#Headers],0))</f>
        <v>1949390</v>
      </c>
      <c r="E220" s="22">
        <f>INDEX(Data[],MATCH($A220,Data[Dist],0),MATCH(E$4,Data[#Headers],0))</f>
        <v>213331</v>
      </c>
      <c r="F220" s="22">
        <f>INDEX(Data[],MATCH($A220,Data[Dist],0),MATCH(F$4,Data[#Headers],0))</f>
        <v>218778</v>
      </c>
      <c r="G220" s="22">
        <f>INDEX(Data[],MATCH($A220,Data[Dist],0),MATCH(G$4,Data[#Headers],0))</f>
        <v>1113653</v>
      </c>
      <c r="H220" s="22">
        <f>INDEX(Data[],MATCH($A220,Data[Dist],0),MATCH(H$4,Data[#Headers],0))</f>
        <v>15933881</v>
      </c>
      <c r="I220" s="22">
        <f>INDEX(Data[],MATCH($A220,Data[Dist],0),MATCH(I$4,Data[#Headers],0))</f>
        <v>19982597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110697</v>
      </c>
      <c r="D221" s="22">
        <f>INDEX(Data[],MATCH($A221,Data[Dist],0),MATCH(D$4,Data[#Headers],0))</f>
        <v>317636</v>
      </c>
      <c r="E221" s="22">
        <f>INDEX(Data[],MATCH($A221,Data[Dist],0),MATCH(E$4,Data[#Headers],0))</f>
        <v>32683</v>
      </c>
      <c r="F221" s="22">
        <f>INDEX(Data[],MATCH($A221,Data[Dist],0),MATCH(F$4,Data[#Headers],0))</f>
        <v>34125</v>
      </c>
      <c r="G221" s="22">
        <f>INDEX(Data[],MATCH($A221,Data[Dist],0),MATCH(G$4,Data[#Headers],0))</f>
        <v>162799</v>
      </c>
      <c r="H221" s="22">
        <f>INDEX(Data[],MATCH($A221,Data[Dist],0),MATCH(H$4,Data[#Headers],0))</f>
        <v>2085532</v>
      </c>
      <c r="I221" s="22">
        <f>INDEX(Data[],MATCH($A221,Data[Dist],0),MATCH(I$4,Data[#Headers],0))</f>
        <v>2743472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129223</v>
      </c>
      <c r="D222" s="22">
        <f>INDEX(Data[],MATCH($A222,Data[Dist],0),MATCH(D$4,Data[#Headers],0))</f>
        <v>317126</v>
      </c>
      <c r="E222" s="22">
        <f>INDEX(Data[],MATCH($A222,Data[Dist],0),MATCH(E$4,Data[#Headers],0))</f>
        <v>32001</v>
      </c>
      <c r="F222" s="22">
        <f>INDEX(Data[],MATCH($A222,Data[Dist],0),MATCH(F$4,Data[#Headers],0))</f>
        <v>36296</v>
      </c>
      <c r="G222" s="22">
        <f>INDEX(Data[],MATCH($A222,Data[Dist],0),MATCH(G$4,Data[#Headers],0))</f>
        <v>179973</v>
      </c>
      <c r="H222" s="22">
        <f>INDEX(Data[],MATCH($A222,Data[Dist],0),MATCH(H$4,Data[#Headers],0))</f>
        <v>2373363</v>
      </c>
      <c r="I222" s="22">
        <f>INDEX(Data[],MATCH($A222,Data[Dist],0),MATCH(I$4,Data[#Headers],0))</f>
        <v>3067982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601457</v>
      </c>
      <c r="D223" s="22">
        <f>INDEX(Data[],MATCH($A223,Data[Dist],0),MATCH(D$4,Data[#Headers],0))</f>
        <v>2148441</v>
      </c>
      <c r="E223" s="22">
        <f>INDEX(Data[],MATCH($A223,Data[Dist],0),MATCH(E$4,Data[#Headers],0))</f>
        <v>227935</v>
      </c>
      <c r="F223" s="22">
        <f>INDEX(Data[],MATCH($A223,Data[Dist],0),MATCH(F$4,Data[#Headers],0))</f>
        <v>226594</v>
      </c>
      <c r="G223" s="22">
        <f>INDEX(Data[],MATCH($A223,Data[Dist],0),MATCH(G$4,Data[#Headers],0))</f>
        <v>1198809</v>
      </c>
      <c r="H223" s="22">
        <f>INDEX(Data[],MATCH($A223,Data[Dist],0),MATCH(H$4,Data[#Headers],0))</f>
        <v>22187095</v>
      </c>
      <c r="I223" s="22">
        <f>INDEX(Data[],MATCH($A223,Data[Dist],0),MATCH(I$4,Data[#Headers],0))</f>
        <v>26590331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158667</v>
      </c>
      <c r="D224" s="22">
        <f>INDEX(Data[],MATCH($A224,Data[Dist],0),MATCH(D$4,Data[#Headers],0))</f>
        <v>442719</v>
      </c>
      <c r="E224" s="22">
        <f>INDEX(Data[],MATCH($A224,Data[Dist],0),MATCH(E$4,Data[#Headers],0))</f>
        <v>45887</v>
      </c>
      <c r="F224" s="22">
        <f>INDEX(Data[],MATCH($A224,Data[Dist],0),MATCH(F$4,Data[#Headers],0))</f>
        <v>48136</v>
      </c>
      <c r="G224" s="22">
        <f>INDEX(Data[],MATCH($A224,Data[Dist],0),MATCH(G$4,Data[#Headers],0))</f>
        <v>248385</v>
      </c>
      <c r="H224" s="22">
        <f>INDEX(Data[],MATCH($A224,Data[Dist],0),MATCH(H$4,Data[#Headers],0))</f>
        <v>3222275</v>
      </c>
      <c r="I224" s="22">
        <f>INDEX(Data[],MATCH($A224,Data[Dist],0),MATCH(I$4,Data[#Headers],0))</f>
        <v>4166069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225085</v>
      </c>
      <c r="D225" s="22">
        <f>INDEX(Data[],MATCH($A225,Data[Dist],0),MATCH(D$4,Data[#Headers],0))</f>
        <v>638362</v>
      </c>
      <c r="E225" s="22">
        <f>INDEX(Data[],MATCH($A225,Data[Dist],0),MATCH(E$4,Data[#Headers],0))</f>
        <v>68832</v>
      </c>
      <c r="F225" s="22">
        <f>INDEX(Data[],MATCH($A225,Data[Dist],0),MATCH(F$4,Data[#Headers],0))</f>
        <v>73858</v>
      </c>
      <c r="G225" s="22">
        <f>INDEX(Data[],MATCH($A225,Data[Dist],0),MATCH(G$4,Data[#Headers],0))</f>
        <v>337411</v>
      </c>
      <c r="H225" s="22">
        <f>INDEX(Data[],MATCH($A225,Data[Dist],0),MATCH(H$4,Data[#Headers],0))</f>
        <v>4064454</v>
      </c>
      <c r="I225" s="22">
        <f>INDEX(Data[],MATCH($A225,Data[Dist],0),MATCH(I$4,Data[#Headers],0))</f>
        <v>5408002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129148</v>
      </c>
      <c r="D226" s="22">
        <f>INDEX(Data[],MATCH($A226,Data[Dist],0),MATCH(D$4,Data[#Headers],0))</f>
        <v>863156</v>
      </c>
      <c r="E226" s="22">
        <f>INDEX(Data[],MATCH($A226,Data[Dist],0),MATCH(E$4,Data[#Headers],0))</f>
        <v>101212</v>
      </c>
      <c r="F226" s="22">
        <f>INDEX(Data[],MATCH($A226,Data[Dist],0),MATCH(F$4,Data[#Headers],0))</f>
        <v>99014</v>
      </c>
      <c r="G226" s="22">
        <f>INDEX(Data[],MATCH($A226,Data[Dist],0),MATCH(G$4,Data[#Headers],0))</f>
        <v>479524</v>
      </c>
      <c r="H226" s="22">
        <f>INDEX(Data[],MATCH($A226,Data[Dist],0),MATCH(H$4,Data[#Headers],0))</f>
        <v>9134200</v>
      </c>
      <c r="I226" s="22">
        <f>INDEX(Data[],MATCH($A226,Data[Dist],0),MATCH(I$4,Data[#Headers],0))</f>
        <v>10806254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129148</v>
      </c>
      <c r="D227" s="22">
        <f>INDEX(Data[],MATCH($A227,Data[Dist],0),MATCH(D$4,Data[#Headers],0))</f>
        <v>396490</v>
      </c>
      <c r="E227" s="22">
        <f>INDEX(Data[],MATCH($A227,Data[Dist],0),MATCH(E$4,Data[#Headers],0))</f>
        <v>42970</v>
      </c>
      <c r="F227" s="22">
        <f>INDEX(Data[],MATCH($A227,Data[Dist],0),MATCH(F$4,Data[#Headers],0))</f>
        <v>43247</v>
      </c>
      <c r="G227" s="22">
        <f>INDEX(Data[],MATCH($A227,Data[Dist],0),MATCH(G$4,Data[#Headers],0))</f>
        <v>215360</v>
      </c>
      <c r="H227" s="22">
        <f>INDEX(Data[],MATCH($A227,Data[Dist],0),MATCH(H$4,Data[#Headers],0))</f>
        <v>2531400</v>
      </c>
      <c r="I227" s="22">
        <f>INDEX(Data[],MATCH($A227,Data[Dist],0),MATCH(I$4,Data[#Headers],0))</f>
        <v>3358615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247225</v>
      </c>
      <c r="D228" s="22">
        <f>INDEX(Data[],MATCH($A228,Data[Dist],0),MATCH(D$4,Data[#Headers],0))</f>
        <v>674523</v>
      </c>
      <c r="E228" s="22">
        <f>INDEX(Data[],MATCH($A228,Data[Dist],0),MATCH(E$4,Data[#Headers],0))</f>
        <v>75382</v>
      </c>
      <c r="F228" s="22">
        <f>INDEX(Data[],MATCH($A228,Data[Dist],0),MATCH(F$4,Data[#Headers],0))</f>
        <v>76769</v>
      </c>
      <c r="G228" s="22">
        <f>INDEX(Data[],MATCH($A228,Data[Dist],0),MATCH(G$4,Data[#Headers],0))</f>
        <v>373257</v>
      </c>
      <c r="H228" s="22">
        <f>INDEX(Data[],MATCH($A228,Data[Dist],0),MATCH(H$4,Data[#Headers],0))</f>
        <v>-862810</v>
      </c>
      <c r="I228" s="22">
        <f>INDEX(Data[],MATCH($A228,Data[Dist],0),MATCH(I$4,Data[#Headers],0))</f>
        <v>584346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33210</v>
      </c>
      <c r="D229" s="22">
        <f>INDEX(Data[],MATCH($A229,Data[Dist],0),MATCH(D$4,Data[#Headers],0))</f>
        <v>164919</v>
      </c>
      <c r="E229" s="22">
        <f>INDEX(Data[],MATCH($A229,Data[Dist],0),MATCH(E$4,Data[#Headers],0))</f>
        <v>16814</v>
      </c>
      <c r="F229" s="22">
        <f>INDEX(Data[],MATCH($A229,Data[Dist],0),MATCH(F$4,Data[#Headers],0))</f>
        <v>17094</v>
      </c>
      <c r="G229" s="22">
        <f>INDEX(Data[],MATCH($A229,Data[Dist],0),MATCH(G$4,Data[#Headers],0))</f>
        <v>76569</v>
      </c>
      <c r="H229" s="22">
        <f>INDEX(Data[],MATCH($A229,Data[Dist],0),MATCH(H$4,Data[#Headers],0))</f>
        <v>1105564</v>
      </c>
      <c r="I229" s="22">
        <f>INDEX(Data[],MATCH($A229,Data[Dist],0),MATCH(I$4,Data[#Headers],0))</f>
        <v>1414170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40590</v>
      </c>
      <c r="D230" s="22">
        <f>INDEX(Data[],MATCH($A230,Data[Dist],0),MATCH(D$4,Data[#Headers],0))</f>
        <v>138603</v>
      </c>
      <c r="E230" s="22">
        <f>INDEX(Data[],MATCH($A230,Data[Dist],0),MATCH(E$4,Data[#Headers],0))</f>
        <v>11008</v>
      </c>
      <c r="F230" s="22">
        <f>INDEX(Data[],MATCH($A230,Data[Dist],0),MATCH(F$4,Data[#Headers],0))</f>
        <v>15436</v>
      </c>
      <c r="G230" s="22">
        <f>INDEX(Data[],MATCH($A230,Data[Dist],0),MATCH(G$4,Data[#Headers],0))</f>
        <v>63295</v>
      </c>
      <c r="H230" s="22">
        <f>INDEX(Data[],MATCH($A230,Data[Dist],0),MATCH(H$4,Data[#Headers],0))</f>
        <v>578149</v>
      </c>
      <c r="I230" s="22">
        <f>INDEX(Data[],MATCH($A230,Data[Dist],0),MATCH(I$4,Data[#Headers],0))</f>
        <v>847081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191876</v>
      </c>
      <c r="D231" s="22">
        <f>INDEX(Data[],MATCH($A231,Data[Dist],0),MATCH(D$4,Data[#Headers],0))</f>
        <v>573781</v>
      </c>
      <c r="E231" s="22">
        <f>INDEX(Data[],MATCH($A231,Data[Dist],0),MATCH(E$4,Data[#Headers],0))</f>
        <v>62035</v>
      </c>
      <c r="F231" s="22">
        <f>INDEX(Data[],MATCH($A231,Data[Dist],0),MATCH(F$4,Data[#Headers],0))</f>
        <v>65202</v>
      </c>
      <c r="G231" s="22">
        <f>INDEX(Data[],MATCH($A231,Data[Dist],0),MATCH(G$4,Data[#Headers],0))</f>
        <v>322807</v>
      </c>
      <c r="H231" s="22">
        <f>INDEX(Data[],MATCH($A231,Data[Dist],0),MATCH(H$4,Data[#Headers],0))</f>
        <v>4558324</v>
      </c>
      <c r="I231" s="22">
        <f>INDEX(Data[],MATCH($A231,Data[Dist],0),MATCH(I$4,Data[#Headers],0))</f>
        <v>5774025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583007</v>
      </c>
      <c r="D232" s="22">
        <f>INDEX(Data[],MATCH($A232,Data[Dist],0),MATCH(D$4,Data[#Headers],0))</f>
        <v>1375384</v>
      </c>
      <c r="E232" s="22">
        <f>INDEX(Data[],MATCH($A232,Data[Dist],0),MATCH(E$4,Data[#Headers],0))</f>
        <v>178808</v>
      </c>
      <c r="F232" s="22">
        <f>INDEX(Data[],MATCH($A232,Data[Dist],0),MATCH(F$4,Data[#Headers],0))</f>
        <v>160985</v>
      </c>
      <c r="G232" s="22">
        <f>INDEX(Data[],MATCH($A232,Data[Dist],0),MATCH(G$4,Data[#Headers],0))</f>
        <v>790237</v>
      </c>
      <c r="H232" s="22">
        <f>INDEX(Data[],MATCH($A232,Data[Dist],0),MATCH(H$4,Data[#Headers],0))</f>
        <v>12921225</v>
      </c>
      <c r="I232" s="22">
        <f>INDEX(Data[],MATCH($A232,Data[Dist],0),MATCH(I$4,Data[#Headers],0))</f>
        <v>16009646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1022107</v>
      </c>
      <c r="D233" s="22">
        <f>INDEX(Data[],MATCH($A233,Data[Dist],0),MATCH(D$4,Data[#Headers],0))</f>
        <v>2998544</v>
      </c>
      <c r="E233" s="22">
        <f>INDEX(Data[],MATCH($A233,Data[Dist],0),MATCH(E$4,Data[#Headers],0))</f>
        <v>426185</v>
      </c>
      <c r="F233" s="22">
        <f>INDEX(Data[],MATCH($A233,Data[Dist],0),MATCH(F$4,Data[#Headers],0))</f>
        <v>339954</v>
      </c>
      <c r="G233" s="22">
        <f>INDEX(Data[],MATCH($A233,Data[Dist],0),MATCH(G$4,Data[#Headers],0))</f>
        <v>1743130</v>
      </c>
      <c r="H233" s="22">
        <f>INDEX(Data[],MATCH($A233,Data[Dist],0),MATCH(H$4,Data[#Headers],0))</f>
        <v>34771586</v>
      </c>
      <c r="I233" s="22">
        <f>INDEX(Data[],MATCH($A233,Data[Dist],0),MATCH(I$4,Data[#Headers],0))</f>
        <v>41301506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129148</v>
      </c>
      <c r="D234" s="22">
        <f>INDEX(Data[],MATCH($A234,Data[Dist],0),MATCH(D$4,Data[#Headers],0))</f>
        <v>427333</v>
      </c>
      <c r="E234" s="22">
        <f>INDEX(Data[],MATCH($A234,Data[Dist],0),MATCH(E$4,Data[#Headers],0))</f>
        <v>45391</v>
      </c>
      <c r="F234" s="22">
        <f>INDEX(Data[],MATCH($A234,Data[Dist],0),MATCH(F$4,Data[#Headers],0))</f>
        <v>42796</v>
      </c>
      <c r="G234" s="22">
        <f>INDEX(Data[],MATCH($A234,Data[Dist],0),MATCH(G$4,Data[#Headers],0))</f>
        <v>245665</v>
      </c>
      <c r="H234" s="22">
        <f>INDEX(Data[],MATCH($A234,Data[Dist],0),MATCH(H$4,Data[#Headers],0))</f>
        <v>2777435</v>
      </c>
      <c r="I234" s="22">
        <f>INDEX(Data[],MATCH($A234,Data[Dist],0),MATCH(I$4,Data[#Headers],0))</f>
        <v>3667768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33210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678916</v>
      </c>
      <c r="I235" s="22">
        <f>INDEX(Data[],MATCH($A235,Data[Dist],0),MATCH(I$4,Data[#Headers],0))</f>
        <v>941005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99628</v>
      </c>
      <c r="D236" s="22">
        <f>INDEX(Data[],MATCH($A236,Data[Dist],0),MATCH(D$4,Data[#Headers],0))</f>
        <v>372305</v>
      </c>
      <c r="E236" s="22">
        <f>INDEX(Data[],MATCH($A236,Data[Dist],0),MATCH(E$4,Data[#Headers],0))</f>
        <v>37873</v>
      </c>
      <c r="F236" s="22">
        <f>INDEX(Data[],MATCH($A236,Data[Dist],0),MATCH(F$4,Data[#Headers],0))</f>
        <v>43697</v>
      </c>
      <c r="G236" s="22">
        <f>INDEX(Data[],MATCH($A236,Data[Dist],0),MATCH(G$4,Data[#Headers],0))</f>
        <v>203892</v>
      </c>
      <c r="H236" s="22">
        <f>INDEX(Data[],MATCH($A236,Data[Dist],0),MATCH(H$4,Data[#Headers],0))</f>
        <v>1011083</v>
      </c>
      <c r="I236" s="22">
        <f>INDEX(Data[],MATCH($A236,Data[Dist],0),MATCH(I$4,Data[#Headers],0))</f>
        <v>1768478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129148</v>
      </c>
      <c r="D237" s="22">
        <f>INDEX(Data[],MATCH($A237,Data[Dist],0),MATCH(D$4,Data[#Headers],0))</f>
        <v>364788</v>
      </c>
      <c r="E237" s="22">
        <f>INDEX(Data[],MATCH($A237,Data[Dist],0),MATCH(E$4,Data[#Headers],0))</f>
        <v>42474</v>
      </c>
      <c r="F237" s="22">
        <f>INDEX(Data[],MATCH($A237,Data[Dist],0),MATCH(F$4,Data[#Headers],0))</f>
        <v>41020</v>
      </c>
      <c r="G237" s="22">
        <f>INDEX(Data[],MATCH($A237,Data[Dist],0),MATCH(G$4,Data[#Headers],0))</f>
        <v>206056</v>
      </c>
      <c r="H237" s="22">
        <f>INDEX(Data[],MATCH($A237,Data[Dist],0),MATCH(H$4,Data[#Headers],0))</f>
        <v>2612806</v>
      </c>
      <c r="I237" s="22">
        <f>INDEX(Data[],MATCH($A237,Data[Dist],0),MATCH(I$4,Data[#Headers],0))</f>
        <v>3396292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457549</v>
      </c>
      <c r="D238" s="22">
        <f>INDEX(Data[],MATCH($A238,Data[Dist],0),MATCH(D$4,Data[#Headers],0))</f>
        <v>1319935</v>
      </c>
      <c r="E238" s="22">
        <f>INDEX(Data[],MATCH($A238,Data[Dist],0),MATCH(E$4,Data[#Headers],0))</f>
        <v>153607</v>
      </c>
      <c r="F238" s="22">
        <f>INDEX(Data[],MATCH($A238,Data[Dist],0),MATCH(F$4,Data[#Headers],0))</f>
        <v>142562</v>
      </c>
      <c r="G238" s="22">
        <f>INDEX(Data[],MATCH($A238,Data[Dist],0),MATCH(G$4,Data[#Headers],0))</f>
        <v>777929</v>
      </c>
      <c r="H238" s="22">
        <f>INDEX(Data[],MATCH($A238,Data[Dist],0),MATCH(H$4,Data[#Headers],0))</f>
        <v>10437764</v>
      </c>
      <c r="I238" s="22">
        <f>INDEX(Data[],MATCH($A238,Data[Dist],0),MATCH(I$4,Data[#Headers],0))</f>
        <v>13289346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357922</v>
      </c>
      <c r="D239" s="22">
        <f>INDEX(Data[],MATCH($A239,Data[Dist],0),MATCH(D$4,Data[#Headers],0))</f>
        <v>1185599</v>
      </c>
      <c r="E239" s="22">
        <f>INDEX(Data[],MATCH($A239,Data[Dist],0),MATCH(E$4,Data[#Headers],0))</f>
        <v>173167</v>
      </c>
      <c r="F239" s="22">
        <f>INDEX(Data[],MATCH($A239,Data[Dist],0),MATCH(F$4,Data[#Headers],0))</f>
        <v>129445</v>
      </c>
      <c r="G239" s="22">
        <f>INDEX(Data[],MATCH($A239,Data[Dist],0),MATCH(G$4,Data[#Headers],0))</f>
        <v>655096</v>
      </c>
      <c r="H239" s="22">
        <f>INDEX(Data[],MATCH($A239,Data[Dist],0),MATCH(H$4,Data[#Headers],0))</f>
        <v>12682156</v>
      </c>
      <c r="I239" s="22">
        <f>INDEX(Data[],MATCH($A239,Data[Dist],0),MATCH(I$4,Data[#Headers],0))</f>
        <v>15183385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682635</v>
      </c>
      <c r="D240" s="22">
        <f>INDEX(Data[],MATCH($A240,Data[Dist],0),MATCH(D$4,Data[#Headers],0))</f>
        <v>3232954</v>
      </c>
      <c r="E240" s="22">
        <f>INDEX(Data[],MATCH($A240,Data[Dist],0),MATCH(E$4,Data[#Headers],0))</f>
        <v>345049</v>
      </c>
      <c r="F240" s="22">
        <f>INDEX(Data[],MATCH($A240,Data[Dist],0),MATCH(F$4,Data[#Headers],0))</f>
        <v>372439</v>
      </c>
      <c r="G240" s="22">
        <f>INDEX(Data[],MATCH($A240,Data[Dist],0),MATCH(G$4,Data[#Headers],0))</f>
        <v>1940564</v>
      </c>
      <c r="H240" s="22">
        <f>INDEX(Data[],MATCH($A240,Data[Dist],0),MATCH(H$4,Data[#Headers],0))</f>
        <v>28055085</v>
      </c>
      <c r="I240" s="22">
        <f>INDEX(Data[],MATCH($A240,Data[Dist],0),MATCH(I$4,Data[#Headers],0))</f>
        <v>34628726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180806</v>
      </c>
      <c r="D241" s="22">
        <f>INDEX(Data[],MATCH($A241,Data[Dist],0),MATCH(D$4,Data[#Headers],0))</f>
        <v>428798</v>
      </c>
      <c r="E241" s="22">
        <f>INDEX(Data[],MATCH($A241,Data[Dist],0),MATCH(E$4,Data[#Headers],0))</f>
        <v>56308</v>
      </c>
      <c r="F241" s="22">
        <f>INDEX(Data[],MATCH($A241,Data[Dist],0),MATCH(F$4,Data[#Headers],0))</f>
        <v>45407</v>
      </c>
      <c r="G241" s="22">
        <f>INDEX(Data[],MATCH($A241,Data[Dist],0),MATCH(G$4,Data[#Headers],0))</f>
        <v>241658</v>
      </c>
      <c r="H241" s="22">
        <f>INDEX(Data[],MATCH($A241,Data[Dist],0),MATCH(H$4,Data[#Headers],0))</f>
        <v>4147901</v>
      </c>
      <c r="I241" s="22">
        <f>INDEX(Data[],MATCH($A241,Data[Dist],0),MATCH(I$4,Data[#Headers],0))</f>
        <v>5100878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143907</v>
      </c>
      <c r="D242" s="22">
        <f>INDEX(Data[],MATCH($A242,Data[Dist],0),MATCH(D$4,Data[#Headers],0))</f>
        <v>495567</v>
      </c>
      <c r="E242" s="22">
        <f>INDEX(Data[],MATCH($A242,Data[Dist],0),MATCH(E$4,Data[#Headers],0))</f>
        <v>46716</v>
      </c>
      <c r="F242" s="22">
        <f>INDEX(Data[],MATCH($A242,Data[Dist],0),MATCH(F$4,Data[#Headers],0))</f>
        <v>61599</v>
      </c>
      <c r="G242" s="22">
        <f>INDEX(Data[],MATCH($A242,Data[Dist],0),MATCH(G$4,Data[#Headers],0))</f>
        <v>240298</v>
      </c>
      <c r="H242" s="22">
        <f>INDEX(Data[],MATCH($A242,Data[Dist],0),MATCH(H$4,Data[#Headers],0))</f>
        <v>1618167</v>
      </c>
      <c r="I242" s="22">
        <f>INDEX(Data[],MATCH($A242,Data[Dist],0),MATCH(I$4,Data[#Headers],0))</f>
        <v>2606254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88558</v>
      </c>
      <c r="D243" s="22">
        <f>INDEX(Data[],MATCH($A243,Data[Dist],0),MATCH(D$4,Data[#Headers],0))</f>
        <v>465130</v>
      </c>
      <c r="E243" s="22">
        <f>INDEX(Data[],MATCH($A243,Data[Dist],0),MATCH(E$4,Data[#Headers],0))</f>
        <v>70429</v>
      </c>
      <c r="F243" s="22">
        <f>INDEX(Data[],MATCH($A243,Data[Dist],0),MATCH(F$4,Data[#Headers],0))</f>
        <v>46237</v>
      </c>
      <c r="G243" s="22">
        <f>INDEX(Data[],MATCH($A243,Data[Dist],0),MATCH(G$4,Data[#Headers],0))</f>
        <v>254053</v>
      </c>
      <c r="H243" s="22">
        <f>INDEX(Data[],MATCH($A243,Data[Dist],0),MATCH(H$4,Data[#Headers],0))</f>
        <v>4465423</v>
      </c>
      <c r="I243" s="22">
        <f>INDEX(Data[],MATCH($A243,Data[Dist],0),MATCH(I$4,Data[#Headers],0))</f>
        <v>5389830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210326</v>
      </c>
      <c r="D244" s="22">
        <f>INDEX(Data[],MATCH($A244,Data[Dist],0),MATCH(D$4,Data[#Headers],0))</f>
        <v>635446</v>
      </c>
      <c r="E244" s="22">
        <f>INDEX(Data[],MATCH($A244,Data[Dist],0),MATCH(E$4,Data[#Headers],0))</f>
        <v>70795</v>
      </c>
      <c r="F244" s="22">
        <f>INDEX(Data[],MATCH($A244,Data[Dist],0),MATCH(F$4,Data[#Headers],0))</f>
        <v>68688</v>
      </c>
      <c r="G244" s="22">
        <f>INDEX(Data[],MATCH($A244,Data[Dist],0),MATCH(G$4,Data[#Headers],0))</f>
        <v>365994</v>
      </c>
      <c r="H244" s="22">
        <f>INDEX(Data[],MATCH($A244,Data[Dist],0),MATCH(H$4,Data[#Headers],0))</f>
        <v>5665946</v>
      </c>
      <c r="I244" s="22">
        <f>INDEX(Data[],MATCH($A244,Data[Dist],0),MATCH(I$4,Data[#Headers],0))</f>
        <v>7017195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92324</v>
      </c>
      <c r="D245" s="22">
        <f>INDEX(Data[],MATCH($A245,Data[Dist],0),MATCH(D$4,Data[#Headers],0))</f>
        <v>399696</v>
      </c>
      <c r="E245" s="22">
        <f>INDEX(Data[],MATCH($A245,Data[Dist],0),MATCH(E$4,Data[#Headers],0))</f>
        <v>42802</v>
      </c>
      <c r="F245" s="22">
        <f>INDEX(Data[],MATCH($A245,Data[Dist],0),MATCH(F$4,Data[#Headers],0))</f>
        <v>47792</v>
      </c>
      <c r="G245" s="22">
        <f>INDEX(Data[],MATCH($A245,Data[Dist],0),MATCH(G$4,Data[#Headers],0))</f>
        <v>205234</v>
      </c>
      <c r="H245" s="22">
        <f>INDEX(Data[],MATCH($A245,Data[Dist],0),MATCH(H$4,Data[#Headers],0))</f>
        <v>1835020</v>
      </c>
      <c r="I245" s="22">
        <f>INDEX(Data[],MATCH($A245,Data[Dist],0),MATCH(I$4,Data[#Headers],0))</f>
        <v>2622868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247225</v>
      </c>
      <c r="D246" s="22">
        <f>INDEX(Data[],MATCH($A246,Data[Dist],0),MATCH(D$4,Data[#Headers],0))</f>
        <v>696775</v>
      </c>
      <c r="E246" s="22">
        <f>INDEX(Data[],MATCH($A246,Data[Dist],0),MATCH(E$4,Data[#Headers],0))</f>
        <v>92748</v>
      </c>
      <c r="F246" s="22">
        <f>INDEX(Data[],MATCH($A246,Data[Dist],0),MATCH(F$4,Data[#Headers],0))</f>
        <v>77274</v>
      </c>
      <c r="G246" s="22">
        <f>INDEX(Data[],MATCH($A246,Data[Dist],0),MATCH(G$4,Data[#Headers],0))</f>
        <v>383955</v>
      </c>
      <c r="H246" s="22">
        <f>INDEX(Data[],MATCH($A246,Data[Dist],0),MATCH(H$4,Data[#Headers],0))</f>
        <v>6105355</v>
      </c>
      <c r="I246" s="22">
        <f>INDEX(Data[],MATCH($A246,Data[Dist],0),MATCH(I$4,Data[#Headers],0))</f>
        <v>7603332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47969</v>
      </c>
      <c r="D247" s="22">
        <f>INDEX(Data[],MATCH($A247,Data[Dist],0),MATCH(D$4,Data[#Headers],0))</f>
        <v>221268</v>
      </c>
      <c r="E247" s="22">
        <f>INDEX(Data[],MATCH($A247,Data[Dist],0),MATCH(E$4,Data[#Headers],0))</f>
        <v>21467</v>
      </c>
      <c r="F247" s="22">
        <f>INDEX(Data[],MATCH($A247,Data[Dist],0),MATCH(F$4,Data[#Headers],0))</f>
        <v>22671</v>
      </c>
      <c r="G247" s="22">
        <f>INDEX(Data[],MATCH($A247,Data[Dist],0),MATCH(G$4,Data[#Headers],0))</f>
        <v>118074</v>
      </c>
      <c r="H247" s="22">
        <f>INDEX(Data[],MATCH($A247,Data[Dist],0),MATCH(H$4,Data[#Headers],0))</f>
        <v>975177</v>
      </c>
      <c r="I247" s="22">
        <f>INDEX(Data[],MATCH($A247,Data[Dist],0),MATCH(I$4,Data[#Headers],0))</f>
        <v>1406626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121768</v>
      </c>
      <c r="D248" s="22">
        <f>INDEX(Data[],MATCH($A248,Data[Dist],0),MATCH(D$4,Data[#Headers],0))</f>
        <v>265980</v>
      </c>
      <c r="E248" s="22">
        <f>INDEX(Data[],MATCH($A248,Data[Dist],0),MATCH(E$4,Data[#Headers],0))</f>
        <v>23844</v>
      </c>
      <c r="F248" s="22">
        <f>INDEX(Data[],MATCH($A248,Data[Dist],0),MATCH(F$4,Data[#Headers],0))</f>
        <v>32309</v>
      </c>
      <c r="G248" s="22">
        <f>INDEX(Data[],MATCH($A248,Data[Dist],0),MATCH(G$4,Data[#Headers],0))</f>
        <v>118969</v>
      </c>
      <c r="H248" s="22">
        <f>INDEX(Data[],MATCH($A248,Data[Dist],0),MATCH(H$4,Data[#Headers],0))</f>
        <v>920444</v>
      </c>
      <c r="I248" s="22">
        <f>INDEX(Data[],MATCH($A248,Data[Dist],0),MATCH(I$4,Data[#Headers],0))</f>
        <v>1483314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261984</v>
      </c>
      <c r="D249" s="22">
        <f>INDEX(Data[],MATCH($A249,Data[Dist],0),MATCH(D$4,Data[#Headers],0))</f>
        <v>554309</v>
      </c>
      <c r="E249" s="22">
        <f>INDEX(Data[],MATCH($A249,Data[Dist],0),MATCH(E$4,Data[#Headers],0))</f>
        <v>76501</v>
      </c>
      <c r="F249" s="22">
        <f>INDEX(Data[],MATCH($A249,Data[Dist],0),MATCH(F$4,Data[#Headers],0))</f>
        <v>59047</v>
      </c>
      <c r="G249" s="22">
        <f>INDEX(Data[],MATCH($A249,Data[Dist],0),MATCH(G$4,Data[#Headers],0))</f>
        <v>305525</v>
      </c>
      <c r="H249" s="22">
        <f>INDEX(Data[],MATCH($A249,Data[Dist],0),MATCH(H$4,Data[#Headers],0))</f>
        <v>4701392</v>
      </c>
      <c r="I249" s="22">
        <f>INDEX(Data[],MATCH($A249,Data[Dist],0),MATCH(I$4,Data[#Headers],0))</f>
        <v>5958758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232465</v>
      </c>
      <c r="D250" s="22">
        <f>INDEX(Data[],MATCH($A250,Data[Dist],0),MATCH(D$4,Data[#Headers],0))</f>
        <v>613980</v>
      </c>
      <c r="E250" s="22">
        <f>INDEX(Data[],MATCH($A250,Data[Dist],0),MATCH(E$4,Data[#Headers],0))</f>
        <v>70662</v>
      </c>
      <c r="F250" s="22">
        <f>INDEX(Data[],MATCH($A250,Data[Dist],0),MATCH(F$4,Data[#Headers],0))</f>
        <v>75754</v>
      </c>
      <c r="G250" s="22">
        <f>INDEX(Data[],MATCH($A250,Data[Dist],0),MATCH(G$4,Data[#Headers],0))</f>
        <v>353113</v>
      </c>
      <c r="H250" s="22">
        <f>INDEX(Data[],MATCH($A250,Data[Dist],0),MATCH(H$4,Data[#Headers],0))</f>
        <v>5132768</v>
      </c>
      <c r="I250" s="22">
        <f>INDEX(Data[],MATCH($A250,Data[Dist],0),MATCH(I$4,Data[#Headers],0))</f>
        <v>6478742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114388</v>
      </c>
      <c r="D251" s="22">
        <f>INDEX(Data[],MATCH($A251,Data[Dist],0),MATCH(D$4,Data[#Headers],0))</f>
        <v>260639</v>
      </c>
      <c r="E251" s="22">
        <f>INDEX(Data[],MATCH($A251,Data[Dist],0),MATCH(E$4,Data[#Headers],0))</f>
        <v>27935</v>
      </c>
      <c r="F251" s="22">
        <f>INDEX(Data[],MATCH($A251,Data[Dist],0),MATCH(F$4,Data[#Headers],0))</f>
        <v>29428</v>
      </c>
      <c r="G251" s="22">
        <f>INDEX(Data[],MATCH($A251,Data[Dist],0),MATCH(G$4,Data[#Headers],0))</f>
        <v>140973</v>
      </c>
      <c r="H251" s="22">
        <f>INDEX(Data[],MATCH($A251,Data[Dist],0),MATCH(H$4,Data[#Headers],0))</f>
        <v>1845851</v>
      </c>
      <c r="I251" s="22">
        <f>INDEX(Data[],MATCH($A251,Data[Dist],0),MATCH(I$4,Data[#Headers],0))</f>
        <v>2419214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18450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970398</v>
      </c>
      <c r="I252" s="22">
        <f>INDEX(Data[],MATCH($A252,Data[Dist],0),MATCH(I$4,Data[#Headers],0))</f>
        <v>1255643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125457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2238839</v>
      </c>
      <c r="I253" s="22">
        <f>INDEX(Data[],MATCH($A253,Data[Dist],0),MATCH(I$4,Data[#Headers],0))</f>
        <v>3007256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221395</v>
      </c>
      <c r="D254" s="22">
        <f>INDEX(Data[],MATCH($A254,Data[Dist],0),MATCH(D$4,Data[#Headers],0))</f>
        <v>724120</v>
      </c>
      <c r="E254" s="22">
        <f>INDEX(Data[],MATCH($A254,Data[Dist],0),MATCH(E$4,Data[#Headers],0))</f>
        <v>92727</v>
      </c>
      <c r="F254" s="22">
        <f>INDEX(Data[],MATCH($A254,Data[Dist],0),MATCH(F$4,Data[#Headers],0))</f>
        <v>77977</v>
      </c>
      <c r="G254" s="22">
        <f>INDEX(Data[],MATCH($A254,Data[Dist],0),MATCH(G$4,Data[#Headers],0))</f>
        <v>381880</v>
      </c>
      <c r="H254" s="22">
        <f>INDEX(Data[],MATCH($A254,Data[Dist],0),MATCH(H$4,Data[#Headers],0))</f>
        <v>1844462</v>
      </c>
      <c r="I254" s="22">
        <f>INDEX(Data[],MATCH($A254,Data[Dist],0),MATCH(I$4,Data[#Headers],0))</f>
        <v>3342561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88558</v>
      </c>
      <c r="D255" s="22">
        <f>INDEX(Data[],MATCH($A255,Data[Dist],0),MATCH(D$4,Data[#Headers],0))</f>
        <v>251104</v>
      </c>
      <c r="E255" s="22">
        <f>INDEX(Data[],MATCH($A255,Data[Dist],0),MATCH(E$4,Data[#Headers],0))</f>
        <v>25054</v>
      </c>
      <c r="F255" s="22">
        <f>INDEX(Data[],MATCH($A255,Data[Dist],0),MATCH(F$4,Data[#Headers],0))</f>
        <v>28276</v>
      </c>
      <c r="G255" s="22">
        <f>INDEX(Data[],MATCH($A255,Data[Dist],0),MATCH(G$4,Data[#Headers],0))</f>
        <v>133102</v>
      </c>
      <c r="H255" s="22">
        <f>INDEX(Data[],MATCH($A255,Data[Dist],0),MATCH(H$4,Data[#Headers],0))</f>
        <v>1515796</v>
      </c>
      <c r="I255" s="22">
        <f>INDEX(Data[],MATCH($A255,Data[Dist],0),MATCH(I$4,Data[#Headers],0))</f>
        <v>2041890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29596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745322</v>
      </c>
      <c r="I256" s="22">
        <f>INDEX(Data[],MATCH($A256,Data[Dist],0),MATCH(I$4,Data[#Headers],0))</f>
        <v>1028417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258294</v>
      </c>
      <c r="D257" s="22">
        <f>INDEX(Data[],MATCH($A257,Data[Dist],0),MATCH(D$4,Data[#Headers],0))</f>
        <v>905869</v>
      </c>
      <c r="E257" s="22">
        <f>INDEX(Data[],MATCH($A257,Data[Dist],0),MATCH(E$4,Data[#Headers],0))</f>
        <v>107154</v>
      </c>
      <c r="F257" s="22">
        <f>INDEX(Data[],MATCH($A257,Data[Dist],0),MATCH(F$4,Data[#Headers],0))</f>
        <v>109040</v>
      </c>
      <c r="G257" s="22">
        <f>INDEX(Data[],MATCH($A257,Data[Dist],0),MATCH(G$4,Data[#Headers],0))</f>
        <v>503675</v>
      </c>
      <c r="H257" s="22">
        <f>INDEX(Data[],MATCH($A257,Data[Dist],0),MATCH(H$4,Data[#Headers],0))</f>
        <v>6508148</v>
      </c>
      <c r="I257" s="22">
        <f>INDEX(Data[],MATCH($A257,Data[Dist],0),MATCH(I$4,Data[#Headers],0))</f>
        <v>8392180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44279</v>
      </c>
      <c r="D258" s="22">
        <f>INDEX(Data[],MATCH($A258,Data[Dist],0),MATCH(D$4,Data[#Headers],0))</f>
        <v>196325</v>
      </c>
      <c r="E258" s="22">
        <f>INDEX(Data[],MATCH($A258,Data[Dist],0),MATCH(E$4,Data[#Headers],0))</f>
        <v>22272</v>
      </c>
      <c r="F258" s="22">
        <f>INDEX(Data[],MATCH($A258,Data[Dist],0),MATCH(F$4,Data[#Headers],0))</f>
        <v>21679</v>
      </c>
      <c r="G258" s="22">
        <f>INDEX(Data[],MATCH($A258,Data[Dist],0),MATCH(G$4,Data[#Headers],0))</f>
        <v>91096</v>
      </c>
      <c r="H258" s="22">
        <f>INDEX(Data[],MATCH($A258,Data[Dist],0),MATCH(H$4,Data[#Headers],0))</f>
        <v>1230211</v>
      </c>
      <c r="I258" s="22">
        <f>INDEX(Data[],MATCH($A258,Data[Dist],0),MATCH(I$4,Data[#Headers],0))</f>
        <v>1605862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173427</v>
      </c>
      <c r="D259" s="22">
        <f>INDEX(Data[],MATCH($A259,Data[Dist],0),MATCH(D$4,Data[#Headers],0))</f>
        <v>522320</v>
      </c>
      <c r="E259" s="22">
        <f>INDEX(Data[],MATCH($A259,Data[Dist],0),MATCH(E$4,Data[#Headers],0))</f>
        <v>49703</v>
      </c>
      <c r="F259" s="22">
        <f>INDEX(Data[],MATCH($A259,Data[Dist],0),MATCH(F$4,Data[#Headers],0))</f>
        <v>59865</v>
      </c>
      <c r="G259" s="22">
        <f>INDEX(Data[],MATCH($A259,Data[Dist],0),MATCH(G$4,Data[#Headers],0))</f>
        <v>268314</v>
      </c>
      <c r="H259" s="22">
        <f>INDEX(Data[],MATCH($A259,Data[Dist],0),MATCH(H$4,Data[#Headers],0))</f>
        <v>3414639</v>
      </c>
      <c r="I259" s="22">
        <f>INDEX(Data[],MATCH($A259,Data[Dist],0),MATCH(I$4,Data[#Headers],0))</f>
        <v>4488268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265674</v>
      </c>
      <c r="D260" s="22">
        <f>INDEX(Data[],MATCH($A260,Data[Dist],0),MATCH(D$4,Data[#Headers],0))</f>
        <v>686899</v>
      </c>
      <c r="E260" s="22">
        <f>INDEX(Data[],MATCH($A260,Data[Dist],0),MATCH(E$4,Data[#Headers],0))</f>
        <v>85103</v>
      </c>
      <c r="F260" s="22">
        <f>INDEX(Data[],MATCH($A260,Data[Dist],0),MATCH(F$4,Data[#Headers],0))</f>
        <v>73102</v>
      </c>
      <c r="G260" s="22">
        <f>INDEX(Data[],MATCH($A260,Data[Dist],0),MATCH(G$4,Data[#Headers],0))</f>
        <v>399448</v>
      </c>
      <c r="H260" s="22">
        <f>INDEX(Data[],MATCH($A260,Data[Dist],0),MATCH(H$4,Data[#Headers],0))</f>
        <v>6238213</v>
      </c>
      <c r="I260" s="22">
        <f>INDEX(Data[],MATCH($A260,Data[Dist],0),MATCH(I$4,Data[#Headers],0))</f>
        <v>7748439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199255</v>
      </c>
      <c r="D261" s="22">
        <f>INDEX(Data[],MATCH($A261,Data[Dist],0),MATCH(D$4,Data[#Headers],0))</f>
        <v>691673</v>
      </c>
      <c r="E261" s="22">
        <f>INDEX(Data[],MATCH($A261,Data[Dist],0),MATCH(E$4,Data[#Headers],0))</f>
        <v>87656</v>
      </c>
      <c r="F261" s="22">
        <f>INDEX(Data[],MATCH($A261,Data[Dist],0),MATCH(F$4,Data[#Headers],0))</f>
        <v>75128</v>
      </c>
      <c r="G261" s="22">
        <f>INDEX(Data[],MATCH($A261,Data[Dist],0),MATCH(G$4,Data[#Headers],0))</f>
        <v>371074</v>
      </c>
      <c r="H261" s="22">
        <f>INDEX(Data[],MATCH($A261,Data[Dist],0),MATCH(H$4,Data[#Headers],0))</f>
        <v>5629867</v>
      </c>
      <c r="I261" s="22">
        <f>INDEX(Data[],MATCH($A261,Data[Dist],0),MATCH(I$4,Data[#Headers],0))</f>
        <v>7054653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118077</v>
      </c>
      <c r="D262" s="22">
        <f>INDEX(Data[],MATCH($A262,Data[Dist],0),MATCH(D$4,Data[#Headers],0))</f>
        <v>470936</v>
      </c>
      <c r="E262" s="22">
        <f>INDEX(Data[],MATCH($A262,Data[Dist],0),MATCH(E$4,Data[#Headers],0))</f>
        <v>55259</v>
      </c>
      <c r="F262" s="22">
        <f>INDEX(Data[],MATCH($A262,Data[Dist],0),MATCH(F$4,Data[#Headers],0))</f>
        <v>48422</v>
      </c>
      <c r="G262" s="22">
        <f>INDEX(Data[],MATCH($A262,Data[Dist],0),MATCH(G$4,Data[#Headers],0))</f>
        <v>254038</v>
      </c>
      <c r="H262" s="22">
        <f>INDEX(Data[],MATCH($A262,Data[Dist],0),MATCH(H$4,Data[#Headers],0))</f>
        <v>3510875</v>
      </c>
      <c r="I262" s="22">
        <f>INDEX(Data[],MATCH($A262,Data[Dist],0),MATCH(I$4,Data[#Headers],0))</f>
        <v>4457607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99628</v>
      </c>
      <c r="D263" s="22">
        <f>INDEX(Data[],MATCH($A263,Data[Dist],0),MATCH(D$4,Data[#Headers],0))</f>
        <v>262074</v>
      </c>
      <c r="E263" s="22">
        <f>INDEX(Data[],MATCH($A263,Data[Dist],0),MATCH(E$4,Data[#Headers],0))</f>
        <v>29638</v>
      </c>
      <c r="F263" s="22">
        <f>INDEX(Data[],MATCH($A263,Data[Dist],0),MATCH(F$4,Data[#Headers],0))</f>
        <v>27806</v>
      </c>
      <c r="G263" s="22">
        <f>INDEX(Data[],MATCH($A263,Data[Dist],0),MATCH(G$4,Data[#Headers],0))</f>
        <v>132672</v>
      </c>
      <c r="H263" s="22">
        <f>INDEX(Data[],MATCH($A263,Data[Dist],0),MATCH(H$4,Data[#Headers],0))</f>
        <v>1922561</v>
      </c>
      <c r="I263" s="22">
        <f>INDEX(Data[],MATCH($A263,Data[Dist],0),MATCH(I$4,Data[#Headers],0))</f>
        <v>2474379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103318</v>
      </c>
      <c r="D264" s="22">
        <f>INDEX(Data[],MATCH($A264,Data[Dist],0),MATCH(D$4,Data[#Headers],0))</f>
        <v>365429</v>
      </c>
      <c r="E264" s="22">
        <f>INDEX(Data[],MATCH($A264,Data[Dist],0),MATCH(E$4,Data[#Headers],0))</f>
        <v>40158</v>
      </c>
      <c r="F264" s="22">
        <f>INDEX(Data[],MATCH($A264,Data[Dist],0),MATCH(F$4,Data[#Headers],0))</f>
        <v>38478</v>
      </c>
      <c r="G264" s="22">
        <f>INDEX(Data[],MATCH($A264,Data[Dist],0),MATCH(G$4,Data[#Headers],0))</f>
        <v>192711</v>
      </c>
      <c r="H264" s="22">
        <f>INDEX(Data[],MATCH($A264,Data[Dist],0),MATCH(H$4,Data[#Headers],0))</f>
        <v>2993634</v>
      </c>
      <c r="I264" s="22">
        <f>INDEX(Data[],MATCH($A264,Data[Dist],0),MATCH(I$4,Data[#Headers],0))</f>
        <v>3733728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520279</v>
      </c>
      <c r="D265" s="22">
        <f>INDEX(Data[],MATCH($A265,Data[Dist],0),MATCH(D$4,Data[#Headers],0))</f>
        <v>947881</v>
      </c>
      <c r="E265" s="22">
        <f>INDEX(Data[],MATCH($A265,Data[Dist],0),MATCH(E$4,Data[#Headers],0))</f>
        <v>127210</v>
      </c>
      <c r="F265" s="22">
        <f>INDEX(Data[],MATCH($A265,Data[Dist],0),MATCH(F$4,Data[#Headers],0))</f>
        <v>120660</v>
      </c>
      <c r="G265" s="22">
        <f>INDEX(Data[],MATCH($A265,Data[Dist],0),MATCH(G$4,Data[#Headers],0))</f>
        <v>529007</v>
      </c>
      <c r="H265" s="22">
        <f>INDEX(Data[],MATCH($A265,Data[Dist],0),MATCH(H$4,Data[#Headers],0))</f>
        <v>8189154</v>
      </c>
      <c r="I265" s="22">
        <f>INDEX(Data[],MATCH($A265,Data[Dist],0),MATCH(I$4,Data[#Headers],0))</f>
        <v>10434191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2439034</v>
      </c>
      <c r="D266" s="22">
        <f>INDEX(Data[],MATCH($A266,Data[Dist],0),MATCH(D$4,Data[#Headers],0))</f>
        <v>9203366</v>
      </c>
      <c r="E266" s="22">
        <f>INDEX(Data[],MATCH($A266,Data[Dist],0),MATCH(E$4,Data[#Headers],0))</f>
        <v>1352894</v>
      </c>
      <c r="F266" s="22">
        <f>INDEX(Data[],MATCH($A266,Data[Dist],0),MATCH(F$4,Data[#Headers],0))</f>
        <v>1092545</v>
      </c>
      <c r="G266" s="22">
        <f>INDEX(Data[],MATCH($A266,Data[Dist],0),MATCH(G$4,Data[#Headers],0))</f>
        <v>5319985</v>
      </c>
      <c r="H266" s="22">
        <f>INDEX(Data[],MATCH($A266,Data[Dist],0),MATCH(H$4,Data[#Headers],0))</f>
        <v>106749263</v>
      </c>
      <c r="I266" s="22">
        <f>INDEX(Data[],MATCH($A266,Data[Dist],0),MATCH(I$4,Data[#Headers],0))</f>
        <v>126157087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88558</v>
      </c>
      <c r="D267" s="22">
        <f>INDEX(Data[],MATCH($A267,Data[Dist],0),MATCH(D$4,Data[#Headers],0))</f>
        <v>342930</v>
      </c>
      <c r="E267" s="22">
        <f>INDEX(Data[],MATCH($A267,Data[Dist],0),MATCH(E$4,Data[#Headers],0))</f>
        <v>36066</v>
      </c>
      <c r="F267" s="22">
        <f>INDEX(Data[],MATCH($A267,Data[Dist],0),MATCH(F$4,Data[#Headers],0))</f>
        <v>39257</v>
      </c>
      <c r="G267" s="22">
        <f>INDEX(Data[],MATCH($A267,Data[Dist],0),MATCH(G$4,Data[#Headers],0))</f>
        <v>161654</v>
      </c>
      <c r="H267" s="22">
        <f>INDEX(Data[],MATCH($A267,Data[Dist],0),MATCH(H$4,Data[#Headers],0))</f>
        <v>1818598</v>
      </c>
      <c r="I267" s="22">
        <f>INDEX(Data[],MATCH($A267,Data[Dist],0),MATCH(I$4,Data[#Headers],0))</f>
        <v>2487063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173427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3489561</v>
      </c>
      <c r="I268" s="22">
        <f>INDEX(Data[],MATCH($A268,Data[Dist],0),MATCH(I$4,Data[#Headers],0))</f>
        <v>4759383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188186</v>
      </c>
      <c r="D269" s="22">
        <f>INDEX(Data[],MATCH($A269,Data[Dist],0),MATCH(D$4,Data[#Headers],0))</f>
        <v>872836</v>
      </c>
      <c r="E269" s="22">
        <f>INDEX(Data[],MATCH($A269,Data[Dist],0),MATCH(E$4,Data[#Headers],0))</f>
        <v>84701</v>
      </c>
      <c r="F269" s="22">
        <f>INDEX(Data[],MATCH($A269,Data[Dist],0),MATCH(F$4,Data[#Headers],0))</f>
        <v>91078</v>
      </c>
      <c r="G269" s="22">
        <f>INDEX(Data[],MATCH($A269,Data[Dist],0),MATCH(G$4,Data[#Headers],0))</f>
        <v>511582</v>
      </c>
      <c r="H269" s="22">
        <f>INDEX(Data[],MATCH($A269,Data[Dist],0),MATCH(H$4,Data[#Headers],0))</f>
        <v>7147614</v>
      </c>
      <c r="I269" s="22">
        <f>INDEX(Data[],MATCH($A269,Data[Dist],0),MATCH(I$4,Data[#Headers],0))</f>
        <v>8895997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66418</v>
      </c>
      <c r="D270" s="22">
        <f>INDEX(Data[],MATCH($A270,Data[Dist],0),MATCH(D$4,Data[#Headers],0))</f>
        <v>344061</v>
      </c>
      <c r="E270" s="22">
        <f>INDEX(Data[],MATCH($A270,Data[Dist],0),MATCH(E$4,Data[#Headers],0))</f>
        <v>35626</v>
      </c>
      <c r="F270" s="22">
        <f>INDEX(Data[],MATCH($A270,Data[Dist],0),MATCH(F$4,Data[#Headers],0))</f>
        <v>36562</v>
      </c>
      <c r="G270" s="22">
        <f>INDEX(Data[],MATCH($A270,Data[Dist],0),MATCH(G$4,Data[#Headers],0))</f>
        <v>190171</v>
      </c>
      <c r="H270" s="22">
        <f>INDEX(Data[],MATCH($A270,Data[Dist],0),MATCH(H$4,Data[#Headers],0))</f>
        <v>3245008</v>
      </c>
      <c r="I270" s="22">
        <f>INDEX(Data[],MATCH($A270,Data[Dist],0),MATCH(I$4,Data[#Headers],0))</f>
        <v>3917846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125534</v>
      </c>
      <c r="D271" s="22">
        <f>INDEX(Data[],MATCH($A271,Data[Dist],0),MATCH(D$4,Data[#Headers],0))</f>
        <v>442377</v>
      </c>
      <c r="E271" s="22">
        <f>INDEX(Data[],MATCH($A271,Data[Dist],0),MATCH(E$4,Data[#Headers],0))</f>
        <v>50176</v>
      </c>
      <c r="F271" s="22">
        <f>INDEX(Data[],MATCH($A271,Data[Dist],0),MATCH(F$4,Data[#Headers],0))</f>
        <v>52133</v>
      </c>
      <c r="G271" s="22">
        <f>INDEX(Data[],MATCH($A271,Data[Dist],0),MATCH(G$4,Data[#Headers],0))</f>
        <v>225879</v>
      </c>
      <c r="H271" s="22">
        <f>INDEX(Data[],MATCH($A271,Data[Dist],0),MATCH(H$4,Data[#Headers],0))</f>
        <v>2657146</v>
      </c>
      <c r="I271" s="22">
        <f>INDEX(Data[],MATCH($A271,Data[Dist],0),MATCH(I$4,Data[#Headers],0))</f>
        <v>3553245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81178</v>
      </c>
      <c r="D272" s="22">
        <f>INDEX(Data[],MATCH($A272,Data[Dist],0),MATCH(D$4,Data[#Headers],0))</f>
        <v>366264</v>
      </c>
      <c r="E272" s="22">
        <f>INDEX(Data[],MATCH($A272,Data[Dist],0),MATCH(E$4,Data[#Headers],0))</f>
        <v>44416</v>
      </c>
      <c r="F272" s="22">
        <f>INDEX(Data[],MATCH($A272,Data[Dist],0),MATCH(F$4,Data[#Headers],0))</f>
        <v>42504</v>
      </c>
      <c r="G272" s="22">
        <f>INDEX(Data[],MATCH($A272,Data[Dist],0),MATCH(G$4,Data[#Headers],0))</f>
        <v>187917</v>
      </c>
      <c r="H272" s="22">
        <f>INDEX(Data[],MATCH($A272,Data[Dist],0),MATCH(H$4,Data[#Headers],0))</f>
        <v>2150810</v>
      </c>
      <c r="I272" s="22">
        <f>INDEX(Data[],MATCH($A272,Data[Dist],0),MATCH(I$4,Data[#Headers],0))</f>
        <v>2873089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18450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1035428</v>
      </c>
      <c r="I273" s="22">
        <f>INDEX(Data[],MATCH($A273,Data[Dist],0),MATCH(I$4,Data[#Headers],0))</f>
        <v>1310409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291504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9647172</v>
      </c>
      <c r="I274" s="22">
        <f>INDEX(Data[],MATCH($A274,Data[Dist],0),MATCH(I$4,Data[#Headers],0))</f>
        <v>11660105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217705</v>
      </c>
      <c r="D275" s="22">
        <f>INDEX(Data[],MATCH($A275,Data[Dist],0),MATCH(D$4,Data[#Headers],0))</f>
        <v>332530</v>
      </c>
      <c r="E275" s="22">
        <f>INDEX(Data[],MATCH($A275,Data[Dist],0),MATCH(E$4,Data[#Headers],0))</f>
        <v>30062</v>
      </c>
      <c r="F275" s="22">
        <f>INDEX(Data[],MATCH($A275,Data[Dist],0),MATCH(F$4,Data[#Headers],0))</f>
        <v>38228</v>
      </c>
      <c r="G275" s="22">
        <f>INDEX(Data[],MATCH($A275,Data[Dist],0),MATCH(G$4,Data[#Headers],0))</f>
        <v>181476</v>
      </c>
      <c r="H275" s="22">
        <f>INDEX(Data[],MATCH($A275,Data[Dist],0),MATCH(H$4,Data[#Headers],0))</f>
        <v>2648587</v>
      </c>
      <c r="I275" s="22">
        <f>INDEX(Data[],MATCH($A275,Data[Dist],0),MATCH(I$4,Data[#Headers],0))</f>
        <v>3448588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1062696</v>
      </c>
      <c r="D276" s="22">
        <f>INDEX(Data[],MATCH($A276,Data[Dist],0),MATCH(D$4,Data[#Headers],0))</f>
        <v>4226752</v>
      </c>
      <c r="E276" s="22">
        <f>INDEX(Data[],MATCH($A276,Data[Dist],0),MATCH(E$4,Data[#Headers],0))</f>
        <v>483890</v>
      </c>
      <c r="F276" s="22">
        <f>INDEX(Data[],MATCH($A276,Data[Dist],0),MATCH(F$4,Data[#Headers],0))</f>
        <v>483469</v>
      </c>
      <c r="G276" s="22">
        <f>INDEX(Data[],MATCH($A276,Data[Dist],0),MATCH(G$4,Data[#Headers],0))</f>
        <v>2513223</v>
      </c>
      <c r="H276" s="22">
        <f>INDEX(Data[],MATCH($A276,Data[Dist],0),MATCH(H$4,Data[#Headers],0))</f>
        <v>42220467</v>
      </c>
      <c r="I276" s="22">
        <f>INDEX(Data[],MATCH($A276,Data[Dist],0),MATCH(I$4,Data[#Headers],0))</f>
        <v>50990497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568247</v>
      </c>
      <c r="D277" s="22">
        <f>INDEX(Data[],MATCH($A277,Data[Dist],0),MATCH(D$4,Data[#Headers],0))</f>
        <v>1289065</v>
      </c>
      <c r="E277" s="22">
        <f>INDEX(Data[],MATCH($A277,Data[Dist],0),MATCH(E$4,Data[#Headers],0))</f>
        <v>153264</v>
      </c>
      <c r="F277" s="22">
        <f>INDEX(Data[],MATCH($A277,Data[Dist],0),MATCH(F$4,Data[#Headers],0))</f>
        <v>154926</v>
      </c>
      <c r="G277" s="22">
        <f>INDEX(Data[],MATCH($A277,Data[Dist],0),MATCH(G$4,Data[#Headers],0))</f>
        <v>716459</v>
      </c>
      <c r="H277" s="22">
        <f>INDEX(Data[],MATCH($A277,Data[Dist],0),MATCH(H$4,Data[#Headers],0))</f>
        <v>11983665</v>
      </c>
      <c r="I277" s="22">
        <f>INDEX(Data[],MATCH($A277,Data[Dist],0),MATCH(I$4,Data[#Headers],0))</f>
        <v>14865626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250914</v>
      </c>
      <c r="D278" s="22">
        <f>INDEX(Data[],MATCH($A278,Data[Dist],0),MATCH(D$4,Data[#Headers],0))</f>
        <v>731703</v>
      </c>
      <c r="E278" s="22">
        <f>INDEX(Data[],MATCH($A278,Data[Dist],0),MATCH(E$4,Data[#Headers],0))</f>
        <v>83525</v>
      </c>
      <c r="F278" s="22">
        <f>INDEX(Data[],MATCH($A278,Data[Dist],0),MATCH(F$4,Data[#Headers],0))</f>
        <v>86481</v>
      </c>
      <c r="G278" s="22">
        <f>INDEX(Data[],MATCH($A278,Data[Dist],0),MATCH(G$4,Data[#Headers],0))</f>
        <v>410003</v>
      </c>
      <c r="H278" s="22">
        <f>INDEX(Data[],MATCH($A278,Data[Dist],0),MATCH(H$4,Data[#Headers],0))</f>
        <v>1133295</v>
      </c>
      <c r="I278" s="22">
        <f>INDEX(Data[],MATCH($A278,Data[Dist],0),MATCH(I$4,Data[#Headers],0))</f>
        <v>2695921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110697</v>
      </c>
      <c r="D279" s="22">
        <f>INDEX(Data[],MATCH($A279,Data[Dist],0),MATCH(D$4,Data[#Headers],0))</f>
        <v>273859</v>
      </c>
      <c r="E279" s="22">
        <f>INDEX(Data[],MATCH($A279,Data[Dist],0),MATCH(E$4,Data[#Headers],0))</f>
        <v>24944</v>
      </c>
      <c r="F279" s="22">
        <f>INDEX(Data[],MATCH($A279,Data[Dist],0),MATCH(F$4,Data[#Headers],0))</f>
        <v>26601</v>
      </c>
      <c r="G279" s="22">
        <f>INDEX(Data[],MATCH($A279,Data[Dist],0),MATCH(G$4,Data[#Headers],0))</f>
        <v>143514</v>
      </c>
      <c r="H279" s="22">
        <f>INDEX(Data[],MATCH($A279,Data[Dist],0),MATCH(H$4,Data[#Headers],0))</f>
        <v>2153828</v>
      </c>
      <c r="I279" s="22">
        <f>INDEX(Data[],MATCH($A279,Data[Dist],0),MATCH(I$4,Data[#Headers],0))</f>
        <v>2733443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51659</v>
      </c>
      <c r="D280" s="22">
        <f>INDEX(Data[],MATCH($A280,Data[Dist],0),MATCH(D$4,Data[#Headers],0))</f>
        <v>141407</v>
      </c>
      <c r="E280" s="22">
        <f>INDEX(Data[],MATCH($A280,Data[Dist],0),MATCH(E$4,Data[#Headers],0))</f>
        <v>14377</v>
      </c>
      <c r="F280" s="22">
        <f>INDEX(Data[],MATCH($A280,Data[Dist],0),MATCH(F$4,Data[#Headers],0))</f>
        <v>17390</v>
      </c>
      <c r="G280" s="22">
        <f>INDEX(Data[],MATCH($A280,Data[Dist],0),MATCH(G$4,Data[#Headers],0))</f>
        <v>69592</v>
      </c>
      <c r="H280" s="22">
        <f>INDEX(Data[],MATCH($A280,Data[Dist],0),MATCH(H$4,Data[#Headers],0))</f>
        <v>1158769</v>
      </c>
      <c r="I280" s="22">
        <f>INDEX(Data[],MATCH($A280,Data[Dist],0),MATCH(I$4,Data[#Headers],0))</f>
        <v>1453194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118077</v>
      </c>
      <c r="D281" s="22">
        <f>INDEX(Data[],MATCH($A281,Data[Dist],0),MATCH(D$4,Data[#Headers],0))</f>
        <v>418026</v>
      </c>
      <c r="E281" s="22">
        <f>INDEX(Data[],MATCH($A281,Data[Dist],0),MATCH(E$4,Data[#Headers],0))</f>
        <v>51355</v>
      </c>
      <c r="F281" s="22">
        <f>INDEX(Data[],MATCH($A281,Data[Dist],0),MATCH(F$4,Data[#Headers],0))</f>
        <v>46445</v>
      </c>
      <c r="G281" s="22">
        <f>INDEX(Data[],MATCH($A281,Data[Dist],0),MATCH(G$4,Data[#Headers],0))</f>
        <v>216326</v>
      </c>
      <c r="H281" s="22">
        <f>INDEX(Data[],MATCH($A281,Data[Dist],0),MATCH(H$4,Data[#Headers],0))</f>
        <v>3258436</v>
      </c>
      <c r="I281" s="22">
        <f>INDEX(Data[],MATCH($A281,Data[Dist],0),MATCH(I$4,Data[#Headers],0))</f>
        <v>4108665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586697</v>
      </c>
      <c r="D282" s="22">
        <f>INDEX(Data[],MATCH($A282,Data[Dist],0),MATCH(D$4,Data[#Headers],0))</f>
        <v>1598767</v>
      </c>
      <c r="E282" s="22">
        <f>INDEX(Data[],MATCH($A282,Data[Dist],0),MATCH(E$4,Data[#Headers],0))</f>
        <v>232732</v>
      </c>
      <c r="F282" s="22">
        <f>INDEX(Data[],MATCH($A282,Data[Dist],0),MATCH(F$4,Data[#Headers],0))</f>
        <v>184052</v>
      </c>
      <c r="G282" s="22">
        <f>INDEX(Data[],MATCH($A282,Data[Dist],0),MATCH(G$4,Data[#Headers],0))</f>
        <v>919618</v>
      </c>
      <c r="H282" s="22">
        <f>INDEX(Data[],MATCH($A282,Data[Dist],0),MATCH(H$4,Data[#Headers],0))</f>
        <v>18342994</v>
      </c>
      <c r="I282" s="22">
        <f>INDEX(Data[],MATCH($A282,Data[Dist],0),MATCH(I$4,Data[#Headers],0))</f>
        <v>21864860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44279</v>
      </c>
      <c r="D283" s="22">
        <f>INDEX(Data[],MATCH($A283,Data[Dist],0),MATCH(D$4,Data[#Headers],0))</f>
        <v>77664</v>
      </c>
      <c r="E283" s="22">
        <f>INDEX(Data[],MATCH($A283,Data[Dist],0),MATCH(E$4,Data[#Headers],0))</f>
        <v>8719</v>
      </c>
      <c r="F283" s="22">
        <f>INDEX(Data[],MATCH($A283,Data[Dist],0),MATCH(F$4,Data[#Headers],0))</f>
        <v>7685</v>
      </c>
      <c r="G283" s="22">
        <f>INDEX(Data[],MATCH($A283,Data[Dist],0),MATCH(G$4,Data[#Headers],0))</f>
        <v>45226</v>
      </c>
      <c r="H283" s="22">
        <f>INDEX(Data[],MATCH($A283,Data[Dist],0),MATCH(H$4,Data[#Headers],0))</f>
        <v>608519</v>
      </c>
      <c r="I283" s="22">
        <f>INDEX(Data[],MATCH($A283,Data[Dist],0),MATCH(I$4,Data[#Headers],0))</f>
        <v>792092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147597</v>
      </c>
      <c r="D284" s="22">
        <f>INDEX(Data[],MATCH($A284,Data[Dist],0),MATCH(D$4,Data[#Headers],0))</f>
        <v>607901</v>
      </c>
      <c r="E284" s="22">
        <f>INDEX(Data[],MATCH($A284,Data[Dist],0),MATCH(E$4,Data[#Headers],0))</f>
        <v>66523</v>
      </c>
      <c r="F284" s="22">
        <f>INDEX(Data[],MATCH($A284,Data[Dist],0),MATCH(F$4,Data[#Headers],0))</f>
        <v>60288</v>
      </c>
      <c r="G284" s="22">
        <f>INDEX(Data[],MATCH($A284,Data[Dist],0),MATCH(G$4,Data[#Headers],0))</f>
        <v>334436</v>
      </c>
      <c r="H284" s="22">
        <f>INDEX(Data[],MATCH($A284,Data[Dist],0),MATCH(H$4,Data[#Headers],0))</f>
        <v>4132871</v>
      </c>
      <c r="I284" s="22">
        <f>INDEX(Data[],MATCH($A284,Data[Dist],0),MATCH(I$4,Data[#Headers],0))</f>
        <v>5349616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143907</v>
      </c>
      <c r="D285" s="22">
        <f>INDEX(Data[],MATCH($A285,Data[Dist],0),MATCH(D$4,Data[#Headers],0))</f>
        <v>516545</v>
      </c>
      <c r="E285" s="22">
        <f>INDEX(Data[],MATCH($A285,Data[Dist],0),MATCH(E$4,Data[#Headers],0))</f>
        <v>53409</v>
      </c>
      <c r="F285" s="22">
        <f>INDEX(Data[],MATCH($A285,Data[Dist],0),MATCH(F$4,Data[#Headers],0))</f>
        <v>56961</v>
      </c>
      <c r="G285" s="22">
        <f>INDEX(Data[],MATCH($A285,Data[Dist],0),MATCH(G$4,Data[#Headers],0))</f>
        <v>282984</v>
      </c>
      <c r="H285" s="22">
        <f>INDEX(Data[],MATCH($A285,Data[Dist],0),MATCH(H$4,Data[#Headers],0))</f>
        <v>4012124</v>
      </c>
      <c r="I285" s="22">
        <f>INDEX(Data[],MATCH($A285,Data[Dist],0),MATCH(I$4,Data[#Headers],0))</f>
        <v>5065930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154976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4618287</v>
      </c>
      <c r="I286" s="22">
        <f>INDEX(Data[],MATCH($A286,Data[Dist],0),MATCH(I$4,Data[#Headers],0))</f>
        <v>5729800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380017</v>
      </c>
      <c r="E287" s="22">
        <f>INDEX(Data[],MATCH($A287,Data[Dist],0),MATCH(E$4,Data[#Headers],0))</f>
        <v>42182</v>
      </c>
      <c r="F287" s="22">
        <f>INDEX(Data[],MATCH($A287,Data[Dist],0),MATCH(F$4,Data[#Headers],0))</f>
        <v>40178</v>
      </c>
      <c r="G287" s="22">
        <f>INDEX(Data[],MATCH($A287,Data[Dist],0),MATCH(G$4,Data[#Headers],0))</f>
        <v>211531</v>
      </c>
      <c r="H287" s="22">
        <f>INDEX(Data[],MATCH($A287,Data[Dist],0),MATCH(H$4,Data[#Headers],0))</f>
        <v>2775772</v>
      </c>
      <c r="I287" s="22">
        <f>INDEX(Data[],MATCH($A287,Data[Dist],0),MATCH(I$4,Data[#Headers],0))</f>
        <v>3449680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162356</v>
      </c>
      <c r="D288" s="22">
        <f>INDEX(Data[],MATCH($A288,Data[Dist],0),MATCH(D$4,Data[#Headers],0))</f>
        <v>426917</v>
      </c>
      <c r="E288" s="22">
        <f>INDEX(Data[],MATCH($A288,Data[Dist],0),MATCH(E$4,Data[#Headers],0))</f>
        <v>47177</v>
      </c>
      <c r="F288" s="22">
        <f>INDEX(Data[],MATCH($A288,Data[Dist],0),MATCH(F$4,Data[#Headers],0))</f>
        <v>47858</v>
      </c>
      <c r="G288" s="22">
        <f>INDEX(Data[],MATCH($A288,Data[Dist],0),MATCH(G$4,Data[#Headers],0))</f>
        <v>238688</v>
      </c>
      <c r="H288" s="22">
        <f>INDEX(Data[],MATCH($A288,Data[Dist],0),MATCH(H$4,Data[#Headers],0))</f>
        <v>3587203</v>
      </c>
      <c r="I288" s="22">
        <f>INDEX(Data[],MATCH($A288,Data[Dist],0),MATCH(I$4,Data[#Headers],0))</f>
        <v>4510199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36899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1430787</v>
      </c>
      <c r="I289" s="22">
        <f>INDEX(Data[],MATCH($A289,Data[Dist],0),MATCH(I$4,Data[#Headers],0))</f>
        <v>1804845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73798</v>
      </c>
      <c r="D290" s="22">
        <f>INDEX(Data[],MATCH($A290,Data[Dist],0),MATCH(D$4,Data[#Headers],0))</f>
        <v>265756</v>
      </c>
      <c r="E290" s="22">
        <f>INDEX(Data[],MATCH($A290,Data[Dist],0),MATCH(E$4,Data[#Headers],0))</f>
        <v>28519</v>
      </c>
      <c r="F290" s="22">
        <f>INDEX(Data[],MATCH($A290,Data[Dist],0),MATCH(F$4,Data[#Headers],0))</f>
        <v>27563</v>
      </c>
      <c r="G290" s="22">
        <f>INDEX(Data[],MATCH($A290,Data[Dist],0),MATCH(G$4,Data[#Headers],0))</f>
        <v>137883</v>
      </c>
      <c r="H290" s="22">
        <f>INDEX(Data[],MATCH($A290,Data[Dist],0),MATCH(H$4,Data[#Headers],0))</f>
        <v>2246455</v>
      </c>
      <c r="I290" s="22">
        <f>INDEX(Data[],MATCH($A290,Data[Dist],0),MATCH(I$4,Data[#Headers],0))</f>
        <v>2779974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110697</v>
      </c>
      <c r="D291" s="22">
        <f>INDEX(Data[],MATCH($A291,Data[Dist],0),MATCH(D$4,Data[#Headers],0))</f>
        <v>243117</v>
      </c>
      <c r="E291" s="22">
        <f>INDEX(Data[],MATCH($A291,Data[Dist],0),MATCH(E$4,Data[#Headers],0))</f>
        <v>20820</v>
      </c>
      <c r="F291" s="22">
        <f>INDEX(Data[],MATCH($A291,Data[Dist],0),MATCH(F$4,Data[#Headers],0))</f>
        <v>27841</v>
      </c>
      <c r="G291" s="22">
        <f>INDEX(Data[],MATCH($A291,Data[Dist],0),MATCH(G$4,Data[#Headers],0))</f>
        <v>127448</v>
      </c>
      <c r="H291" s="22">
        <f>INDEX(Data[],MATCH($A291,Data[Dist],0),MATCH(H$4,Data[#Headers],0))</f>
        <v>1600297</v>
      </c>
      <c r="I291" s="22">
        <f>INDEX(Data[],MATCH($A291,Data[Dist],0),MATCH(I$4,Data[#Headers],0))</f>
        <v>2130220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66418</v>
      </c>
      <c r="D292" s="22">
        <f>INDEX(Data[],MATCH($A292,Data[Dist],0),MATCH(D$4,Data[#Headers],0))</f>
        <v>219705</v>
      </c>
      <c r="E292" s="22">
        <f>INDEX(Data[],MATCH($A292,Data[Dist],0),MATCH(E$4,Data[#Headers],0))</f>
        <v>26784</v>
      </c>
      <c r="F292" s="22">
        <f>INDEX(Data[],MATCH($A292,Data[Dist],0),MATCH(F$4,Data[#Headers],0))</f>
        <v>23085</v>
      </c>
      <c r="G292" s="22">
        <f>INDEX(Data[],MATCH($A292,Data[Dist],0),MATCH(G$4,Data[#Headers],0))</f>
        <v>113709</v>
      </c>
      <c r="H292" s="22">
        <f>INDEX(Data[],MATCH($A292,Data[Dist],0),MATCH(H$4,Data[#Headers],0))</f>
        <v>1966453</v>
      </c>
      <c r="I292" s="22">
        <f>INDEX(Data[],MATCH($A292,Data[Dist],0),MATCH(I$4,Data[#Headers],0))</f>
        <v>2416154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29519</v>
      </c>
      <c r="D293" s="22">
        <f>INDEX(Data[],MATCH($A293,Data[Dist],0),MATCH(D$4,Data[#Headers],0))</f>
        <v>114706</v>
      </c>
      <c r="E293" s="22">
        <f>INDEX(Data[],MATCH($A293,Data[Dist],0),MATCH(E$4,Data[#Headers],0))</f>
        <v>11349</v>
      </c>
      <c r="F293" s="22">
        <f>INDEX(Data[],MATCH($A293,Data[Dist],0),MATCH(F$4,Data[#Headers],0))</f>
        <v>11381</v>
      </c>
      <c r="G293" s="22">
        <f>INDEX(Data[],MATCH($A293,Data[Dist],0),MATCH(G$4,Data[#Headers],0))</f>
        <v>57606</v>
      </c>
      <c r="H293" s="22">
        <f>INDEX(Data[],MATCH($A293,Data[Dist],0),MATCH(H$4,Data[#Headers],0))</f>
        <v>542715</v>
      </c>
      <c r="I293" s="22">
        <f>INDEX(Data[],MATCH($A293,Data[Dist],0),MATCH(I$4,Data[#Headers],0))</f>
        <v>767276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173427</v>
      </c>
      <c r="D294" s="22">
        <f>INDEX(Data[],MATCH($A294,Data[Dist],0),MATCH(D$4,Data[#Headers],0))</f>
        <v>465333</v>
      </c>
      <c r="E294" s="22">
        <f>INDEX(Data[],MATCH($A294,Data[Dist],0),MATCH(E$4,Data[#Headers],0))</f>
        <v>53350</v>
      </c>
      <c r="F294" s="22">
        <f>INDEX(Data[],MATCH($A294,Data[Dist],0),MATCH(F$4,Data[#Headers],0))</f>
        <v>48391</v>
      </c>
      <c r="G294" s="22">
        <f>INDEX(Data[],MATCH($A294,Data[Dist],0),MATCH(G$4,Data[#Headers],0))</f>
        <v>273789</v>
      </c>
      <c r="H294" s="22">
        <f>INDEX(Data[],MATCH($A294,Data[Dist],0),MATCH(H$4,Data[#Headers],0))</f>
        <v>3986325</v>
      </c>
      <c r="I294" s="22">
        <f>INDEX(Data[],MATCH($A294,Data[Dist],0),MATCH(I$4,Data[#Headers],0))</f>
        <v>5000615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191876</v>
      </c>
      <c r="D295" s="22">
        <f>INDEX(Data[],MATCH($A295,Data[Dist],0),MATCH(D$4,Data[#Headers],0))</f>
        <v>208634</v>
      </c>
      <c r="E295" s="22">
        <f>INDEX(Data[],MATCH($A295,Data[Dist],0),MATCH(E$4,Data[#Headers],0))</f>
        <v>27968</v>
      </c>
      <c r="F295" s="22">
        <f>INDEX(Data[],MATCH($A295,Data[Dist],0),MATCH(F$4,Data[#Headers],0))</f>
        <v>18467</v>
      </c>
      <c r="G295" s="22">
        <f>INDEX(Data[],MATCH($A295,Data[Dist],0),MATCH(G$4,Data[#Headers],0))</f>
        <v>133567</v>
      </c>
      <c r="H295" s="22">
        <f>INDEX(Data[],MATCH($A295,Data[Dist],0),MATCH(H$4,Data[#Headers],0))</f>
        <v>920032</v>
      </c>
      <c r="I295" s="22">
        <f>INDEX(Data[],MATCH($A295,Data[Dist],0),MATCH(I$4,Data[#Headers],0))</f>
        <v>1500544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745363</v>
      </c>
      <c r="D296" s="22">
        <f>INDEX(Data[],MATCH($A296,Data[Dist],0),MATCH(D$4,Data[#Headers],0))</f>
        <v>2203426</v>
      </c>
      <c r="E296" s="22">
        <f>INDEX(Data[],MATCH($A296,Data[Dist],0),MATCH(E$4,Data[#Headers],0))</f>
        <v>251769</v>
      </c>
      <c r="F296" s="22">
        <f>INDEX(Data[],MATCH($A296,Data[Dist],0),MATCH(F$4,Data[#Headers],0))</f>
        <v>258995</v>
      </c>
      <c r="G296" s="22">
        <f>INDEX(Data[],MATCH($A296,Data[Dist],0),MATCH(G$4,Data[#Headers],0))</f>
        <v>1225286</v>
      </c>
      <c r="H296" s="22">
        <f>INDEX(Data[],MATCH($A296,Data[Dist],0),MATCH(H$4,Data[#Headers],0))</f>
        <v>17922111</v>
      </c>
      <c r="I296" s="22">
        <f>INDEX(Data[],MATCH($A296,Data[Dist],0),MATCH(I$4,Data[#Headers],0))</f>
        <v>22606950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184496</v>
      </c>
      <c r="D297" s="22">
        <f>INDEX(Data[],MATCH($A297,Data[Dist],0),MATCH(D$4,Data[#Headers],0))</f>
        <v>612012</v>
      </c>
      <c r="E297" s="22">
        <f>INDEX(Data[],MATCH($A297,Data[Dist],0),MATCH(E$4,Data[#Headers],0))</f>
        <v>73966</v>
      </c>
      <c r="F297" s="22">
        <f>INDEX(Data[],MATCH($A297,Data[Dist],0),MATCH(F$4,Data[#Headers],0))</f>
        <v>61099</v>
      </c>
      <c r="G297" s="22">
        <f>INDEX(Data[],MATCH($A297,Data[Dist],0),MATCH(G$4,Data[#Headers],0))</f>
        <v>344597</v>
      </c>
      <c r="H297" s="22">
        <f>INDEX(Data[],MATCH($A297,Data[Dist],0),MATCH(H$4,Data[#Headers],0))</f>
        <v>5151317</v>
      </c>
      <c r="I297" s="22">
        <f>INDEX(Data[],MATCH($A297,Data[Dist],0),MATCH(I$4,Data[#Headers],0))</f>
        <v>6427487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191876</v>
      </c>
      <c r="D298" s="22">
        <f>INDEX(Data[],MATCH($A298,Data[Dist],0),MATCH(D$4,Data[#Headers],0))</f>
        <v>561210</v>
      </c>
      <c r="E298" s="22">
        <f>INDEX(Data[],MATCH($A298,Data[Dist],0),MATCH(E$4,Data[#Headers],0))</f>
        <v>61589</v>
      </c>
      <c r="F298" s="22">
        <f>INDEX(Data[],MATCH($A298,Data[Dist],0),MATCH(F$4,Data[#Headers],0))</f>
        <v>58395</v>
      </c>
      <c r="G298" s="22">
        <f>INDEX(Data[],MATCH($A298,Data[Dist],0),MATCH(G$4,Data[#Headers],0))</f>
        <v>307171</v>
      </c>
      <c r="H298" s="22">
        <f>INDEX(Data[],MATCH($A298,Data[Dist],0),MATCH(H$4,Data[#Headers],0))</f>
        <v>4598080</v>
      </c>
      <c r="I298" s="22">
        <f>INDEX(Data[],MATCH($A298,Data[Dist],0),MATCH(I$4,Data[#Headers],0))</f>
        <v>5778321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55349</v>
      </c>
      <c r="D299" s="22">
        <f>INDEX(Data[],MATCH($A299,Data[Dist],0),MATCH(D$4,Data[#Headers],0))</f>
        <v>182510</v>
      </c>
      <c r="E299" s="22">
        <f>INDEX(Data[],MATCH($A299,Data[Dist],0),MATCH(E$4,Data[#Headers],0))</f>
        <v>22359</v>
      </c>
      <c r="F299" s="22">
        <f>INDEX(Data[],MATCH($A299,Data[Dist],0),MATCH(F$4,Data[#Headers],0))</f>
        <v>19712</v>
      </c>
      <c r="G299" s="22">
        <f>INDEX(Data[],MATCH($A299,Data[Dist],0),MATCH(G$4,Data[#Headers],0))</f>
        <v>100542</v>
      </c>
      <c r="H299" s="22">
        <f>INDEX(Data[],MATCH($A299,Data[Dist],0),MATCH(H$4,Data[#Headers],0))</f>
        <v>1343228</v>
      </c>
      <c r="I299" s="22">
        <f>INDEX(Data[],MATCH($A299,Data[Dist],0),MATCH(I$4,Data[#Headers],0))</f>
        <v>1723700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321023</v>
      </c>
      <c r="D300" s="22">
        <f>INDEX(Data[],MATCH($A300,Data[Dist],0),MATCH(D$4,Data[#Headers],0))</f>
        <v>1063115</v>
      </c>
      <c r="E300" s="22">
        <f>INDEX(Data[],MATCH($A300,Data[Dist],0),MATCH(E$4,Data[#Headers],0))</f>
        <v>116843</v>
      </c>
      <c r="F300" s="22">
        <f>INDEX(Data[],MATCH($A300,Data[Dist],0),MATCH(F$4,Data[#Headers],0))</f>
        <v>119673</v>
      </c>
      <c r="G300" s="22">
        <f>INDEX(Data[],MATCH($A300,Data[Dist],0),MATCH(G$4,Data[#Headers],0))</f>
        <v>578634</v>
      </c>
      <c r="H300" s="22">
        <f>INDEX(Data[],MATCH($A300,Data[Dist],0),MATCH(H$4,Data[#Headers],0))</f>
        <v>9021977</v>
      </c>
      <c r="I300" s="22">
        <f>INDEX(Data[],MATCH($A300,Data[Dist],0),MATCH(I$4,Data[#Headers],0))</f>
        <v>11221265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136527</v>
      </c>
      <c r="D301" s="22">
        <f>INDEX(Data[],MATCH($A301,Data[Dist],0),MATCH(D$4,Data[#Headers],0))</f>
        <v>337959</v>
      </c>
      <c r="E301" s="22">
        <f>INDEX(Data[],MATCH($A301,Data[Dist],0),MATCH(E$4,Data[#Headers],0))</f>
        <v>36781</v>
      </c>
      <c r="F301" s="22">
        <f>INDEX(Data[],MATCH($A301,Data[Dist],0),MATCH(F$4,Data[#Headers],0))</f>
        <v>36324</v>
      </c>
      <c r="G301" s="22">
        <f>INDEX(Data[],MATCH($A301,Data[Dist],0),MATCH(G$4,Data[#Headers],0))</f>
        <v>170671</v>
      </c>
      <c r="H301" s="22">
        <f>INDEX(Data[],MATCH($A301,Data[Dist],0),MATCH(H$4,Data[#Headers],0))</f>
        <v>2832514</v>
      </c>
      <c r="I301" s="22">
        <f>INDEX(Data[],MATCH($A301,Data[Dist],0),MATCH(I$4,Data[#Headers],0))</f>
        <v>3550776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166047</v>
      </c>
      <c r="D302" s="22">
        <f>INDEX(Data[],MATCH($A302,Data[Dist],0),MATCH(D$4,Data[#Headers],0))</f>
        <v>545956</v>
      </c>
      <c r="E302" s="22">
        <f>INDEX(Data[],MATCH($A302,Data[Dist],0),MATCH(E$4,Data[#Headers],0))</f>
        <v>63012</v>
      </c>
      <c r="F302" s="22">
        <f>INDEX(Data[],MATCH($A302,Data[Dist],0),MATCH(F$4,Data[#Headers],0))</f>
        <v>58058</v>
      </c>
      <c r="G302" s="22">
        <f>INDEX(Data[],MATCH($A302,Data[Dist],0),MATCH(G$4,Data[#Headers],0))</f>
        <v>289603</v>
      </c>
      <c r="H302" s="22">
        <f>INDEX(Data[],MATCH($A302,Data[Dist],0),MATCH(H$4,Data[#Headers],0))</f>
        <v>3499982</v>
      </c>
      <c r="I302" s="22">
        <f>INDEX(Data[],MATCH($A302,Data[Dist],0),MATCH(I$4,Data[#Headers],0))</f>
        <v>4622658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99628</v>
      </c>
      <c r="D303" s="22">
        <f>INDEX(Data[],MATCH($A303,Data[Dist],0),MATCH(D$4,Data[#Headers],0))</f>
        <v>365026</v>
      </c>
      <c r="E303" s="22">
        <f>INDEX(Data[],MATCH($A303,Data[Dist],0),MATCH(E$4,Data[#Headers],0))</f>
        <v>45465</v>
      </c>
      <c r="F303" s="22">
        <f>INDEX(Data[],MATCH($A303,Data[Dist],0),MATCH(F$4,Data[#Headers],0))</f>
        <v>38065</v>
      </c>
      <c r="G303" s="22">
        <f>INDEX(Data[],MATCH($A303,Data[Dist],0),MATCH(G$4,Data[#Headers],0))</f>
        <v>194679</v>
      </c>
      <c r="H303" s="22">
        <f>INDEX(Data[],MATCH($A303,Data[Dist],0),MATCH(H$4,Data[#Headers],0))</f>
        <v>2870171</v>
      </c>
      <c r="I303" s="22">
        <f>INDEX(Data[],MATCH($A303,Data[Dist],0),MATCH(I$4,Data[#Headers],0))</f>
        <v>3613034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136527</v>
      </c>
      <c r="D304" s="22">
        <f>INDEX(Data[],MATCH($A304,Data[Dist],0),MATCH(D$4,Data[#Headers],0))</f>
        <v>462265</v>
      </c>
      <c r="E304" s="22">
        <f>INDEX(Data[],MATCH($A304,Data[Dist],0),MATCH(E$4,Data[#Headers],0))</f>
        <v>50816</v>
      </c>
      <c r="F304" s="22">
        <f>INDEX(Data[],MATCH($A304,Data[Dist],0),MATCH(F$4,Data[#Headers],0))</f>
        <v>48122</v>
      </c>
      <c r="G304" s="22">
        <f>INDEX(Data[],MATCH($A304,Data[Dist],0),MATCH(G$4,Data[#Headers],0))</f>
        <v>241014</v>
      </c>
      <c r="H304" s="22">
        <f>INDEX(Data[],MATCH($A304,Data[Dist],0),MATCH(H$4,Data[#Headers],0))</f>
        <v>3719410</v>
      </c>
      <c r="I304" s="22">
        <f>INDEX(Data[],MATCH($A304,Data[Dist],0),MATCH(I$4,Data[#Headers],0))</f>
        <v>4658154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335783</v>
      </c>
      <c r="D305" s="22">
        <f>INDEX(Data[],MATCH($A305,Data[Dist],0),MATCH(D$4,Data[#Headers],0))</f>
        <v>1031612</v>
      </c>
      <c r="E305" s="22">
        <f>INDEX(Data[],MATCH($A305,Data[Dist],0),MATCH(E$4,Data[#Headers],0))</f>
        <v>126983</v>
      </c>
      <c r="F305" s="22">
        <f>INDEX(Data[],MATCH($A305,Data[Dist],0),MATCH(F$4,Data[#Headers],0))</f>
        <v>114514</v>
      </c>
      <c r="G305" s="22">
        <f>INDEX(Data[],MATCH($A305,Data[Dist],0),MATCH(G$4,Data[#Headers],0))</f>
        <v>578634</v>
      </c>
      <c r="H305" s="22">
        <f>INDEX(Data[],MATCH($A305,Data[Dist],0),MATCH(H$4,Data[#Headers],0))</f>
        <v>9782461</v>
      </c>
      <c r="I305" s="22">
        <f>INDEX(Data[],MATCH($A305,Data[Dist],0),MATCH(I$4,Data[#Headers],0))</f>
        <v>11969987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1708431</v>
      </c>
      <c r="D306" s="22">
        <f>INDEX(Data[],MATCH($A306,Data[Dist],0),MATCH(D$4,Data[#Headers],0))</f>
        <v>6682947</v>
      </c>
      <c r="E306" s="22">
        <f>INDEX(Data[],MATCH($A306,Data[Dist],0),MATCH(E$4,Data[#Headers],0))</f>
        <v>920287</v>
      </c>
      <c r="F306" s="22">
        <f>INDEX(Data[],MATCH($A306,Data[Dist],0),MATCH(F$4,Data[#Headers],0))</f>
        <v>730505</v>
      </c>
      <c r="G306" s="22">
        <f>INDEX(Data[],MATCH($A306,Data[Dist],0),MATCH(G$4,Data[#Headers],0))</f>
        <v>3821268</v>
      </c>
      <c r="H306" s="22">
        <f>INDEX(Data[],MATCH($A306,Data[Dist],0),MATCH(H$4,Data[#Headers],0))</f>
        <v>74873166</v>
      </c>
      <c r="I306" s="22">
        <f>INDEX(Data[],MATCH($A306,Data[Dist],0),MATCH(I$4,Data[#Headers],0))</f>
        <v>88736604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335783</v>
      </c>
      <c r="D307" s="22">
        <f>INDEX(Data[],MATCH($A307,Data[Dist],0),MATCH(D$4,Data[#Headers],0))</f>
        <v>7157700</v>
      </c>
      <c r="E307" s="22">
        <f>INDEX(Data[],MATCH($A307,Data[Dist],0),MATCH(E$4,Data[#Headers],0))</f>
        <v>941013</v>
      </c>
      <c r="F307" s="22">
        <f>INDEX(Data[],MATCH($A307,Data[Dist],0),MATCH(F$4,Data[#Headers],0))</f>
        <v>746855</v>
      </c>
      <c r="G307" s="22">
        <f>INDEX(Data[],MATCH($A307,Data[Dist],0),MATCH(G$4,Data[#Headers],0))</f>
        <v>4513933</v>
      </c>
      <c r="H307" s="22">
        <f>INDEX(Data[],MATCH($A307,Data[Dist],0),MATCH(H$4,Data[#Headers],0))</f>
        <v>63803147</v>
      </c>
      <c r="I307" s="22">
        <f>INDEX(Data[],MATCH($A307,Data[Dist],0),MATCH(I$4,Data[#Headers],0))</f>
        <v>77498431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343163</v>
      </c>
      <c r="D308" s="22">
        <f>INDEX(Data[],MATCH($A308,Data[Dist],0),MATCH(D$4,Data[#Headers],0))</f>
        <v>1468110</v>
      </c>
      <c r="E308" s="22">
        <f>INDEX(Data[],MATCH($A308,Data[Dist],0),MATCH(E$4,Data[#Headers],0))</f>
        <v>141844</v>
      </c>
      <c r="F308" s="22">
        <f>INDEX(Data[],MATCH($A308,Data[Dist],0),MATCH(F$4,Data[#Headers],0))</f>
        <v>163287</v>
      </c>
      <c r="G308" s="22">
        <f>INDEX(Data[],MATCH($A308,Data[Dist],0),MATCH(G$4,Data[#Headers],0))</f>
        <v>775782</v>
      </c>
      <c r="H308" s="22">
        <f>INDEX(Data[],MATCH($A308,Data[Dist],0),MATCH(H$4,Data[#Headers],0))</f>
        <v>11828807</v>
      </c>
      <c r="I308" s="22">
        <f>INDEX(Data[],MATCH($A308,Data[Dist],0),MATCH(I$4,Data[#Headers],0))</f>
        <v>14720993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118077</v>
      </c>
      <c r="D309" s="22">
        <f>INDEX(Data[],MATCH($A309,Data[Dist],0),MATCH(D$4,Data[#Headers],0))</f>
        <v>425516</v>
      </c>
      <c r="E309" s="22">
        <f>INDEX(Data[],MATCH($A309,Data[Dist],0),MATCH(E$4,Data[#Headers],0))</f>
        <v>47956</v>
      </c>
      <c r="F309" s="22">
        <f>INDEX(Data[],MATCH($A309,Data[Dist],0),MATCH(F$4,Data[#Headers],0))</f>
        <v>47461</v>
      </c>
      <c r="G309" s="22">
        <f>INDEX(Data[],MATCH($A309,Data[Dist],0),MATCH(G$4,Data[#Headers],0))</f>
        <v>206236</v>
      </c>
      <c r="H309" s="22">
        <f>INDEX(Data[],MATCH($A309,Data[Dist],0),MATCH(H$4,Data[#Headers],0))</f>
        <v>2796916</v>
      </c>
      <c r="I309" s="22">
        <f>INDEX(Data[],MATCH($A309,Data[Dist],0),MATCH(I$4,Data[#Headers],0))</f>
        <v>3642162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402201</v>
      </c>
      <c r="D310" s="22">
        <f>INDEX(Data[],MATCH($A310,Data[Dist],0),MATCH(D$4,Data[#Headers],0))</f>
        <v>1149878</v>
      </c>
      <c r="E310" s="22">
        <f>INDEX(Data[],MATCH($A310,Data[Dist],0),MATCH(E$4,Data[#Headers],0))</f>
        <v>140614</v>
      </c>
      <c r="F310" s="22">
        <f>INDEX(Data[],MATCH($A310,Data[Dist],0),MATCH(F$4,Data[#Headers],0))</f>
        <v>127106</v>
      </c>
      <c r="G310" s="22">
        <f>INDEX(Data[],MATCH($A310,Data[Dist],0),MATCH(G$4,Data[#Headers],0))</f>
        <v>630945</v>
      </c>
      <c r="H310" s="22">
        <f>INDEX(Data[],MATCH($A310,Data[Dist],0),MATCH(H$4,Data[#Headers],0))</f>
        <v>10236152</v>
      </c>
      <c r="I310" s="22">
        <f>INDEX(Data[],MATCH($A310,Data[Dist],0),MATCH(I$4,Data[#Headers],0))</f>
        <v>12686896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95938</v>
      </c>
      <c r="D311" s="22">
        <f>INDEX(Data[],MATCH($A311,Data[Dist],0),MATCH(D$4,Data[#Headers],0))</f>
        <v>227100</v>
      </c>
      <c r="E311" s="22">
        <f>INDEX(Data[],MATCH($A311,Data[Dist],0),MATCH(E$4,Data[#Headers],0))</f>
        <v>21802</v>
      </c>
      <c r="F311" s="22">
        <f>INDEX(Data[],MATCH($A311,Data[Dist],0),MATCH(F$4,Data[#Headers],0))</f>
        <v>24263</v>
      </c>
      <c r="G311" s="22">
        <f>INDEX(Data[],MATCH($A311,Data[Dist],0),MATCH(G$4,Data[#Headers],0))</f>
        <v>113780</v>
      </c>
      <c r="H311" s="22">
        <f>INDEX(Data[],MATCH($A311,Data[Dist],0),MATCH(H$4,Data[#Headers],0))</f>
        <v>1164386</v>
      </c>
      <c r="I311" s="22">
        <f>INDEX(Data[],MATCH($A311,Data[Dist],0),MATCH(I$4,Data[#Headers],0))</f>
        <v>1647269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154976</v>
      </c>
      <c r="D312" s="22">
        <f>INDEX(Data[],MATCH($A312,Data[Dist],0),MATCH(D$4,Data[#Headers],0))</f>
        <v>485322</v>
      </c>
      <c r="E312" s="22">
        <f>INDEX(Data[],MATCH($A312,Data[Dist],0),MATCH(E$4,Data[#Headers],0))</f>
        <v>53196</v>
      </c>
      <c r="F312" s="22">
        <f>INDEX(Data[],MATCH($A312,Data[Dist],0),MATCH(F$4,Data[#Headers],0))</f>
        <v>51788</v>
      </c>
      <c r="G312" s="22">
        <f>INDEX(Data[],MATCH($A312,Data[Dist],0),MATCH(G$4,Data[#Headers],0))</f>
        <v>275291</v>
      </c>
      <c r="H312" s="22">
        <f>INDEX(Data[],MATCH($A312,Data[Dist],0),MATCH(H$4,Data[#Headers],0))</f>
        <v>3485282</v>
      </c>
      <c r="I312" s="22">
        <f>INDEX(Data[],MATCH($A312,Data[Dist],0),MATCH(I$4,Data[#Headers],0))</f>
        <v>4505855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129148</v>
      </c>
      <c r="D313" s="22">
        <f>INDEX(Data[],MATCH($A313,Data[Dist],0),MATCH(D$4,Data[#Headers],0))</f>
        <v>333452</v>
      </c>
      <c r="E313" s="22">
        <f>INDEX(Data[],MATCH($A313,Data[Dist],0),MATCH(E$4,Data[#Headers],0))</f>
        <v>53631</v>
      </c>
      <c r="F313" s="22">
        <f>INDEX(Data[],MATCH($A313,Data[Dist],0),MATCH(F$4,Data[#Headers],0))</f>
        <v>42702</v>
      </c>
      <c r="G313" s="22">
        <f>INDEX(Data[],MATCH($A313,Data[Dist],0),MATCH(G$4,Data[#Headers],0))</f>
        <v>155336</v>
      </c>
      <c r="H313" s="22">
        <f>INDEX(Data[],MATCH($A313,Data[Dist],0),MATCH(H$4,Data[#Headers],0))</f>
        <v>2212065</v>
      </c>
      <c r="I313" s="22">
        <f>INDEX(Data[],MATCH($A313,Data[Dist],0),MATCH(I$4,Data[#Headers],0))</f>
        <v>2926334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77489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16991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1043617</v>
      </c>
      <c r="I314" s="22">
        <f>INDEX(Data[],MATCH($A314,Data[Dist],0),MATCH(I$4,Data[#Headers],0))</f>
        <v>1420965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232465</v>
      </c>
      <c r="D315" s="22">
        <f>INDEX(Data[],MATCH($A315,Data[Dist],0),MATCH(D$4,Data[#Headers],0))</f>
        <v>886389</v>
      </c>
      <c r="E315" s="22">
        <f>INDEX(Data[],MATCH($A315,Data[Dist],0),MATCH(E$4,Data[#Headers],0))</f>
        <v>97636</v>
      </c>
      <c r="F315" s="22">
        <f>INDEX(Data[],MATCH($A315,Data[Dist],0),MATCH(F$4,Data[#Headers],0))</f>
        <v>98486</v>
      </c>
      <c r="G315" s="22">
        <f>INDEX(Data[],MATCH($A315,Data[Dist],0),MATCH(G$4,Data[#Headers],0))</f>
        <v>498773</v>
      </c>
      <c r="H315" s="22">
        <f>INDEX(Data[],MATCH($A315,Data[Dist],0),MATCH(H$4,Data[#Headers],0))</f>
        <v>7022639</v>
      </c>
      <c r="I315" s="22">
        <f>INDEX(Data[],MATCH($A315,Data[Dist],0),MATCH(I$4,Data[#Headers],0))</f>
        <v>8836388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1442757</v>
      </c>
      <c r="D316" s="22">
        <f>INDEX(Data[],MATCH($A316,Data[Dist],0),MATCH(D$4,Data[#Headers],0))</f>
        <v>5343671</v>
      </c>
      <c r="E316" s="22">
        <f>INDEX(Data[],MATCH($A316,Data[Dist],0),MATCH(E$4,Data[#Headers],0))</f>
        <v>601404</v>
      </c>
      <c r="F316" s="22">
        <f>INDEX(Data[],MATCH($A316,Data[Dist],0),MATCH(F$4,Data[#Headers],0))</f>
        <v>608599</v>
      </c>
      <c r="G316" s="22">
        <f>INDEX(Data[],MATCH($A316,Data[Dist],0),MATCH(G$4,Data[#Headers],0))</f>
        <v>3139516</v>
      </c>
      <c r="H316" s="22">
        <f>INDEX(Data[],MATCH($A316,Data[Dist],0),MATCH(H$4,Data[#Headers],0))</f>
        <v>38482566</v>
      </c>
      <c r="I316" s="22">
        <f>INDEX(Data[],MATCH($A316,Data[Dist],0),MATCH(I$4,Data[#Headers],0))</f>
        <v>49618513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1033176</v>
      </c>
      <c r="D317" s="22">
        <f>INDEX(Data[],MATCH($A317,Data[Dist],0),MATCH(D$4,Data[#Headers],0))</f>
        <v>2016736</v>
      </c>
      <c r="E317" s="22">
        <f>INDEX(Data[],MATCH($A317,Data[Dist],0),MATCH(E$4,Data[#Headers],0))</f>
        <v>232481</v>
      </c>
      <c r="F317" s="22">
        <f>INDEX(Data[],MATCH($A317,Data[Dist],0),MATCH(F$4,Data[#Headers],0))</f>
        <v>224458</v>
      </c>
      <c r="G317" s="22">
        <f>INDEX(Data[],MATCH($A317,Data[Dist],0),MATCH(G$4,Data[#Headers],0))</f>
        <v>1143708</v>
      </c>
      <c r="H317" s="22">
        <f>INDEX(Data[],MATCH($A317,Data[Dist],0),MATCH(H$4,Data[#Headers],0))</f>
        <v>15061087</v>
      </c>
      <c r="I317" s="22">
        <f>INDEX(Data[],MATCH($A317,Data[Dist],0),MATCH(I$4,Data[#Headers],0))</f>
        <v>19711646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62729</v>
      </c>
      <c r="D318" s="22">
        <f>INDEX(Data[],MATCH($A318,Data[Dist],0),MATCH(D$4,Data[#Headers],0))</f>
        <v>228738</v>
      </c>
      <c r="E318" s="22">
        <f>INDEX(Data[],MATCH($A318,Data[Dist],0),MATCH(E$4,Data[#Headers],0))</f>
        <v>21643</v>
      </c>
      <c r="F318" s="22">
        <f>INDEX(Data[],MATCH($A318,Data[Dist],0),MATCH(F$4,Data[#Headers],0))</f>
        <v>25050</v>
      </c>
      <c r="G318" s="22">
        <f>INDEX(Data[],MATCH($A318,Data[Dist],0),MATCH(G$4,Data[#Headers],0))</f>
        <v>125445</v>
      </c>
      <c r="H318" s="22">
        <f>INDEX(Data[],MATCH($A318,Data[Dist],0),MATCH(H$4,Data[#Headers],0))</f>
        <v>1414550</v>
      </c>
      <c r="I318" s="22">
        <f>INDEX(Data[],MATCH($A318,Data[Dist],0),MATCH(I$4,Data[#Headers],0))</f>
        <v>1878155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236155</v>
      </c>
      <c r="D319" s="22">
        <f>INDEX(Data[],MATCH($A319,Data[Dist],0),MATCH(D$4,Data[#Headers],0))</f>
        <v>793428</v>
      </c>
      <c r="E319" s="22">
        <f>INDEX(Data[],MATCH($A319,Data[Dist],0),MATCH(E$4,Data[#Headers],0))</f>
        <v>108121</v>
      </c>
      <c r="F319" s="22">
        <f>INDEX(Data[],MATCH($A319,Data[Dist],0),MATCH(F$4,Data[#Headers],0))</f>
        <v>83493</v>
      </c>
      <c r="G319" s="22">
        <f>INDEX(Data[],MATCH($A319,Data[Dist],0),MATCH(G$4,Data[#Headers],0))</f>
        <v>441919</v>
      </c>
      <c r="H319" s="22">
        <f>INDEX(Data[],MATCH($A319,Data[Dist],0),MATCH(H$4,Data[#Headers],0))</f>
        <v>7993183</v>
      </c>
      <c r="I319" s="22">
        <f>INDEX(Data[],MATCH($A319,Data[Dist],0),MATCH(I$4,Data[#Headers],0))</f>
        <v>9656299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195566</v>
      </c>
      <c r="D320" s="22">
        <f>INDEX(Data[],MATCH($A320,Data[Dist],0),MATCH(D$4,Data[#Headers],0))</f>
        <v>562303</v>
      </c>
      <c r="E320" s="22">
        <f>INDEX(Data[],MATCH($A320,Data[Dist],0),MATCH(E$4,Data[#Headers],0))</f>
        <v>64922</v>
      </c>
      <c r="F320" s="22">
        <f>INDEX(Data[],MATCH($A320,Data[Dist],0),MATCH(F$4,Data[#Headers],0))</f>
        <v>63278</v>
      </c>
      <c r="G320" s="22">
        <f>INDEX(Data[],MATCH($A320,Data[Dist],0),MATCH(G$4,Data[#Headers],0))</f>
        <v>334328</v>
      </c>
      <c r="H320" s="22">
        <f>INDEX(Data[],MATCH($A320,Data[Dist],0),MATCH(H$4,Data[#Headers],0))</f>
        <v>4084497</v>
      </c>
      <c r="I320" s="22">
        <f>INDEX(Data[],MATCH($A320,Data[Dist],0),MATCH(I$4,Data[#Headers],0))</f>
        <v>5304894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166047</v>
      </c>
      <c r="D321" s="22">
        <f>INDEX(Data[],MATCH($A321,Data[Dist],0),MATCH(D$4,Data[#Headers],0))</f>
        <v>517718</v>
      </c>
      <c r="E321" s="22">
        <f>INDEX(Data[],MATCH($A321,Data[Dist],0),MATCH(E$4,Data[#Headers],0))</f>
        <v>62419</v>
      </c>
      <c r="F321" s="22">
        <f>INDEX(Data[],MATCH($A321,Data[Dist],0),MATCH(F$4,Data[#Headers],0))</f>
        <v>51257</v>
      </c>
      <c r="G321" s="22">
        <f>INDEX(Data[],MATCH($A321,Data[Dist],0),MATCH(G$4,Data[#Headers],0))</f>
        <v>291106</v>
      </c>
      <c r="H321" s="22">
        <f>INDEX(Data[],MATCH($A321,Data[Dist],0),MATCH(H$4,Data[#Headers],0))</f>
        <v>4172684</v>
      </c>
      <c r="I321" s="22">
        <f>INDEX(Data[],MATCH($A321,Data[Dist],0),MATCH(I$4,Data[#Headers],0))</f>
        <v>5261231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103318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46098</v>
      </c>
      <c r="F322" s="22">
        <f>INDEX(Data[],MATCH($A322,Data[Dist],0),MATCH(F$4,Data[#Headers],0))</f>
        <v>43005</v>
      </c>
      <c r="G322" s="22">
        <f>INDEX(Data[],MATCH($A322,Data[Dist],0),MATCH(G$4,Data[#Headers],0))</f>
        <v>219984</v>
      </c>
      <c r="H322" s="22">
        <f>INDEX(Data[],MATCH($A322,Data[Dist],0),MATCH(H$4,Data[#Headers],0))</f>
        <v>3203837</v>
      </c>
      <c r="I322" s="22">
        <f>INDEX(Data[],MATCH($A322,Data[Dist],0),MATCH(I$4,Data[#Headers],0))</f>
        <v>4020856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129148</v>
      </c>
      <c r="D323" s="22">
        <f>INDEX(Data[],MATCH($A323,Data[Dist],0),MATCH(D$4,Data[#Headers],0))</f>
        <v>541362</v>
      </c>
      <c r="E323" s="22">
        <f>INDEX(Data[],MATCH($A323,Data[Dist],0),MATCH(E$4,Data[#Headers],0))</f>
        <v>64293</v>
      </c>
      <c r="F323" s="22">
        <f>INDEX(Data[],MATCH($A323,Data[Dist],0),MATCH(F$4,Data[#Headers],0))</f>
        <v>62144</v>
      </c>
      <c r="G323" s="22">
        <f>INDEX(Data[],MATCH($A323,Data[Dist],0),MATCH(G$4,Data[#Headers],0))</f>
        <v>289746</v>
      </c>
      <c r="H323" s="22">
        <f>INDEX(Data[],MATCH($A323,Data[Dist],0),MATCH(H$4,Data[#Headers],0))</f>
        <v>5345659</v>
      </c>
      <c r="I323" s="22">
        <f>INDEX(Data[],MATCH($A323,Data[Dist],0),MATCH(I$4,Data[#Headers],0))</f>
        <v>6432352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103318</v>
      </c>
      <c r="D324" s="22">
        <f>INDEX(Data[],MATCH($A324,Data[Dist],0),MATCH(D$4,Data[#Headers],0))</f>
        <v>350005</v>
      </c>
      <c r="E324" s="22">
        <f>INDEX(Data[],MATCH($A324,Data[Dist],0),MATCH(E$4,Data[#Headers],0))</f>
        <v>39999</v>
      </c>
      <c r="F324" s="22">
        <f>INDEX(Data[],MATCH($A324,Data[Dist],0),MATCH(F$4,Data[#Headers],0))</f>
        <v>40317</v>
      </c>
      <c r="G324" s="22">
        <f>INDEX(Data[],MATCH($A324,Data[Dist],0),MATCH(G$4,Data[#Headers],0))</f>
        <v>186593</v>
      </c>
      <c r="H324" s="22">
        <f>INDEX(Data[],MATCH($A324,Data[Dist],0),MATCH(H$4,Data[#Headers],0))</f>
        <v>1823129</v>
      </c>
      <c r="I324" s="22">
        <f>INDEX(Data[],MATCH($A324,Data[Dist],0),MATCH(I$4,Data[#Headers],0))</f>
        <v>2543361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22139</v>
      </c>
      <c r="D325" s="22">
        <f>INDEX(Data[],MATCH($A325,Data[Dist],0),MATCH(D$4,Data[#Headers],0))</f>
        <v>148903</v>
      </c>
      <c r="E325" s="22">
        <f>INDEX(Data[],MATCH($A325,Data[Dist],0),MATCH(E$4,Data[#Headers],0))</f>
        <v>18474</v>
      </c>
      <c r="F325" s="22">
        <f>INDEX(Data[],MATCH($A325,Data[Dist],0),MATCH(F$4,Data[#Headers],0))</f>
        <v>16793</v>
      </c>
      <c r="G325" s="22">
        <f>INDEX(Data[],MATCH($A325,Data[Dist],0),MATCH(G$4,Data[#Headers],0))</f>
        <v>69055</v>
      </c>
      <c r="H325" s="22">
        <f>INDEX(Data[],MATCH($A325,Data[Dist],0),MATCH(H$4,Data[#Headers],0))</f>
        <v>823203</v>
      </c>
      <c r="I325" s="22">
        <f>INDEX(Data[],MATCH($A325,Data[Dist],0),MATCH(I$4,Data[#Headers],0))</f>
        <v>1098567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243611</v>
      </c>
      <c r="D326" s="22">
        <f>INDEX(Data[],MATCH($A326,Data[Dist],0),MATCH(D$4,Data[#Headers],0))</f>
        <v>721765</v>
      </c>
      <c r="E326" s="22">
        <f>INDEX(Data[],MATCH($A326,Data[Dist],0),MATCH(E$4,Data[#Headers],0))</f>
        <v>70276</v>
      </c>
      <c r="F326" s="22">
        <f>INDEX(Data[],MATCH($A326,Data[Dist],0),MATCH(F$4,Data[#Headers],0))</f>
        <v>79161</v>
      </c>
      <c r="G326" s="22">
        <f>INDEX(Data[],MATCH($A326,Data[Dist],0),MATCH(G$4,Data[#Headers],0))</f>
        <v>405495</v>
      </c>
      <c r="H326" s="22">
        <f>INDEX(Data[],MATCH($A326,Data[Dist],0),MATCH(H$4,Data[#Headers],0))</f>
        <v>5745335</v>
      </c>
      <c r="I326" s="22">
        <f>INDEX(Data[],MATCH($A326,Data[Dist],0),MATCH(I$4,Data[#Headers],0))</f>
        <v>7265643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184496</v>
      </c>
      <c r="D327" s="22">
        <f>INDEX(Data[],MATCH($A327,Data[Dist],0),MATCH(D$4,Data[#Headers],0))</f>
        <v>548896</v>
      </c>
      <c r="E327" s="22">
        <f>INDEX(Data[],MATCH($A327,Data[Dist],0),MATCH(E$4,Data[#Headers],0))</f>
        <v>62640</v>
      </c>
      <c r="F327" s="22">
        <f>INDEX(Data[],MATCH($A327,Data[Dist],0),MATCH(F$4,Data[#Headers],0))</f>
        <v>61359</v>
      </c>
      <c r="G327" s="22">
        <f>INDEX(Data[],MATCH($A327,Data[Dist],0),MATCH(G$4,Data[#Headers],0))</f>
        <v>301733</v>
      </c>
      <c r="H327" s="22">
        <f>INDEX(Data[],MATCH($A327,Data[Dist],0),MATCH(H$4,Data[#Headers],0))</f>
        <v>4866461</v>
      </c>
      <c r="I327" s="22">
        <f>INDEX(Data[],MATCH($A327,Data[Dist],0),MATCH(I$4,Data[#Headers],0))</f>
        <v>6025585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55425</v>
      </c>
      <c r="D328" s="22">
        <f>INDEX(Data[],MATCH($A328,Data[Dist],0),MATCH(D$4,Data[#Headers],0))</f>
        <v>209148</v>
      </c>
      <c r="E328" s="22">
        <f>INDEX(Data[],MATCH($A328,Data[Dist],0),MATCH(E$4,Data[#Headers],0))</f>
        <v>25747</v>
      </c>
      <c r="F328" s="22">
        <f>INDEX(Data[],MATCH($A328,Data[Dist],0),MATCH(F$4,Data[#Headers],0))</f>
        <v>22757</v>
      </c>
      <c r="G328" s="22">
        <f>INDEX(Data[],MATCH($A328,Data[Dist],0),MATCH(G$4,Data[#Headers],0))</f>
        <v>112743</v>
      </c>
      <c r="H328" s="22">
        <f>INDEX(Data[],MATCH($A328,Data[Dist],0),MATCH(H$4,Data[#Headers],0))</f>
        <v>1699819</v>
      </c>
      <c r="I328" s="22">
        <f>INDEX(Data[],MATCH($A328,Data[Dist],0),MATCH(I$4,Data[#Headers],0))</f>
        <v>2125639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265674</v>
      </c>
      <c r="D329" s="22">
        <f>INDEX(Data[],MATCH($A329,Data[Dist],0),MATCH(D$4,Data[#Headers],0))</f>
        <v>1051555</v>
      </c>
      <c r="E329" s="22">
        <f>INDEX(Data[],MATCH($A329,Data[Dist],0),MATCH(E$4,Data[#Headers],0))</f>
        <v>135903</v>
      </c>
      <c r="F329" s="22">
        <f>INDEX(Data[],MATCH($A329,Data[Dist],0),MATCH(F$4,Data[#Headers],0))</f>
        <v>114197</v>
      </c>
      <c r="G329" s="22">
        <f>INDEX(Data[],MATCH($A329,Data[Dist],0),MATCH(G$4,Data[#Headers],0))</f>
        <v>609119</v>
      </c>
      <c r="H329" s="22">
        <f>INDEX(Data[],MATCH($A329,Data[Dist],0),MATCH(H$4,Data[#Headers],0))</f>
        <v>9414415</v>
      </c>
      <c r="I329" s="22">
        <f>INDEX(Data[],MATCH($A329,Data[Dist],0),MATCH(I$4,Data[#Headers],0))</f>
        <v>11590863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125457</v>
      </c>
      <c r="D330" s="22">
        <f>INDEX(Data[],MATCH($A330,Data[Dist],0),MATCH(D$4,Data[#Headers],0))</f>
        <v>328929</v>
      </c>
      <c r="E330" s="22">
        <f>INDEX(Data[],MATCH($A330,Data[Dist],0),MATCH(E$4,Data[#Headers],0))</f>
        <v>38444</v>
      </c>
      <c r="F330" s="22">
        <f>INDEX(Data[],MATCH($A330,Data[Dist],0),MATCH(F$4,Data[#Headers],0))</f>
        <v>36866</v>
      </c>
      <c r="G330" s="22">
        <f>INDEX(Data[],MATCH($A330,Data[Dist],0),MATCH(G$4,Data[#Headers],0))</f>
        <v>171172</v>
      </c>
      <c r="H330" s="22">
        <f>INDEX(Data[],MATCH($A330,Data[Dist],0),MATCH(H$4,Data[#Headers],0))</f>
        <v>2481498</v>
      </c>
      <c r="I330" s="22">
        <f>INDEX(Data[],MATCH($A330,Data[Dist],0),MATCH(I$4,Data[#Headers],0))</f>
        <v>3182366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125457</v>
      </c>
      <c r="D331" s="22">
        <f>INDEX(Data[],MATCH($A331,Data[Dist],0),MATCH(D$4,Data[#Headers],0))</f>
        <v>335801</v>
      </c>
      <c r="E331" s="22">
        <f>INDEX(Data[],MATCH($A331,Data[Dist],0),MATCH(E$4,Data[#Headers],0))</f>
        <v>38463</v>
      </c>
      <c r="F331" s="22">
        <f>INDEX(Data[],MATCH($A331,Data[Dist],0),MATCH(F$4,Data[#Headers],0))</f>
        <v>36692</v>
      </c>
      <c r="G331" s="22">
        <f>INDEX(Data[],MATCH($A331,Data[Dist],0),MATCH(G$4,Data[#Headers],0))</f>
        <v>188060</v>
      </c>
      <c r="H331" s="22">
        <f>INDEX(Data[],MATCH($A331,Data[Dist],0),MATCH(H$4,Data[#Headers],0))</f>
        <v>2903577</v>
      </c>
      <c r="I331" s="22">
        <f>INDEX(Data[],MATCH($A331,Data[Dist],0),MATCH(I$4,Data[#Headers],0))</f>
        <v>3628050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217705</v>
      </c>
      <c r="D332" s="22">
        <f>INDEX(Data[],MATCH($A332,Data[Dist],0),MATCH(D$4,Data[#Headers],0))</f>
        <v>655293</v>
      </c>
      <c r="E332" s="22">
        <f>INDEX(Data[],MATCH($A332,Data[Dist],0),MATCH(E$4,Data[#Headers],0))</f>
        <v>73195</v>
      </c>
      <c r="F332" s="22">
        <f>INDEX(Data[],MATCH($A332,Data[Dist],0),MATCH(F$4,Data[#Headers],0))</f>
        <v>69098</v>
      </c>
      <c r="G332" s="22">
        <f>INDEX(Data[],MATCH($A332,Data[Dist],0),MATCH(G$4,Data[#Headers],0))</f>
        <v>371110</v>
      </c>
      <c r="H332" s="22">
        <f>INDEX(Data[],MATCH($A332,Data[Dist],0),MATCH(H$4,Data[#Headers],0))</f>
        <v>5657321</v>
      </c>
      <c r="I332" s="22">
        <f>INDEX(Data[],MATCH($A332,Data[Dist],0),MATCH(I$4,Data[#Headers],0))</f>
        <v>7043722</v>
      </c>
      <c r="J332" s="23"/>
    </row>
    <row r="333" spans="1:10" ht="13.5" thickBot="1" x14ac:dyDescent="0.25">
      <c r="C333" s="24">
        <f t="shared" ref="C333:I333" si="0">SUM(C6:C332)</f>
        <v>87863724</v>
      </c>
      <c r="D333" s="24">
        <f t="shared" si="0"/>
        <v>308320868</v>
      </c>
      <c r="E333" s="24">
        <f t="shared" si="0"/>
        <v>37947281</v>
      </c>
      <c r="F333" s="24">
        <f t="shared" si="0"/>
        <v>34905716</v>
      </c>
      <c r="G333" s="24">
        <f t="shared" si="0"/>
        <v>173959100</v>
      </c>
      <c r="H333" s="24">
        <f t="shared" si="0"/>
        <v>2707186590</v>
      </c>
      <c r="I333" s="24">
        <f t="shared" si="0"/>
        <v>3350183279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3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6" width="15.42578125" style="163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9" t="str">
        <f>CONCATENATE("FY ",Notes!$B$1," State Payments to School Districts (",Notes!$B$2," Total)")</f>
        <v>FY 2023 State Payments to School Districts (September Total)</v>
      </c>
      <c r="B1" s="209"/>
      <c r="C1" s="209"/>
      <c r="D1" s="209"/>
      <c r="E1" s="209"/>
      <c r="F1" s="209"/>
      <c r="G1" s="209"/>
      <c r="H1" s="209"/>
      <c r="I1" s="10"/>
      <c r="J1" s="220" t="s">
        <v>767</v>
      </c>
      <c r="K1" s="220"/>
      <c r="L1" s="220"/>
      <c r="M1" s="220"/>
      <c r="N1" s="220"/>
      <c r="O1" s="10"/>
      <c r="P1" s="35"/>
      <c r="Q1" s="35"/>
      <c r="R1" s="36"/>
      <c r="S1" s="36"/>
      <c r="T1" s="221" t="s">
        <v>770</v>
      </c>
    </row>
    <row r="2" spans="1:25" s="11" customFormat="1" ht="27.75" customHeight="1" x14ac:dyDescent="0.2">
      <c r="A2" s="217" t="s">
        <v>18</v>
      </c>
      <c r="B2" s="217"/>
      <c r="C2" s="217"/>
      <c r="D2" s="217"/>
      <c r="E2" s="217"/>
      <c r="F2" s="217"/>
      <c r="G2" s="217"/>
      <c r="H2" s="217"/>
      <c r="I2" s="28"/>
      <c r="J2" s="219" t="s">
        <v>759</v>
      </c>
      <c r="K2" s="219" t="s">
        <v>760</v>
      </c>
      <c r="L2" s="219" t="s">
        <v>761</v>
      </c>
      <c r="M2" s="219" t="s">
        <v>771</v>
      </c>
      <c r="N2" s="219" t="s">
        <v>762</v>
      </c>
      <c r="O2" s="28"/>
      <c r="P2" s="37"/>
      <c r="Q2" s="37"/>
      <c r="R2" s="36"/>
      <c r="S2" s="218" t="s">
        <v>750</v>
      </c>
      <c r="T2" s="221"/>
      <c r="V2" s="211" t="s">
        <v>807</v>
      </c>
      <c r="W2" s="211"/>
      <c r="X2" s="211"/>
      <c r="Y2" s="211"/>
    </row>
    <row r="3" spans="1:25" s="14" customFormat="1" ht="12.75" customHeight="1" x14ac:dyDescent="0.2">
      <c r="A3" s="212"/>
      <c r="B3" s="213"/>
      <c r="C3" s="214" t="s">
        <v>13</v>
      </c>
      <c r="D3" s="215"/>
      <c r="E3" s="215"/>
      <c r="F3" s="215"/>
      <c r="G3" s="215"/>
      <c r="H3" s="216"/>
      <c r="J3" s="219"/>
      <c r="K3" s="219"/>
      <c r="L3" s="219"/>
      <c r="M3" s="219"/>
      <c r="N3" s="219"/>
      <c r="P3" s="38"/>
      <c r="Q3" s="38"/>
      <c r="R3" s="38"/>
      <c r="S3" s="218"/>
      <c r="T3" s="221"/>
      <c r="V3" s="211"/>
      <c r="W3" s="211"/>
      <c r="X3" s="211"/>
      <c r="Y3" s="211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September</v>
      </c>
      <c r="D4" s="157" t="str">
        <f>IF(OR(Notes!$B$2="January",Notes!$B$2="February"),Notes!$B$2,"Jan - Feb")</f>
        <v>Jan - Feb</v>
      </c>
      <c r="E4" s="157" t="str">
        <f>IF(OR(Notes!$B$2="March",Notes!$B$2="April",Notes!$B$2="May"),Notes!$B$2,"March - May")</f>
        <v>March - May</v>
      </c>
      <c r="F4" s="157" t="str">
        <f>IF(Notes!$B$2="June",Notes!$B$2,"June")</f>
        <v>June</v>
      </c>
      <c r="G4" s="60" t="s">
        <v>728</v>
      </c>
      <c r="H4" s="39" t="s">
        <v>747</v>
      </c>
      <c r="J4" s="219"/>
      <c r="K4" s="219"/>
      <c r="L4" s="219"/>
      <c r="M4" s="219"/>
      <c r="N4" s="219"/>
      <c r="P4" s="38"/>
      <c r="Q4" s="38"/>
      <c r="R4" s="38"/>
      <c r="S4" s="218"/>
      <c r="T4" s="221"/>
      <c r="V4" s="211"/>
      <c r="W4" s="211"/>
      <c r="X4" s="211"/>
      <c r="Y4" s="211"/>
    </row>
    <row r="5" spans="1:25" s="14" customFormat="1" ht="11.25" customHeight="1" x14ac:dyDescent="0.2">
      <c r="A5" s="13"/>
      <c r="C5" s="40" t="s">
        <v>727</v>
      </c>
      <c r="D5" s="158" t="s">
        <v>727</v>
      </c>
      <c r="E5" s="158" t="s">
        <v>727</v>
      </c>
      <c r="F5" s="158" t="s">
        <v>727</v>
      </c>
      <c r="G5" s="40" t="str">
        <f>Notes!$B$2</f>
        <v>September</v>
      </c>
      <c r="H5" s="41" t="s">
        <v>748</v>
      </c>
      <c r="J5" s="219"/>
      <c r="K5" s="219"/>
      <c r="L5" s="219"/>
      <c r="M5" s="219"/>
      <c r="N5" s="219"/>
      <c r="P5" s="38" t="s">
        <v>753</v>
      </c>
      <c r="Q5" s="38"/>
      <c r="R5" s="38"/>
      <c r="S5" s="218"/>
      <c r="T5" s="221"/>
      <c r="V5" s="211"/>
      <c r="W5" s="211"/>
      <c r="X5" s="211"/>
      <c r="Y5" s="211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September Payment</v>
      </c>
      <c r="D6" s="159" t="str">
        <f>IF(OR(Notes!$B$2="January",Notes!$B$2="February"),CONCATENATE(Notes!$B$2," Payment"),"February Payment")</f>
        <v>February Payment</v>
      </c>
      <c r="E6" s="159" t="str">
        <f>IF(OR(Notes!$B$2="March",Notes!$B$2="April",Notes!$B$2="May"),CONCATENATE(Notes!$B$2," Payment"),"May Payment")</f>
        <v>May Payment</v>
      </c>
      <c r="F6" s="159" t="str">
        <f>IF(Notes!$B$2="June",CONCATENATE(Notes!$B$2," Payment"),"June Payment")</f>
        <v>June Payment</v>
      </c>
      <c r="G6" s="42" t="str">
        <f>CONCATENATE("Paid Thru ",Notes!$B$2)</f>
        <v>Paid Thru September</v>
      </c>
      <c r="H6" s="43" t="str">
        <f>Notes!$B$3</f>
        <v>Pay 1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361272</v>
      </c>
      <c r="D7" s="160">
        <f>INDEX(Data[],MATCH($A7,Data[Dist],0),MATCH(D$6,Data[#Headers],0))</f>
        <v>358580</v>
      </c>
      <c r="E7" s="160">
        <f>INDEX(Data[],MATCH($A7,Data[Dist],0),MATCH(E$6,Data[#Headers],0))</f>
        <v>358580</v>
      </c>
      <c r="F7" s="160">
        <f>INDEX(Data[],MATCH($A7,Data[Dist],0),MATCH(F$6,Data[#Headers],0))</f>
        <v>358580</v>
      </c>
      <c r="G7" s="22">
        <f>INDEX(Data[],MATCH($A7,Data[Dist],0),MATCH(G$6,Data[#Headers],0))</f>
        <v>361272</v>
      </c>
      <c r="H7" s="22">
        <f>INDEX(Data[],MATCH($A7,Data[Dist],0),MATCH(H$6,Data[#Headers],0))-G7</f>
        <v>3251451</v>
      </c>
      <c r="I7" s="23"/>
      <c r="J7" s="22">
        <f>INDEX(Notes!$I$2:$N$11,MATCH(Notes!$B$2,Notes!$I$2:$I$11,0),4)*$C7</f>
        <v>361272</v>
      </c>
      <c r="K7" s="22">
        <f>INDEX(Notes!$I$2:$N$11,MATCH(Notes!$B$2,Notes!$I$2:$I$11,0),5)*$D7</f>
        <v>0</v>
      </c>
      <c r="L7" s="22">
        <f>INDEX(Notes!$I$2:$N$11,MATCH(Notes!$B$2,Notes!$I$2:$I$11,0),6)*$E7</f>
        <v>0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361272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INDEX($A$7:$H$333,MATCH($S7,$A$7:$A$333,0),3)-Q7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186628</v>
      </c>
      <c r="D8" s="160">
        <f>INDEX(Data[],MATCH($A8,Data[Dist],0),MATCH(D$6,Data[#Headers],0))</f>
        <v>185402</v>
      </c>
      <c r="E8" s="160">
        <f>INDEX(Data[],MATCH($A8,Data[Dist],0),MATCH(E$6,Data[#Headers],0))</f>
        <v>185402</v>
      </c>
      <c r="F8" s="160">
        <f>INDEX(Data[],MATCH($A8,Data[Dist],0),MATCH(F$6,Data[#Headers],0))</f>
        <v>185401</v>
      </c>
      <c r="G8" s="22">
        <f>INDEX(Data[],MATCH($A8,Data[Dist],0),MATCH(G$6,Data[#Headers],0))</f>
        <v>186628</v>
      </c>
      <c r="H8" s="22">
        <f>INDEX(Data[],MATCH($A8,Data[Dist],0),MATCH(H$6,Data[#Headers],0))-G8</f>
        <v>1679656</v>
      </c>
      <c r="I8" s="23"/>
      <c r="J8" s="22">
        <f>INDEX(Notes!$I$2:$N$11,MATCH(Notes!$B$2,Notes!$I$2:$I$11,0),4)*$C8</f>
        <v>186628</v>
      </c>
      <c r="K8" s="22">
        <f>INDEX(Notes!$I$2:$N$11,MATCH(Notes!$B$2,Notes!$I$2:$I$11,0),5)*$D8</f>
        <v>0</v>
      </c>
      <c r="L8" s="22">
        <f>INDEX(Notes!$I$2:$N$11,MATCH(Notes!$B$2,Notes!$I$2:$I$11,0),6)*$E8</f>
        <v>0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186628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INDEX($A$7:$H$333,MATCH($S8,$A$7:$A$333,0),3)-Q8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1463840</v>
      </c>
      <c r="D9" s="160">
        <f>INDEX(Data[],MATCH($A9,Data[Dist],0),MATCH(D$6,Data[#Headers],0))</f>
        <v>1455706</v>
      </c>
      <c r="E9" s="160">
        <f>INDEX(Data[],MATCH($A9,Data[Dist],0),MATCH(E$6,Data[#Headers],0))</f>
        <v>1455706</v>
      </c>
      <c r="F9" s="160">
        <f>INDEX(Data[],MATCH($A9,Data[Dist],0),MATCH(F$6,Data[#Headers],0))</f>
        <v>1455704</v>
      </c>
      <c r="G9" s="22">
        <f>INDEX(Data[],MATCH($A9,Data[Dist],0),MATCH(G$6,Data[#Headers],0))</f>
        <v>1463840</v>
      </c>
      <c r="H9" s="22">
        <f>INDEX(Data[],MATCH($A9,Data[Dist],0),MATCH(H$6,Data[#Headers],0))-G9</f>
        <v>13174563</v>
      </c>
      <c r="I9" s="23"/>
      <c r="J9" s="22">
        <f>INDEX(Notes!$I$2:$N$11,MATCH(Notes!$B$2,Notes!$I$2:$I$11,0),4)*$C9</f>
        <v>1463840</v>
      </c>
      <c r="K9" s="22">
        <f>INDEX(Notes!$I$2:$N$11,MATCH(Notes!$B$2,Notes!$I$2:$I$11,0),5)*$D9</f>
        <v>0</v>
      </c>
      <c r="L9" s="22">
        <f>INDEX(Notes!$I$2:$N$11,MATCH(Notes!$B$2,Notes!$I$2:$I$11,0),6)*$E9</f>
        <v>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1463840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396026</v>
      </c>
      <c r="D10" s="160">
        <f>INDEX(Data[],MATCH($A10,Data[Dist],0),MATCH(D$6,Data[#Headers],0))</f>
        <v>393824</v>
      </c>
      <c r="E10" s="160">
        <f>INDEX(Data[],MATCH($A10,Data[Dist],0),MATCH(E$6,Data[#Headers],0))</f>
        <v>393824</v>
      </c>
      <c r="F10" s="160">
        <f>INDEX(Data[],MATCH($A10,Data[Dist],0),MATCH(F$6,Data[#Headers],0))</f>
        <v>393824</v>
      </c>
      <c r="G10" s="22">
        <f>INDEX(Data[],MATCH($A10,Data[Dist],0),MATCH(G$6,Data[#Headers],0))</f>
        <v>396026</v>
      </c>
      <c r="H10" s="22">
        <f>INDEX(Data[],MATCH($A10,Data[Dist],0),MATCH(H$6,Data[#Headers],0))-G10</f>
        <v>3564229</v>
      </c>
      <c r="I10" s="23"/>
      <c r="J10" s="22">
        <f>INDEX(Notes!$I$2:$N$11,MATCH(Notes!$B$2,Notes!$I$2:$I$11,0),4)*$C10</f>
        <v>396026</v>
      </c>
      <c r="K10" s="22">
        <f>INDEX(Notes!$I$2:$N$11,MATCH(Notes!$B$2,Notes!$I$2:$I$11,0),5)*$D10</f>
        <v>0</v>
      </c>
      <c r="L10" s="22">
        <f>INDEX(Notes!$I$2:$N$11,MATCH(Notes!$B$2,Notes!$I$2:$I$11,0),6)*$E10</f>
        <v>0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396026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92608</v>
      </c>
      <c r="D11" s="160">
        <f>INDEX(Data[],MATCH($A11,Data[Dist],0),MATCH(D$6,Data[#Headers],0))</f>
        <v>91835</v>
      </c>
      <c r="E11" s="160">
        <f>INDEX(Data[],MATCH($A11,Data[Dist],0),MATCH(E$6,Data[#Headers],0))</f>
        <v>91835</v>
      </c>
      <c r="F11" s="160">
        <f>INDEX(Data[],MATCH($A11,Data[Dist],0),MATCH(F$6,Data[#Headers],0))</f>
        <v>91833</v>
      </c>
      <c r="G11" s="22">
        <f>INDEX(Data[],MATCH($A11,Data[Dist],0),MATCH(G$6,Data[#Headers],0))</f>
        <v>92608</v>
      </c>
      <c r="H11" s="22">
        <f>INDEX(Data[],MATCH($A11,Data[Dist],0),MATCH(H$6,Data[#Headers],0))-G11</f>
        <v>833471</v>
      </c>
      <c r="I11" s="23"/>
      <c r="J11" s="22">
        <f>INDEX(Notes!$I$2:$N$11,MATCH(Notes!$B$2,Notes!$I$2:$I$11,0),4)*$C11</f>
        <v>92608</v>
      </c>
      <c r="K11" s="22">
        <f>INDEX(Notes!$I$2:$N$11,MATCH(Notes!$B$2,Notes!$I$2:$I$11,0),5)*$D11</f>
        <v>0</v>
      </c>
      <c r="L11" s="22">
        <f>INDEX(Notes!$I$2:$N$11,MATCH(Notes!$B$2,Notes!$I$2:$I$11,0),6)*$E11</f>
        <v>0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92608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835692</v>
      </c>
      <c r="D12" s="160">
        <f>INDEX(Data[],MATCH($A12,Data[Dist],0),MATCH(D$6,Data[#Headers],0))</f>
        <v>831169</v>
      </c>
      <c r="E12" s="160">
        <f>INDEX(Data[],MATCH($A12,Data[Dist],0),MATCH(E$6,Data[#Headers],0))</f>
        <v>831169</v>
      </c>
      <c r="F12" s="160">
        <f>INDEX(Data[],MATCH($A12,Data[Dist],0),MATCH(F$6,Data[#Headers],0))</f>
        <v>831168</v>
      </c>
      <c r="G12" s="22">
        <f>INDEX(Data[],MATCH($A12,Data[Dist],0),MATCH(G$6,Data[#Headers],0))</f>
        <v>835692</v>
      </c>
      <c r="H12" s="22">
        <f>INDEX(Data[],MATCH($A12,Data[Dist],0),MATCH(H$6,Data[#Headers],0))-G12</f>
        <v>7521232</v>
      </c>
      <c r="I12" s="23"/>
      <c r="J12" s="22">
        <f>INDEX(Notes!$I$2:$N$11,MATCH(Notes!$B$2,Notes!$I$2:$I$11,0),4)*$C12</f>
        <v>835692</v>
      </c>
      <c r="K12" s="22">
        <f>INDEX(Notes!$I$2:$N$11,MATCH(Notes!$B$2,Notes!$I$2:$I$11,0),5)*$D12</f>
        <v>0</v>
      </c>
      <c r="L12" s="22">
        <f>INDEX(Notes!$I$2:$N$11,MATCH(Notes!$B$2,Notes!$I$2:$I$11,0),6)*$E12</f>
        <v>0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835692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314892</v>
      </c>
      <c r="D13" s="160">
        <f>INDEX(Data[],MATCH($A13,Data[Dist],0),MATCH(D$6,Data[#Headers],0))</f>
        <v>312838</v>
      </c>
      <c r="E13" s="160">
        <f>INDEX(Data[],MATCH($A13,Data[Dist],0),MATCH(E$6,Data[#Headers],0))</f>
        <v>312838</v>
      </c>
      <c r="F13" s="160">
        <f>INDEX(Data[],MATCH($A13,Data[Dist],0),MATCH(F$6,Data[#Headers],0))</f>
        <v>312839</v>
      </c>
      <c r="G13" s="22">
        <f>INDEX(Data[],MATCH($A13,Data[Dist],0),MATCH(G$6,Data[#Headers],0))</f>
        <v>314892</v>
      </c>
      <c r="H13" s="22">
        <f>INDEX(Data[],MATCH($A13,Data[Dist],0),MATCH(H$6,Data[#Headers],0))-G13</f>
        <v>2834028</v>
      </c>
      <c r="I13" s="23"/>
      <c r="J13" s="22">
        <f>INDEX(Notes!$I$2:$N$11,MATCH(Notes!$B$2,Notes!$I$2:$I$11,0),4)*$C13</f>
        <v>314892</v>
      </c>
      <c r="K13" s="22">
        <f>INDEX(Notes!$I$2:$N$11,MATCH(Notes!$B$2,Notes!$I$2:$I$11,0),5)*$D13</f>
        <v>0</v>
      </c>
      <c r="L13" s="22">
        <f>INDEX(Notes!$I$2:$N$11,MATCH(Notes!$B$2,Notes!$I$2:$I$11,0),6)*$E13</f>
        <v>0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314892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166793</v>
      </c>
      <c r="D14" s="160">
        <f>INDEX(Data[],MATCH($A14,Data[Dist],0),MATCH(D$6,Data[#Headers],0))</f>
        <v>165682</v>
      </c>
      <c r="E14" s="160">
        <f>INDEX(Data[],MATCH($A14,Data[Dist],0),MATCH(E$6,Data[#Headers],0))</f>
        <v>165682</v>
      </c>
      <c r="F14" s="160">
        <f>INDEX(Data[],MATCH($A14,Data[Dist],0),MATCH(F$6,Data[#Headers],0))</f>
        <v>165681</v>
      </c>
      <c r="G14" s="22">
        <f>INDEX(Data[],MATCH($A14,Data[Dist],0),MATCH(G$6,Data[#Headers],0))</f>
        <v>166793</v>
      </c>
      <c r="H14" s="22">
        <f>INDEX(Data[],MATCH($A14,Data[Dist],0),MATCH(H$6,Data[#Headers],0))-G14</f>
        <v>1501140</v>
      </c>
      <c r="I14" s="23"/>
      <c r="J14" s="22">
        <f>INDEX(Notes!$I$2:$N$11,MATCH(Notes!$B$2,Notes!$I$2:$I$11,0),4)*$C14</f>
        <v>166793</v>
      </c>
      <c r="K14" s="22">
        <f>INDEX(Notes!$I$2:$N$11,MATCH(Notes!$B$2,Notes!$I$2:$I$11,0),5)*$D14</f>
        <v>0</v>
      </c>
      <c r="L14" s="22">
        <f>INDEX(Notes!$I$2:$N$11,MATCH(Notes!$B$2,Notes!$I$2:$I$11,0),6)*$E14</f>
        <v>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166793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797099</v>
      </c>
      <c r="D15" s="160">
        <f>INDEX(Data[],MATCH($A15,Data[Dist],0),MATCH(D$6,Data[#Headers],0))</f>
        <v>791955</v>
      </c>
      <c r="E15" s="160">
        <f>INDEX(Data[],MATCH($A15,Data[Dist],0),MATCH(E$6,Data[#Headers],0))</f>
        <v>791955</v>
      </c>
      <c r="F15" s="160">
        <f>INDEX(Data[],MATCH($A15,Data[Dist],0),MATCH(F$6,Data[#Headers],0))</f>
        <v>791953</v>
      </c>
      <c r="G15" s="22">
        <f>INDEX(Data[],MATCH($A15,Data[Dist],0),MATCH(G$6,Data[#Headers],0))</f>
        <v>797099</v>
      </c>
      <c r="H15" s="22">
        <f>INDEX(Data[],MATCH($A15,Data[Dist],0),MATCH(H$6,Data[#Headers],0))-G15</f>
        <v>7173893</v>
      </c>
      <c r="I15" s="23"/>
      <c r="J15" s="22">
        <f>INDEX(Notes!$I$2:$N$11,MATCH(Notes!$B$2,Notes!$I$2:$I$11,0),4)*$C15</f>
        <v>797099</v>
      </c>
      <c r="K15" s="22">
        <f>INDEX(Notes!$I$2:$N$11,MATCH(Notes!$B$2,Notes!$I$2:$I$11,0),5)*$D15</f>
        <v>0</v>
      </c>
      <c r="L15" s="22">
        <f>INDEX(Notes!$I$2:$N$11,MATCH(Notes!$B$2,Notes!$I$2:$I$11,0),6)*$E15</f>
        <v>0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797099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648107</v>
      </c>
      <c r="D16" s="160">
        <f>INDEX(Data[],MATCH($A16,Data[Dist],0),MATCH(D$6,Data[#Headers],0))</f>
        <v>643955</v>
      </c>
      <c r="E16" s="160">
        <f>INDEX(Data[],MATCH($A16,Data[Dist],0),MATCH(E$6,Data[#Headers],0))</f>
        <v>643955</v>
      </c>
      <c r="F16" s="160">
        <f>INDEX(Data[],MATCH($A16,Data[Dist],0),MATCH(F$6,Data[#Headers],0))</f>
        <v>643956</v>
      </c>
      <c r="G16" s="22">
        <f>INDEX(Data[],MATCH($A16,Data[Dist],0),MATCH(G$6,Data[#Headers],0))</f>
        <v>648107</v>
      </c>
      <c r="H16" s="22">
        <f>INDEX(Data[],MATCH($A16,Data[Dist],0),MATCH(H$6,Data[#Headers],0))-G16</f>
        <v>5832962</v>
      </c>
      <c r="I16" s="23"/>
      <c r="J16" s="22">
        <f>INDEX(Notes!$I$2:$N$11,MATCH(Notes!$B$2,Notes!$I$2:$I$11,0),4)*$C16</f>
        <v>648107</v>
      </c>
      <c r="K16" s="22">
        <f>INDEX(Notes!$I$2:$N$11,MATCH(Notes!$B$2,Notes!$I$2:$I$11,0),5)*$D16</f>
        <v>0</v>
      </c>
      <c r="L16" s="22">
        <f>INDEX(Notes!$I$2:$N$11,MATCH(Notes!$B$2,Notes!$I$2:$I$11,0),6)*$E16</f>
        <v>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648107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356251</v>
      </c>
      <c r="D17" s="160">
        <f>INDEX(Data[],MATCH($A17,Data[Dist],0),MATCH(D$6,Data[#Headers],0))</f>
        <v>354000</v>
      </c>
      <c r="E17" s="160">
        <f>INDEX(Data[],MATCH($A17,Data[Dist],0),MATCH(E$6,Data[#Headers],0))</f>
        <v>354000</v>
      </c>
      <c r="F17" s="160">
        <f>INDEX(Data[],MATCH($A17,Data[Dist],0),MATCH(F$6,Data[#Headers],0))</f>
        <v>354000</v>
      </c>
      <c r="G17" s="22">
        <f>INDEX(Data[],MATCH($A17,Data[Dist],0),MATCH(G$6,Data[#Headers],0))</f>
        <v>356251</v>
      </c>
      <c r="H17" s="22">
        <f>INDEX(Data[],MATCH($A17,Data[Dist],0),MATCH(H$6,Data[#Headers],0))-G17</f>
        <v>3206259</v>
      </c>
      <c r="I17" s="23"/>
      <c r="J17" s="22">
        <f>INDEX(Notes!$I$2:$N$11,MATCH(Notes!$B$2,Notes!$I$2:$I$11,0),4)*$C17</f>
        <v>356251</v>
      </c>
      <c r="K17" s="22">
        <f>INDEX(Notes!$I$2:$N$11,MATCH(Notes!$B$2,Notes!$I$2:$I$11,0),5)*$D17</f>
        <v>0</v>
      </c>
      <c r="L17" s="22">
        <f>INDEX(Notes!$I$2:$N$11,MATCH(Notes!$B$2,Notes!$I$2:$I$11,0),6)*$E17</f>
        <v>0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356251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486435</v>
      </c>
      <c r="D18" s="160">
        <f>INDEX(Data[],MATCH($A18,Data[Dist],0),MATCH(D$6,Data[#Headers],0))</f>
        <v>483046</v>
      </c>
      <c r="E18" s="160">
        <f>INDEX(Data[],MATCH($A18,Data[Dist],0),MATCH(E$6,Data[#Headers],0))</f>
        <v>483046</v>
      </c>
      <c r="F18" s="160">
        <f>INDEX(Data[],MATCH($A18,Data[Dist],0),MATCH(F$6,Data[#Headers],0))</f>
        <v>483044</v>
      </c>
      <c r="G18" s="22">
        <f>INDEX(Data[],MATCH($A18,Data[Dist],0),MATCH(G$6,Data[#Headers],0))</f>
        <v>486435</v>
      </c>
      <c r="H18" s="22">
        <f>INDEX(Data[],MATCH($A18,Data[Dist],0),MATCH(H$6,Data[#Headers],0))-G18</f>
        <v>4377914</v>
      </c>
      <c r="I18" s="23"/>
      <c r="J18" s="22">
        <f>INDEX(Notes!$I$2:$N$11,MATCH(Notes!$B$2,Notes!$I$2:$I$11,0),4)*$C18</f>
        <v>486435</v>
      </c>
      <c r="K18" s="22">
        <f>INDEX(Notes!$I$2:$N$11,MATCH(Notes!$B$2,Notes!$I$2:$I$11,0),5)*$D18</f>
        <v>0</v>
      </c>
      <c r="L18" s="22">
        <f>INDEX(Notes!$I$2:$N$11,MATCH(Notes!$B$2,Notes!$I$2:$I$11,0),6)*$E18</f>
        <v>0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486435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2312796</v>
      </c>
      <c r="D19" s="160">
        <f>INDEX(Data[],MATCH($A19,Data[Dist],0),MATCH(D$6,Data[#Headers],0))</f>
        <v>2295043</v>
      </c>
      <c r="E19" s="160">
        <f>INDEX(Data[],MATCH($A19,Data[Dist],0),MATCH(E$6,Data[#Headers],0))</f>
        <v>2295043</v>
      </c>
      <c r="F19" s="160">
        <f>INDEX(Data[],MATCH($A19,Data[Dist],0),MATCH(F$6,Data[#Headers],0))</f>
        <v>2295043</v>
      </c>
      <c r="G19" s="22">
        <f>INDEX(Data[],MATCH($A19,Data[Dist],0),MATCH(G$6,Data[#Headers],0))</f>
        <v>2312796</v>
      </c>
      <c r="H19" s="22">
        <f>INDEX(Data[],MATCH($A19,Data[Dist],0),MATCH(H$6,Data[#Headers],0))-G19</f>
        <v>20815166</v>
      </c>
      <c r="I19" s="23"/>
      <c r="J19" s="22">
        <f>INDEX(Notes!$I$2:$N$11,MATCH(Notes!$B$2,Notes!$I$2:$I$11,0),4)*$C19</f>
        <v>2312796</v>
      </c>
      <c r="K19" s="22">
        <f>INDEX(Notes!$I$2:$N$11,MATCH(Notes!$B$2,Notes!$I$2:$I$11,0),5)*$D19</f>
        <v>0</v>
      </c>
      <c r="L19" s="22">
        <f>INDEX(Notes!$I$2:$N$11,MATCH(Notes!$B$2,Notes!$I$2:$I$11,0),6)*$E19</f>
        <v>0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2312796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872851</v>
      </c>
      <c r="D20" s="160">
        <f>INDEX(Data[],MATCH($A20,Data[Dist],0),MATCH(D$6,Data[#Headers],0))</f>
        <v>867829</v>
      </c>
      <c r="E20" s="160">
        <f>INDEX(Data[],MATCH($A20,Data[Dist],0),MATCH(E$6,Data[#Headers],0))</f>
        <v>867829</v>
      </c>
      <c r="F20" s="160">
        <f>INDEX(Data[],MATCH($A20,Data[Dist],0),MATCH(F$6,Data[#Headers],0))</f>
        <v>867829</v>
      </c>
      <c r="G20" s="22">
        <f>INDEX(Data[],MATCH($A20,Data[Dist],0),MATCH(G$6,Data[#Headers],0))</f>
        <v>872851</v>
      </c>
      <c r="H20" s="22">
        <f>INDEX(Data[],MATCH($A20,Data[Dist],0),MATCH(H$6,Data[#Headers],0))-G20</f>
        <v>7855656</v>
      </c>
      <c r="I20" s="23"/>
      <c r="J20" s="22">
        <f>INDEX(Notes!$I$2:$N$11,MATCH(Notes!$B$2,Notes!$I$2:$I$11,0),4)*$C20</f>
        <v>872851</v>
      </c>
      <c r="K20" s="22">
        <f>INDEX(Notes!$I$2:$N$11,MATCH(Notes!$B$2,Notes!$I$2:$I$11,0),5)*$D20</f>
        <v>0</v>
      </c>
      <c r="L20" s="22">
        <f>INDEX(Notes!$I$2:$N$11,MATCH(Notes!$B$2,Notes!$I$2:$I$11,0),6)*$E20</f>
        <v>0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872851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150413</v>
      </c>
      <c r="D21" s="160">
        <f>INDEX(Data[],MATCH($A21,Data[Dist],0),MATCH(D$6,Data[#Headers],0))</f>
        <v>149530</v>
      </c>
      <c r="E21" s="160">
        <f>INDEX(Data[],MATCH($A21,Data[Dist],0),MATCH(E$6,Data[#Headers],0))</f>
        <v>149530</v>
      </c>
      <c r="F21" s="160">
        <f>INDEX(Data[],MATCH($A21,Data[Dist],0),MATCH(F$6,Data[#Headers],0))</f>
        <v>149528</v>
      </c>
      <c r="G21" s="22">
        <f>INDEX(Data[],MATCH($A21,Data[Dist],0),MATCH(G$6,Data[#Headers],0))</f>
        <v>150413</v>
      </c>
      <c r="H21" s="22">
        <f>INDEX(Data[],MATCH($A21,Data[Dist],0),MATCH(H$6,Data[#Headers],0))-G21</f>
        <v>1353714</v>
      </c>
      <c r="I21" s="23"/>
      <c r="J21" s="22">
        <f>INDEX(Notes!$I$2:$N$11,MATCH(Notes!$B$2,Notes!$I$2:$I$11,0),4)*$C21</f>
        <v>150413</v>
      </c>
      <c r="K21" s="22">
        <f>INDEX(Notes!$I$2:$N$11,MATCH(Notes!$B$2,Notes!$I$2:$I$11,0),5)*$D21</f>
        <v>0</v>
      </c>
      <c r="L21" s="22">
        <f>INDEX(Notes!$I$2:$N$11,MATCH(Notes!$B$2,Notes!$I$2:$I$11,0),6)*$E21</f>
        <v>0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150413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8166628</v>
      </c>
      <c r="D22" s="160">
        <f>INDEX(Data[],MATCH($A22,Data[Dist],0),MATCH(D$6,Data[#Headers],0))</f>
        <v>8117093</v>
      </c>
      <c r="E22" s="160">
        <f>INDEX(Data[],MATCH($A22,Data[Dist],0),MATCH(E$6,Data[#Headers],0))</f>
        <v>8117092</v>
      </c>
      <c r="F22" s="160">
        <f>INDEX(Data[],MATCH($A22,Data[Dist],0),MATCH(F$6,Data[#Headers],0))</f>
        <v>8117093</v>
      </c>
      <c r="G22" s="22">
        <f>INDEX(Data[],MATCH($A22,Data[Dist],0),MATCH(G$6,Data[#Headers],0))</f>
        <v>8166628</v>
      </c>
      <c r="H22" s="22">
        <f>INDEX(Data[],MATCH($A22,Data[Dist],0),MATCH(H$6,Data[#Headers],0))-G22</f>
        <v>73499648</v>
      </c>
      <c r="I22" s="25"/>
      <c r="J22" s="22">
        <f>INDEX(Notes!$I$2:$N$11,MATCH(Notes!$B$2,Notes!$I$2:$I$11,0),4)*$C22</f>
        <v>8166628</v>
      </c>
      <c r="K22" s="22">
        <f>INDEX(Notes!$I$2:$N$11,MATCH(Notes!$B$2,Notes!$I$2:$I$11,0),5)*$D22</f>
        <v>0</v>
      </c>
      <c r="L22" s="22">
        <f>INDEX(Notes!$I$2:$N$11,MATCH(Notes!$B$2,Notes!$I$2:$I$11,0),6)*$E22</f>
        <v>0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8166628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563428</v>
      </c>
      <c r="D23" s="160">
        <f>INDEX(Data[],MATCH($A23,Data[Dist],0),MATCH(D$6,Data[#Headers],0))</f>
        <v>560202</v>
      </c>
      <c r="E23" s="160">
        <f>INDEX(Data[],MATCH($A23,Data[Dist],0),MATCH(E$6,Data[#Headers],0))</f>
        <v>560202</v>
      </c>
      <c r="F23" s="160">
        <f>INDEX(Data[],MATCH($A23,Data[Dist],0),MATCH(F$6,Data[#Headers],0))</f>
        <v>560203</v>
      </c>
      <c r="G23" s="22">
        <f>INDEX(Data[],MATCH($A23,Data[Dist],0),MATCH(G$6,Data[#Headers],0))</f>
        <v>563428</v>
      </c>
      <c r="H23" s="22">
        <f>INDEX(Data[],MATCH($A23,Data[Dist],0),MATCH(H$6,Data[#Headers],0))-G23</f>
        <v>5070851</v>
      </c>
      <c r="I23" s="25"/>
      <c r="J23" s="22">
        <f>INDEX(Notes!$I$2:$N$11,MATCH(Notes!$B$2,Notes!$I$2:$I$11,0),4)*$C23</f>
        <v>563428</v>
      </c>
      <c r="K23" s="22">
        <f>INDEX(Notes!$I$2:$N$11,MATCH(Notes!$B$2,Notes!$I$2:$I$11,0),5)*$D23</f>
        <v>0</v>
      </c>
      <c r="L23" s="22">
        <f>INDEX(Notes!$I$2:$N$11,MATCH(Notes!$B$2,Notes!$I$2:$I$11,0),6)*$E23</f>
        <v>0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563428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156268</v>
      </c>
      <c r="D24" s="160">
        <f>INDEX(Data[],MATCH($A24,Data[Dist],0),MATCH(D$6,Data[#Headers],0))</f>
        <v>154676</v>
      </c>
      <c r="E24" s="160">
        <f>INDEX(Data[],MATCH($A24,Data[Dist],0),MATCH(E$6,Data[#Headers],0))</f>
        <v>154676</v>
      </c>
      <c r="F24" s="160">
        <f>INDEX(Data[],MATCH($A24,Data[Dist],0),MATCH(F$6,Data[#Headers],0))</f>
        <v>154676</v>
      </c>
      <c r="G24" s="22">
        <f>INDEX(Data[],MATCH($A24,Data[Dist],0),MATCH(G$6,Data[#Headers],0))</f>
        <v>156268</v>
      </c>
      <c r="H24" s="22">
        <f>INDEX(Data[],MATCH($A24,Data[Dist],0),MATCH(H$6,Data[#Headers],0))-G24</f>
        <v>1406409</v>
      </c>
      <c r="I24" s="25"/>
      <c r="J24" s="22">
        <f>INDEX(Notes!$I$2:$N$11,MATCH(Notes!$B$2,Notes!$I$2:$I$11,0),4)*$C24</f>
        <v>156268</v>
      </c>
      <c r="K24" s="22">
        <f>INDEX(Notes!$I$2:$N$11,MATCH(Notes!$B$2,Notes!$I$2:$I$11,0),5)*$D24</f>
        <v>0</v>
      </c>
      <c r="L24" s="22">
        <f>INDEX(Notes!$I$2:$N$11,MATCH(Notes!$B$2,Notes!$I$2:$I$11,0),6)*$E24</f>
        <v>0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156268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107178</v>
      </c>
      <c r="D25" s="160">
        <f>INDEX(Data[],MATCH($A25,Data[Dist],0),MATCH(D$6,Data[#Headers],0))</f>
        <v>106073</v>
      </c>
      <c r="E25" s="160">
        <f>INDEX(Data[],MATCH($A25,Data[Dist],0),MATCH(E$6,Data[#Headers],0))</f>
        <v>106074</v>
      </c>
      <c r="F25" s="160">
        <f>INDEX(Data[],MATCH($A25,Data[Dist],0),MATCH(F$6,Data[#Headers],0))</f>
        <v>106072</v>
      </c>
      <c r="G25" s="22">
        <f>INDEX(Data[],MATCH($A25,Data[Dist],0),MATCH(G$6,Data[#Headers],0))</f>
        <v>107178</v>
      </c>
      <c r="H25" s="22">
        <f>INDEX(Data[],MATCH($A25,Data[Dist],0),MATCH(H$6,Data[#Headers],0))-G25</f>
        <v>964606</v>
      </c>
      <c r="I25" s="25"/>
      <c r="J25" s="22">
        <f>INDEX(Notes!$I$2:$N$11,MATCH(Notes!$B$2,Notes!$I$2:$I$11,0),4)*$C25</f>
        <v>107178</v>
      </c>
      <c r="K25" s="22">
        <f>INDEX(Notes!$I$2:$N$11,MATCH(Notes!$B$2,Notes!$I$2:$I$11,0),5)*$D25</f>
        <v>0</v>
      </c>
      <c r="L25" s="22">
        <f>INDEX(Notes!$I$2:$N$11,MATCH(Notes!$B$2,Notes!$I$2:$I$11,0),6)*$E25</f>
        <v>0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107178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997843</v>
      </c>
      <c r="D26" s="160">
        <f>INDEX(Data[],MATCH($A26,Data[Dist],0),MATCH(D$6,Data[#Headers],0))</f>
        <v>992399</v>
      </c>
      <c r="E26" s="160">
        <f>INDEX(Data[],MATCH($A26,Data[Dist],0),MATCH(E$6,Data[#Headers],0))</f>
        <v>992399</v>
      </c>
      <c r="F26" s="160">
        <f>INDEX(Data[],MATCH($A26,Data[Dist],0),MATCH(F$6,Data[#Headers],0))</f>
        <v>992397</v>
      </c>
      <c r="G26" s="22">
        <f>INDEX(Data[],MATCH($A26,Data[Dist],0),MATCH(G$6,Data[#Headers],0))</f>
        <v>997843</v>
      </c>
      <c r="H26" s="22">
        <f>INDEX(Data[],MATCH($A26,Data[Dist],0),MATCH(H$6,Data[#Headers],0))-G26</f>
        <v>8980587</v>
      </c>
      <c r="I26" s="25"/>
      <c r="J26" s="22">
        <f>INDEX(Notes!$I$2:$N$11,MATCH(Notes!$B$2,Notes!$I$2:$I$11,0),4)*$C26</f>
        <v>997843</v>
      </c>
      <c r="K26" s="22">
        <f>INDEX(Notes!$I$2:$N$11,MATCH(Notes!$B$2,Notes!$I$2:$I$11,0),5)*$D26</f>
        <v>0</v>
      </c>
      <c r="L26" s="22">
        <f>INDEX(Notes!$I$2:$N$11,MATCH(Notes!$B$2,Notes!$I$2:$I$11,0),6)*$E26</f>
        <v>0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997843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329624</v>
      </c>
      <c r="D27" s="160">
        <f>INDEX(Data[],MATCH($A27,Data[Dist],0),MATCH(D$6,Data[#Headers],0))</f>
        <v>327551</v>
      </c>
      <c r="E27" s="160">
        <f>INDEX(Data[],MATCH($A27,Data[Dist],0),MATCH(E$6,Data[#Headers],0))</f>
        <v>327551</v>
      </c>
      <c r="F27" s="160">
        <f>INDEX(Data[],MATCH($A27,Data[Dist],0),MATCH(F$6,Data[#Headers],0))</f>
        <v>327551</v>
      </c>
      <c r="G27" s="22">
        <f>INDEX(Data[],MATCH($A27,Data[Dist],0),MATCH(G$6,Data[#Headers],0))</f>
        <v>329624</v>
      </c>
      <c r="H27" s="22">
        <f>INDEX(Data[],MATCH($A27,Data[Dist],0),MATCH(H$6,Data[#Headers],0))-G27</f>
        <v>2966620</v>
      </c>
      <c r="I27" s="25"/>
      <c r="J27" s="22">
        <f>INDEX(Notes!$I$2:$N$11,MATCH(Notes!$B$2,Notes!$I$2:$I$11,0),4)*$C27</f>
        <v>329624</v>
      </c>
      <c r="K27" s="22">
        <f>INDEX(Notes!$I$2:$N$11,MATCH(Notes!$B$2,Notes!$I$2:$I$11,0),5)*$D27</f>
        <v>0</v>
      </c>
      <c r="L27" s="22">
        <f>INDEX(Notes!$I$2:$N$11,MATCH(Notes!$B$2,Notes!$I$2:$I$11,0),6)*$E27</f>
        <v>0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329624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383983</v>
      </c>
      <c r="D28" s="160">
        <f>INDEX(Data[],MATCH($A28,Data[Dist],0),MATCH(D$6,Data[#Headers],0))</f>
        <v>380953</v>
      </c>
      <c r="E28" s="160">
        <f>INDEX(Data[],MATCH($A28,Data[Dist],0),MATCH(E$6,Data[#Headers],0))</f>
        <v>380953</v>
      </c>
      <c r="F28" s="160">
        <f>INDEX(Data[],MATCH($A28,Data[Dist],0),MATCH(F$6,Data[#Headers],0))</f>
        <v>380952</v>
      </c>
      <c r="G28" s="22">
        <f>INDEX(Data[],MATCH($A28,Data[Dist],0),MATCH(G$6,Data[#Headers],0))</f>
        <v>383983</v>
      </c>
      <c r="H28" s="22">
        <f>INDEX(Data[],MATCH($A28,Data[Dist],0),MATCH(H$6,Data[#Headers],0))-G28</f>
        <v>3455845</v>
      </c>
      <c r="I28" s="25"/>
      <c r="J28" s="22">
        <f>INDEX(Notes!$I$2:$N$11,MATCH(Notes!$B$2,Notes!$I$2:$I$11,0),4)*$C28</f>
        <v>383983</v>
      </c>
      <c r="K28" s="22">
        <f>INDEX(Notes!$I$2:$N$11,MATCH(Notes!$B$2,Notes!$I$2:$I$11,0),5)*$D28</f>
        <v>0</v>
      </c>
      <c r="L28" s="22">
        <f>INDEX(Notes!$I$2:$N$11,MATCH(Notes!$B$2,Notes!$I$2:$I$11,0),6)*$E28</f>
        <v>0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383983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1256693</v>
      </c>
      <c r="D29" s="160">
        <f>INDEX(Data[],MATCH($A29,Data[Dist],0),MATCH(D$6,Data[#Headers],0))</f>
        <v>1249963</v>
      </c>
      <c r="E29" s="160">
        <f>INDEX(Data[],MATCH($A29,Data[Dist],0),MATCH(E$6,Data[#Headers],0))</f>
        <v>1249963</v>
      </c>
      <c r="F29" s="160">
        <f>INDEX(Data[],MATCH($A29,Data[Dist],0),MATCH(F$6,Data[#Headers],0))</f>
        <v>1249963</v>
      </c>
      <c r="G29" s="22">
        <f>INDEX(Data[],MATCH($A29,Data[Dist],0),MATCH(G$6,Data[#Headers],0))</f>
        <v>1256693</v>
      </c>
      <c r="H29" s="22">
        <f>INDEX(Data[],MATCH($A29,Data[Dist],0),MATCH(H$6,Data[#Headers],0))-G29</f>
        <v>11310238</v>
      </c>
      <c r="I29" s="25"/>
      <c r="J29" s="22">
        <f>INDEX(Notes!$I$2:$N$11,MATCH(Notes!$B$2,Notes!$I$2:$I$11,0),4)*$C29</f>
        <v>1256693</v>
      </c>
      <c r="K29" s="22">
        <f>INDEX(Notes!$I$2:$N$11,MATCH(Notes!$B$2,Notes!$I$2:$I$11,0),5)*$D29</f>
        <v>0</v>
      </c>
      <c r="L29" s="22">
        <f>INDEX(Notes!$I$2:$N$11,MATCH(Notes!$B$2,Notes!$I$2:$I$11,0),6)*$E29</f>
        <v>0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1256693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263820</v>
      </c>
      <c r="D30" s="160">
        <f>INDEX(Data[],MATCH($A30,Data[Dist],0),MATCH(D$6,Data[#Headers],0))</f>
        <v>262398</v>
      </c>
      <c r="E30" s="160">
        <f>INDEX(Data[],MATCH($A30,Data[Dist],0),MATCH(E$6,Data[#Headers],0))</f>
        <v>262399</v>
      </c>
      <c r="F30" s="160">
        <f>INDEX(Data[],MATCH($A30,Data[Dist],0),MATCH(F$6,Data[#Headers],0))</f>
        <v>262397</v>
      </c>
      <c r="G30" s="22">
        <f>INDEX(Data[],MATCH($A30,Data[Dist],0),MATCH(G$6,Data[#Headers],0))</f>
        <v>263820</v>
      </c>
      <c r="H30" s="22">
        <f>INDEX(Data[],MATCH($A30,Data[Dist],0),MATCH(H$6,Data[#Headers],0))-G30</f>
        <v>2374382</v>
      </c>
      <c r="I30" s="25"/>
      <c r="J30" s="22">
        <f>INDEX(Notes!$I$2:$N$11,MATCH(Notes!$B$2,Notes!$I$2:$I$11,0),4)*$C30</f>
        <v>263820</v>
      </c>
      <c r="K30" s="22">
        <f>INDEX(Notes!$I$2:$N$11,MATCH(Notes!$B$2,Notes!$I$2:$I$11,0),5)*$D30</f>
        <v>0</v>
      </c>
      <c r="L30" s="22">
        <f>INDEX(Notes!$I$2:$N$11,MATCH(Notes!$B$2,Notes!$I$2:$I$11,0),6)*$E30</f>
        <v>0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263820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268429</v>
      </c>
      <c r="D31" s="160">
        <f>INDEX(Data[],MATCH($A31,Data[Dist],0),MATCH(D$6,Data[#Headers],0))</f>
        <v>266502</v>
      </c>
      <c r="E31" s="160">
        <f>INDEX(Data[],MATCH($A31,Data[Dist],0),MATCH(E$6,Data[#Headers],0))</f>
        <v>266502</v>
      </c>
      <c r="F31" s="160">
        <f>INDEX(Data[],MATCH($A31,Data[Dist],0),MATCH(F$6,Data[#Headers],0))</f>
        <v>266502</v>
      </c>
      <c r="G31" s="22">
        <f>INDEX(Data[],MATCH($A31,Data[Dist],0),MATCH(G$6,Data[#Headers],0))</f>
        <v>268429</v>
      </c>
      <c r="H31" s="22">
        <f>INDEX(Data[],MATCH($A31,Data[Dist],0),MATCH(H$6,Data[#Headers],0))-G31</f>
        <v>2415865</v>
      </c>
      <c r="I31" s="25"/>
      <c r="J31" s="22">
        <f>INDEX(Notes!$I$2:$N$11,MATCH(Notes!$B$2,Notes!$I$2:$I$11,0),4)*$C31</f>
        <v>268429</v>
      </c>
      <c r="K31" s="22">
        <f>INDEX(Notes!$I$2:$N$11,MATCH(Notes!$B$2,Notes!$I$2:$I$11,0),5)*$D31</f>
        <v>0</v>
      </c>
      <c r="L31" s="22">
        <f>INDEX(Notes!$I$2:$N$11,MATCH(Notes!$B$2,Notes!$I$2:$I$11,0),6)*$E31</f>
        <v>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268429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313837</v>
      </c>
      <c r="D32" s="160">
        <f>INDEX(Data[],MATCH($A32,Data[Dist],0),MATCH(D$6,Data[#Headers],0))</f>
        <v>311910</v>
      </c>
      <c r="E32" s="160">
        <f>INDEX(Data[],MATCH($A32,Data[Dist],0),MATCH(E$6,Data[#Headers],0))</f>
        <v>311910</v>
      </c>
      <c r="F32" s="160">
        <f>INDEX(Data[],MATCH($A32,Data[Dist],0),MATCH(F$6,Data[#Headers],0))</f>
        <v>311908</v>
      </c>
      <c r="G32" s="22">
        <f>INDEX(Data[],MATCH($A32,Data[Dist],0),MATCH(G$6,Data[#Headers],0))</f>
        <v>313837</v>
      </c>
      <c r="H32" s="22">
        <f>INDEX(Data[],MATCH($A32,Data[Dist],0),MATCH(H$6,Data[#Headers],0))-G32</f>
        <v>2824530</v>
      </c>
      <c r="I32" s="25"/>
      <c r="J32" s="22">
        <f>INDEX(Notes!$I$2:$N$11,MATCH(Notes!$B$2,Notes!$I$2:$I$11,0),4)*$C32</f>
        <v>313837</v>
      </c>
      <c r="K32" s="22">
        <f>INDEX(Notes!$I$2:$N$11,MATCH(Notes!$B$2,Notes!$I$2:$I$11,0),5)*$D32</f>
        <v>0</v>
      </c>
      <c r="L32" s="22">
        <f>INDEX(Notes!$I$2:$N$11,MATCH(Notes!$B$2,Notes!$I$2:$I$11,0),6)*$E32</f>
        <v>0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313837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310378</v>
      </c>
      <c r="D33" s="160">
        <f>INDEX(Data[],MATCH($A33,Data[Dist],0),MATCH(D$6,Data[#Headers],0))</f>
        <v>308512</v>
      </c>
      <c r="E33" s="160">
        <f>INDEX(Data[],MATCH($A33,Data[Dist],0),MATCH(E$6,Data[#Headers],0))</f>
        <v>308512</v>
      </c>
      <c r="F33" s="160">
        <f>INDEX(Data[],MATCH($A33,Data[Dist],0),MATCH(F$6,Data[#Headers],0))</f>
        <v>308511</v>
      </c>
      <c r="G33" s="22">
        <f>INDEX(Data[],MATCH($A33,Data[Dist],0),MATCH(G$6,Data[#Headers],0))</f>
        <v>310378</v>
      </c>
      <c r="H33" s="22">
        <f>INDEX(Data[],MATCH($A33,Data[Dist],0),MATCH(H$6,Data[#Headers],0))-G33</f>
        <v>2793400</v>
      </c>
      <c r="I33" s="25"/>
      <c r="J33" s="22">
        <f>INDEX(Notes!$I$2:$N$11,MATCH(Notes!$B$2,Notes!$I$2:$I$11,0),4)*$C33</f>
        <v>310378</v>
      </c>
      <c r="K33" s="22">
        <f>INDEX(Notes!$I$2:$N$11,MATCH(Notes!$B$2,Notes!$I$2:$I$11,0),5)*$D33</f>
        <v>0</v>
      </c>
      <c r="L33" s="22">
        <f>INDEX(Notes!$I$2:$N$11,MATCH(Notes!$B$2,Notes!$I$2:$I$11,0),6)*$E33</f>
        <v>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310378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381574</v>
      </c>
      <c r="D34" s="160">
        <f>INDEX(Data[],MATCH($A34,Data[Dist],0),MATCH(D$6,Data[#Headers],0))</f>
        <v>379107</v>
      </c>
      <c r="E34" s="160">
        <f>INDEX(Data[],MATCH($A34,Data[Dist],0),MATCH(E$6,Data[#Headers],0))</f>
        <v>379107</v>
      </c>
      <c r="F34" s="160">
        <f>INDEX(Data[],MATCH($A34,Data[Dist],0),MATCH(F$6,Data[#Headers],0))</f>
        <v>379105</v>
      </c>
      <c r="G34" s="22">
        <f>INDEX(Data[],MATCH($A34,Data[Dist],0),MATCH(G$6,Data[#Headers],0))</f>
        <v>381574</v>
      </c>
      <c r="H34" s="22">
        <f>INDEX(Data[],MATCH($A34,Data[Dist],0),MATCH(H$6,Data[#Headers],0))-G34</f>
        <v>3434163</v>
      </c>
      <c r="I34" s="25"/>
      <c r="J34" s="22">
        <f>INDEX(Notes!$I$2:$N$11,MATCH(Notes!$B$2,Notes!$I$2:$I$11,0),4)*$C34</f>
        <v>381574</v>
      </c>
      <c r="K34" s="22">
        <f>INDEX(Notes!$I$2:$N$11,MATCH(Notes!$B$2,Notes!$I$2:$I$11,0),5)*$D34</f>
        <v>0</v>
      </c>
      <c r="L34" s="22">
        <f>INDEX(Notes!$I$2:$N$11,MATCH(Notes!$B$2,Notes!$I$2:$I$11,0),6)*$E34</f>
        <v>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381574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494854</v>
      </c>
      <c r="D35" s="160">
        <f>INDEX(Data[],MATCH($A35,Data[Dist],0),MATCH(D$6,Data[#Headers],0))</f>
        <v>491861</v>
      </c>
      <c r="E35" s="160">
        <f>INDEX(Data[],MATCH($A35,Data[Dist],0),MATCH(E$6,Data[#Headers],0))</f>
        <v>491861</v>
      </c>
      <c r="F35" s="160">
        <f>INDEX(Data[],MATCH($A35,Data[Dist],0),MATCH(F$6,Data[#Headers],0))</f>
        <v>491859</v>
      </c>
      <c r="G35" s="22">
        <f>INDEX(Data[],MATCH($A35,Data[Dist],0),MATCH(G$6,Data[#Headers],0))</f>
        <v>494854</v>
      </c>
      <c r="H35" s="22">
        <f>INDEX(Data[],MATCH($A35,Data[Dist],0),MATCH(H$6,Data[#Headers],0))-G35</f>
        <v>4453684</v>
      </c>
      <c r="I35" s="25"/>
      <c r="J35" s="22">
        <f>INDEX(Notes!$I$2:$N$11,MATCH(Notes!$B$2,Notes!$I$2:$I$11,0),4)*$C35</f>
        <v>494854</v>
      </c>
      <c r="K35" s="22">
        <f>INDEX(Notes!$I$2:$N$11,MATCH(Notes!$B$2,Notes!$I$2:$I$11,0),5)*$D35</f>
        <v>0</v>
      </c>
      <c r="L35" s="22">
        <f>INDEX(Notes!$I$2:$N$11,MATCH(Notes!$B$2,Notes!$I$2:$I$11,0),6)*$E35</f>
        <v>0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494854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106228</v>
      </c>
      <c r="D36" s="160">
        <f>INDEX(Data[],MATCH($A36,Data[Dist],0),MATCH(D$6,Data[#Headers],0))</f>
        <v>105496</v>
      </c>
      <c r="E36" s="160">
        <f>INDEX(Data[],MATCH($A36,Data[Dist],0),MATCH(E$6,Data[#Headers],0))</f>
        <v>105496</v>
      </c>
      <c r="F36" s="160">
        <f>INDEX(Data[],MATCH($A36,Data[Dist],0),MATCH(F$6,Data[#Headers],0))</f>
        <v>105494</v>
      </c>
      <c r="G36" s="22">
        <f>INDEX(Data[],MATCH($A36,Data[Dist],0),MATCH(G$6,Data[#Headers],0))</f>
        <v>106228</v>
      </c>
      <c r="H36" s="22">
        <f>INDEX(Data[],MATCH($A36,Data[Dist],0),MATCH(H$6,Data[#Headers],0))-G36</f>
        <v>956055</v>
      </c>
      <c r="I36" s="25"/>
      <c r="J36" s="22">
        <f>INDEX(Notes!$I$2:$N$11,MATCH(Notes!$B$2,Notes!$I$2:$I$11,0),4)*$C36</f>
        <v>106228</v>
      </c>
      <c r="K36" s="22">
        <f>INDEX(Notes!$I$2:$N$11,MATCH(Notes!$B$2,Notes!$I$2:$I$11,0),5)*$D36</f>
        <v>0</v>
      </c>
      <c r="L36" s="22">
        <f>INDEX(Notes!$I$2:$N$11,MATCH(Notes!$B$2,Notes!$I$2:$I$11,0),6)*$E36</f>
        <v>0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106228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913557</v>
      </c>
      <c r="D37" s="160">
        <f>INDEX(Data[],MATCH($A37,Data[Dist],0),MATCH(D$6,Data[#Headers],0))</f>
        <v>907576</v>
      </c>
      <c r="E37" s="160">
        <f>INDEX(Data[],MATCH($A37,Data[Dist],0),MATCH(E$6,Data[#Headers],0))</f>
        <v>907576</v>
      </c>
      <c r="F37" s="160">
        <f>INDEX(Data[],MATCH($A37,Data[Dist],0),MATCH(F$6,Data[#Headers],0))</f>
        <v>907576</v>
      </c>
      <c r="G37" s="22">
        <f>INDEX(Data[],MATCH($A37,Data[Dist],0),MATCH(G$6,Data[#Headers],0))</f>
        <v>913557</v>
      </c>
      <c r="H37" s="22">
        <f>INDEX(Data[],MATCH($A37,Data[Dist],0),MATCH(H$6,Data[#Headers],0))-G37</f>
        <v>8222011</v>
      </c>
      <c r="I37" s="25"/>
      <c r="J37" s="22">
        <f>INDEX(Notes!$I$2:$N$11,MATCH(Notes!$B$2,Notes!$I$2:$I$11,0),4)*$C37</f>
        <v>913557</v>
      </c>
      <c r="K37" s="22">
        <f>INDEX(Notes!$I$2:$N$11,MATCH(Notes!$B$2,Notes!$I$2:$I$11,0),5)*$D37</f>
        <v>0</v>
      </c>
      <c r="L37" s="22">
        <f>INDEX(Notes!$I$2:$N$11,MATCH(Notes!$B$2,Notes!$I$2:$I$11,0),6)*$E37</f>
        <v>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913557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2658363</v>
      </c>
      <c r="D38" s="160">
        <f>INDEX(Data[],MATCH($A38,Data[Dist],0),MATCH(D$6,Data[#Headers],0))</f>
        <v>2642352</v>
      </c>
      <c r="E38" s="160">
        <f>INDEX(Data[],MATCH($A38,Data[Dist],0),MATCH(E$6,Data[#Headers],0))</f>
        <v>2642351</v>
      </c>
      <c r="F38" s="160">
        <f>INDEX(Data[],MATCH($A38,Data[Dist],0),MATCH(F$6,Data[#Headers],0))</f>
        <v>2642352</v>
      </c>
      <c r="G38" s="22">
        <f>INDEX(Data[],MATCH($A38,Data[Dist],0),MATCH(G$6,Data[#Headers],0))</f>
        <v>2658363</v>
      </c>
      <c r="H38" s="22">
        <f>INDEX(Data[],MATCH($A38,Data[Dist],0),MATCH(H$6,Data[#Headers],0))-G38</f>
        <v>23925264</v>
      </c>
      <c r="I38" s="25"/>
      <c r="J38" s="22">
        <f>INDEX(Notes!$I$2:$N$11,MATCH(Notes!$B$2,Notes!$I$2:$I$11,0),4)*$C38</f>
        <v>2658363</v>
      </c>
      <c r="K38" s="22">
        <f>INDEX(Notes!$I$2:$N$11,MATCH(Notes!$B$2,Notes!$I$2:$I$11,0),5)*$D38</f>
        <v>0</v>
      </c>
      <c r="L38" s="22">
        <f>INDEX(Notes!$I$2:$N$11,MATCH(Notes!$B$2,Notes!$I$2:$I$11,0),6)*$E38</f>
        <v>0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2658363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475448</v>
      </c>
      <c r="D39" s="160">
        <f>INDEX(Data[],MATCH($A39,Data[Dist],0),MATCH(D$6,Data[#Headers],0))</f>
        <v>472024</v>
      </c>
      <c r="E39" s="160">
        <f>INDEX(Data[],MATCH($A39,Data[Dist],0),MATCH(E$6,Data[#Headers],0))</f>
        <v>472024</v>
      </c>
      <c r="F39" s="160">
        <f>INDEX(Data[],MATCH($A39,Data[Dist],0),MATCH(F$6,Data[#Headers],0))</f>
        <v>472025</v>
      </c>
      <c r="G39" s="22">
        <f>INDEX(Data[],MATCH($A39,Data[Dist],0),MATCH(G$6,Data[#Headers],0))</f>
        <v>475448</v>
      </c>
      <c r="H39" s="22">
        <f>INDEX(Data[],MATCH($A39,Data[Dist],0),MATCH(H$6,Data[#Headers],0))-G39</f>
        <v>4279029</v>
      </c>
      <c r="I39" s="25"/>
      <c r="J39" s="22">
        <f>INDEX(Notes!$I$2:$N$11,MATCH(Notes!$B$2,Notes!$I$2:$I$11,0),4)*$C39</f>
        <v>475448</v>
      </c>
      <c r="K39" s="22">
        <f>INDEX(Notes!$I$2:$N$11,MATCH(Notes!$B$2,Notes!$I$2:$I$11,0),5)*$D39</f>
        <v>0</v>
      </c>
      <c r="L39" s="22">
        <f>INDEX(Notes!$I$2:$N$11,MATCH(Notes!$B$2,Notes!$I$2:$I$11,0),6)*$E39</f>
        <v>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475448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1751883</v>
      </c>
      <c r="D40" s="160">
        <f>INDEX(Data[],MATCH($A40,Data[Dist],0),MATCH(D$6,Data[#Headers],0))</f>
        <v>1742287</v>
      </c>
      <c r="E40" s="160">
        <f>INDEX(Data[],MATCH($A40,Data[Dist],0),MATCH(E$6,Data[#Headers],0))</f>
        <v>1742287</v>
      </c>
      <c r="F40" s="160">
        <f>INDEX(Data[],MATCH($A40,Data[Dist],0),MATCH(F$6,Data[#Headers],0))</f>
        <v>1742288</v>
      </c>
      <c r="G40" s="22">
        <f>INDEX(Data[],MATCH($A40,Data[Dist],0),MATCH(G$6,Data[#Headers],0))</f>
        <v>1751883</v>
      </c>
      <c r="H40" s="22">
        <f>INDEX(Data[],MATCH($A40,Data[Dist],0),MATCH(H$6,Data[#Headers],0))-G40</f>
        <v>15766943</v>
      </c>
      <c r="I40" s="25"/>
      <c r="J40" s="22">
        <f>INDEX(Notes!$I$2:$N$11,MATCH(Notes!$B$2,Notes!$I$2:$I$11,0),4)*$C40</f>
        <v>1751883</v>
      </c>
      <c r="K40" s="22">
        <f>INDEX(Notes!$I$2:$N$11,MATCH(Notes!$B$2,Notes!$I$2:$I$11,0),5)*$D40</f>
        <v>0</v>
      </c>
      <c r="L40" s="22">
        <f>INDEX(Notes!$I$2:$N$11,MATCH(Notes!$B$2,Notes!$I$2:$I$11,0),6)*$E40</f>
        <v>0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1751883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1542635</v>
      </c>
      <c r="D41" s="160">
        <f>INDEX(Data[],MATCH($A41,Data[Dist],0),MATCH(D$6,Data[#Headers],0))</f>
        <v>1534637</v>
      </c>
      <c r="E41" s="160">
        <f>INDEX(Data[],MATCH($A41,Data[Dist],0),MATCH(E$6,Data[#Headers],0))</f>
        <v>1534636</v>
      </c>
      <c r="F41" s="160">
        <f>INDEX(Data[],MATCH($A41,Data[Dist],0),MATCH(F$6,Data[#Headers],0))</f>
        <v>1534637</v>
      </c>
      <c r="G41" s="22">
        <f>INDEX(Data[],MATCH($A41,Data[Dist],0),MATCH(G$6,Data[#Headers],0))</f>
        <v>1542635</v>
      </c>
      <c r="H41" s="22">
        <f>INDEX(Data[],MATCH($A41,Data[Dist],0),MATCH(H$6,Data[#Headers],0))-G41</f>
        <v>13883711</v>
      </c>
      <c r="I41" s="25"/>
      <c r="J41" s="22">
        <f>INDEX(Notes!$I$2:$N$11,MATCH(Notes!$B$2,Notes!$I$2:$I$11,0),4)*$C41</f>
        <v>1542635</v>
      </c>
      <c r="K41" s="22">
        <f>INDEX(Notes!$I$2:$N$11,MATCH(Notes!$B$2,Notes!$I$2:$I$11,0),5)*$D41</f>
        <v>0</v>
      </c>
      <c r="L41" s="22">
        <f>INDEX(Notes!$I$2:$N$11,MATCH(Notes!$B$2,Notes!$I$2:$I$11,0),6)*$E41</f>
        <v>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1542635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388840</v>
      </c>
      <c r="D42" s="160">
        <f>INDEX(Data[],MATCH($A42,Data[Dist],0),MATCH(D$6,Data[#Headers],0))</f>
        <v>386575</v>
      </c>
      <c r="E42" s="160">
        <f>INDEX(Data[],MATCH($A42,Data[Dist],0),MATCH(E$6,Data[#Headers],0))</f>
        <v>386575</v>
      </c>
      <c r="F42" s="160">
        <f>INDEX(Data[],MATCH($A42,Data[Dist],0),MATCH(F$6,Data[#Headers],0))</f>
        <v>386573</v>
      </c>
      <c r="G42" s="22">
        <f>INDEX(Data[],MATCH($A42,Data[Dist],0),MATCH(G$6,Data[#Headers],0))</f>
        <v>388840</v>
      </c>
      <c r="H42" s="22">
        <f>INDEX(Data[],MATCH($A42,Data[Dist],0),MATCH(H$6,Data[#Headers],0))-G42</f>
        <v>3499560</v>
      </c>
      <c r="I42" s="25"/>
      <c r="J42" s="22">
        <f>INDEX(Notes!$I$2:$N$11,MATCH(Notes!$B$2,Notes!$I$2:$I$11,0),4)*$C42</f>
        <v>388840</v>
      </c>
      <c r="K42" s="22">
        <f>INDEX(Notes!$I$2:$N$11,MATCH(Notes!$B$2,Notes!$I$2:$I$11,0),5)*$D42</f>
        <v>0</v>
      </c>
      <c r="L42" s="22">
        <f>INDEX(Notes!$I$2:$N$11,MATCH(Notes!$B$2,Notes!$I$2:$I$11,0),6)*$E42</f>
        <v>0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388840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322647</v>
      </c>
      <c r="D43" s="160">
        <f>INDEX(Data[],MATCH($A43,Data[Dist],0),MATCH(D$6,Data[#Headers],0))</f>
        <v>320416</v>
      </c>
      <c r="E43" s="160">
        <f>INDEX(Data[],MATCH($A43,Data[Dist],0),MATCH(E$6,Data[#Headers],0))</f>
        <v>320416</v>
      </c>
      <c r="F43" s="160">
        <f>INDEX(Data[],MATCH($A43,Data[Dist],0),MATCH(F$6,Data[#Headers],0))</f>
        <v>320414</v>
      </c>
      <c r="G43" s="22">
        <f>INDEX(Data[],MATCH($A43,Data[Dist],0),MATCH(G$6,Data[#Headers],0))</f>
        <v>322647</v>
      </c>
      <c r="H43" s="22">
        <f>INDEX(Data[],MATCH($A43,Data[Dist],0),MATCH(H$6,Data[#Headers],0))-G43</f>
        <v>2903822</v>
      </c>
      <c r="I43" s="25"/>
      <c r="J43" s="22">
        <f>INDEX(Notes!$I$2:$N$11,MATCH(Notes!$B$2,Notes!$I$2:$I$11,0),4)*$C43</f>
        <v>322647</v>
      </c>
      <c r="K43" s="22">
        <f>INDEX(Notes!$I$2:$N$11,MATCH(Notes!$B$2,Notes!$I$2:$I$11,0),5)*$D43</f>
        <v>0</v>
      </c>
      <c r="L43" s="22">
        <f>INDEX(Notes!$I$2:$N$11,MATCH(Notes!$B$2,Notes!$I$2:$I$11,0),6)*$E43</f>
        <v>0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322647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326198</v>
      </c>
      <c r="D44" s="160">
        <f>INDEX(Data[],MATCH($A44,Data[Dist],0),MATCH(D$6,Data[#Headers],0))</f>
        <v>324092</v>
      </c>
      <c r="E44" s="160">
        <f>INDEX(Data[],MATCH($A44,Data[Dist],0),MATCH(E$6,Data[#Headers],0))</f>
        <v>324092</v>
      </c>
      <c r="F44" s="160">
        <f>INDEX(Data[],MATCH($A44,Data[Dist],0),MATCH(F$6,Data[#Headers],0))</f>
        <v>324093</v>
      </c>
      <c r="G44" s="22">
        <f>INDEX(Data[],MATCH($A44,Data[Dist],0),MATCH(G$6,Data[#Headers],0))</f>
        <v>326198</v>
      </c>
      <c r="H44" s="22">
        <f>INDEX(Data[],MATCH($A44,Data[Dist],0),MATCH(H$6,Data[#Headers],0))-G44</f>
        <v>2935779</v>
      </c>
      <c r="I44" s="25"/>
      <c r="J44" s="22">
        <f>INDEX(Notes!$I$2:$N$11,MATCH(Notes!$B$2,Notes!$I$2:$I$11,0),4)*$C44</f>
        <v>326198</v>
      </c>
      <c r="K44" s="22">
        <f>INDEX(Notes!$I$2:$N$11,MATCH(Notes!$B$2,Notes!$I$2:$I$11,0),5)*$D44</f>
        <v>0</v>
      </c>
      <c r="L44" s="22">
        <f>INDEX(Notes!$I$2:$N$11,MATCH(Notes!$B$2,Notes!$I$2:$I$11,0),6)*$E44</f>
        <v>0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326198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214915</v>
      </c>
      <c r="D45" s="160">
        <f>INDEX(Data[],MATCH($A45,Data[Dist],0),MATCH(D$6,Data[#Headers],0))</f>
        <v>213158</v>
      </c>
      <c r="E45" s="160">
        <f>INDEX(Data[],MATCH($A45,Data[Dist],0),MATCH(E$6,Data[#Headers],0))</f>
        <v>213157</v>
      </c>
      <c r="F45" s="160">
        <f>INDEX(Data[],MATCH($A45,Data[Dist],0),MATCH(F$6,Data[#Headers],0))</f>
        <v>213158</v>
      </c>
      <c r="G45" s="22">
        <f>INDEX(Data[],MATCH($A45,Data[Dist],0),MATCH(G$6,Data[#Headers],0))</f>
        <v>214915</v>
      </c>
      <c r="H45" s="22">
        <f>INDEX(Data[],MATCH($A45,Data[Dist],0),MATCH(H$6,Data[#Headers],0))-G45</f>
        <v>1934232</v>
      </c>
      <c r="I45" s="25"/>
      <c r="J45" s="22">
        <f>INDEX(Notes!$I$2:$N$11,MATCH(Notes!$B$2,Notes!$I$2:$I$11,0),4)*$C45</f>
        <v>214915</v>
      </c>
      <c r="K45" s="22">
        <f>INDEX(Notes!$I$2:$N$11,MATCH(Notes!$B$2,Notes!$I$2:$I$11,0),5)*$D45</f>
        <v>0</v>
      </c>
      <c r="L45" s="22">
        <f>INDEX(Notes!$I$2:$N$11,MATCH(Notes!$B$2,Notes!$I$2:$I$11,0),6)*$E45</f>
        <v>0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214915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3175813</v>
      </c>
      <c r="D46" s="160">
        <f>INDEX(Data[],MATCH($A46,Data[Dist],0),MATCH(D$6,Data[#Headers],0))</f>
        <v>3160307</v>
      </c>
      <c r="E46" s="160">
        <f>INDEX(Data[],MATCH($A46,Data[Dist],0),MATCH(E$6,Data[#Headers],0))</f>
        <v>3160307</v>
      </c>
      <c r="F46" s="160">
        <f>INDEX(Data[],MATCH($A46,Data[Dist],0),MATCH(F$6,Data[#Headers],0))</f>
        <v>3160305</v>
      </c>
      <c r="G46" s="22">
        <f>INDEX(Data[],MATCH($A46,Data[Dist],0),MATCH(G$6,Data[#Headers],0))</f>
        <v>3175813</v>
      </c>
      <c r="H46" s="22">
        <f>INDEX(Data[],MATCH($A46,Data[Dist],0),MATCH(H$6,Data[#Headers],0))-G46</f>
        <v>28582317</v>
      </c>
      <c r="I46" s="25"/>
      <c r="J46" s="22">
        <f>INDEX(Notes!$I$2:$N$11,MATCH(Notes!$B$2,Notes!$I$2:$I$11,0),4)*$C46</f>
        <v>3175813</v>
      </c>
      <c r="K46" s="22">
        <f>INDEX(Notes!$I$2:$N$11,MATCH(Notes!$B$2,Notes!$I$2:$I$11,0),5)*$D46</f>
        <v>0</v>
      </c>
      <c r="L46" s="22">
        <f>INDEX(Notes!$I$2:$N$11,MATCH(Notes!$B$2,Notes!$I$2:$I$11,0),6)*$E46</f>
        <v>0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3175813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168816</v>
      </c>
      <c r="D47" s="160">
        <f>INDEX(Data[],MATCH($A47,Data[Dist],0),MATCH(D$6,Data[#Headers],0))</f>
        <v>166970</v>
      </c>
      <c r="E47" s="160">
        <f>INDEX(Data[],MATCH($A47,Data[Dist],0),MATCH(E$6,Data[#Headers],0))</f>
        <v>166970</v>
      </c>
      <c r="F47" s="160">
        <f>INDEX(Data[],MATCH($A47,Data[Dist],0),MATCH(F$6,Data[#Headers],0))</f>
        <v>166970</v>
      </c>
      <c r="G47" s="22">
        <f>INDEX(Data[],MATCH($A47,Data[Dist],0),MATCH(G$6,Data[#Headers],0))</f>
        <v>168816</v>
      </c>
      <c r="H47" s="22">
        <f>INDEX(Data[],MATCH($A47,Data[Dist],0),MATCH(H$6,Data[#Headers],0))-G47</f>
        <v>1519344</v>
      </c>
      <c r="I47" s="25"/>
      <c r="J47" s="22">
        <f>INDEX(Notes!$I$2:$N$11,MATCH(Notes!$B$2,Notes!$I$2:$I$11,0),4)*$C47</f>
        <v>168816</v>
      </c>
      <c r="K47" s="22">
        <f>INDEX(Notes!$I$2:$N$11,MATCH(Notes!$B$2,Notes!$I$2:$I$11,0),5)*$D47</f>
        <v>0</v>
      </c>
      <c r="L47" s="22">
        <f>INDEX(Notes!$I$2:$N$11,MATCH(Notes!$B$2,Notes!$I$2:$I$11,0),6)*$E47</f>
        <v>0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168816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178030</v>
      </c>
      <c r="D48" s="160">
        <f>INDEX(Data[],MATCH($A48,Data[Dist],0),MATCH(D$6,Data[#Headers],0))</f>
        <v>176963</v>
      </c>
      <c r="E48" s="160">
        <f>INDEX(Data[],MATCH($A48,Data[Dist],0),MATCH(E$6,Data[#Headers],0))</f>
        <v>176962</v>
      </c>
      <c r="F48" s="160">
        <f>INDEX(Data[],MATCH($A48,Data[Dist],0),MATCH(F$6,Data[#Headers],0))</f>
        <v>176963</v>
      </c>
      <c r="G48" s="22">
        <f>INDEX(Data[],MATCH($A48,Data[Dist],0),MATCH(G$6,Data[#Headers],0))</f>
        <v>178030</v>
      </c>
      <c r="H48" s="22">
        <f>INDEX(Data[],MATCH($A48,Data[Dist],0),MATCH(H$6,Data[#Headers],0))-G48</f>
        <v>1602269</v>
      </c>
      <c r="I48" s="25"/>
      <c r="J48" s="22">
        <f>INDEX(Notes!$I$2:$N$11,MATCH(Notes!$B$2,Notes!$I$2:$I$11,0),4)*$C48</f>
        <v>178030</v>
      </c>
      <c r="K48" s="22">
        <f>INDEX(Notes!$I$2:$N$11,MATCH(Notes!$B$2,Notes!$I$2:$I$11,0),5)*$D48</f>
        <v>0</v>
      </c>
      <c r="L48" s="22">
        <f>INDEX(Notes!$I$2:$N$11,MATCH(Notes!$B$2,Notes!$I$2:$I$11,0),6)*$E48</f>
        <v>0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178030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249397</v>
      </c>
      <c r="D49" s="160">
        <f>INDEX(Data[],MATCH($A49,Data[Dist],0),MATCH(D$6,Data[#Headers],0))</f>
        <v>247875</v>
      </c>
      <c r="E49" s="160">
        <f>INDEX(Data[],MATCH($A49,Data[Dist],0),MATCH(E$6,Data[#Headers],0))</f>
        <v>247875</v>
      </c>
      <c r="F49" s="160">
        <f>INDEX(Data[],MATCH($A49,Data[Dist],0),MATCH(F$6,Data[#Headers],0))</f>
        <v>247876</v>
      </c>
      <c r="G49" s="22">
        <f>INDEX(Data[],MATCH($A49,Data[Dist],0),MATCH(G$6,Data[#Headers],0))</f>
        <v>249397</v>
      </c>
      <c r="H49" s="22">
        <f>INDEX(Data[],MATCH($A49,Data[Dist],0),MATCH(H$6,Data[#Headers],0))-G49</f>
        <v>2244570</v>
      </c>
      <c r="I49" s="25"/>
      <c r="J49" s="22">
        <f>INDEX(Notes!$I$2:$N$11,MATCH(Notes!$B$2,Notes!$I$2:$I$11,0),4)*$C49</f>
        <v>249397</v>
      </c>
      <c r="K49" s="22">
        <f>INDEX(Notes!$I$2:$N$11,MATCH(Notes!$B$2,Notes!$I$2:$I$11,0),5)*$D49</f>
        <v>0</v>
      </c>
      <c r="L49" s="22">
        <f>INDEX(Notes!$I$2:$N$11,MATCH(Notes!$B$2,Notes!$I$2:$I$11,0),6)*$E49</f>
        <v>0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249397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547224</v>
      </c>
      <c r="D50" s="160">
        <f>INDEX(Data[],MATCH($A50,Data[Dist],0),MATCH(D$6,Data[#Headers],0))</f>
        <v>543878</v>
      </c>
      <c r="E50" s="160">
        <f>INDEX(Data[],MATCH($A50,Data[Dist],0),MATCH(E$6,Data[#Headers],0))</f>
        <v>543879</v>
      </c>
      <c r="F50" s="160">
        <f>INDEX(Data[],MATCH($A50,Data[Dist],0),MATCH(F$6,Data[#Headers],0))</f>
        <v>543877</v>
      </c>
      <c r="G50" s="22">
        <f>INDEX(Data[],MATCH($A50,Data[Dist],0),MATCH(G$6,Data[#Headers],0))</f>
        <v>547224</v>
      </c>
      <c r="H50" s="22">
        <f>INDEX(Data[],MATCH($A50,Data[Dist],0),MATCH(H$6,Data[#Headers],0))-G50</f>
        <v>4925016</v>
      </c>
      <c r="I50" s="25"/>
      <c r="J50" s="22">
        <f>INDEX(Notes!$I$2:$N$11,MATCH(Notes!$B$2,Notes!$I$2:$I$11,0),4)*$C50</f>
        <v>547224</v>
      </c>
      <c r="K50" s="22">
        <f>INDEX(Notes!$I$2:$N$11,MATCH(Notes!$B$2,Notes!$I$2:$I$11,0),5)*$D50</f>
        <v>0</v>
      </c>
      <c r="L50" s="22">
        <f>INDEX(Notes!$I$2:$N$11,MATCH(Notes!$B$2,Notes!$I$2:$I$11,0),6)*$E50</f>
        <v>0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547224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463768</v>
      </c>
      <c r="D51" s="160">
        <f>INDEX(Data[],MATCH($A51,Data[Dist],0),MATCH(D$6,Data[#Headers],0))</f>
        <v>461468</v>
      </c>
      <c r="E51" s="160">
        <f>INDEX(Data[],MATCH($A51,Data[Dist],0),MATCH(E$6,Data[#Headers],0))</f>
        <v>461468</v>
      </c>
      <c r="F51" s="160">
        <f>INDEX(Data[],MATCH($A51,Data[Dist],0),MATCH(F$6,Data[#Headers],0))</f>
        <v>461467</v>
      </c>
      <c r="G51" s="22">
        <f>INDEX(Data[],MATCH($A51,Data[Dist],0),MATCH(G$6,Data[#Headers],0))</f>
        <v>463768</v>
      </c>
      <c r="H51" s="22">
        <f>INDEX(Data[],MATCH($A51,Data[Dist],0),MATCH(H$6,Data[#Headers],0))-G51</f>
        <v>4173914</v>
      </c>
      <c r="I51" s="25"/>
      <c r="J51" s="22">
        <f>INDEX(Notes!$I$2:$N$11,MATCH(Notes!$B$2,Notes!$I$2:$I$11,0),4)*$C51</f>
        <v>463768</v>
      </c>
      <c r="K51" s="22">
        <f>INDEX(Notes!$I$2:$N$11,MATCH(Notes!$B$2,Notes!$I$2:$I$11,0),5)*$D51</f>
        <v>0</v>
      </c>
      <c r="L51" s="22">
        <f>INDEX(Notes!$I$2:$N$11,MATCH(Notes!$B$2,Notes!$I$2:$I$11,0),6)*$E51</f>
        <v>0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463768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1554919</v>
      </c>
      <c r="D52" s="160">
        <f>INDEX(Data[],MATCH($A52,Data[Dist],0),MATCH(D$6,Data[#Headers],0))</f>
        <v>1547087</v>
      </c>
      <c r="E52" s="160">
        <f>INDEX(Data[],MATCH($A52,Data[Dist],0),MATCH(E$6,Data[#Headers],0))</f>
        <v>1547087</v>
      </c>
      <c r="F52" s="160">
        <f>INDEX(Data[],MATCH($A52,Data[Dist],0),MATCH(F$6,Data[#Headers],0))</f>
        <v>1547087</v>
      </c>
      <c r="G52" s="22">
        <f>INDEX(Data[],MATCH($A52,Data[Dist],0),MATCH(G$6,Data[#Headers],0))</f>
        <v>1554919</v>
      </c>
      <c r="H52" s="22">
        <f>INDEX(Data[],MATCH($A52,Data[Dist],0),MATCH(H$6,Data[#Headers],0))-G52</f>
        <v>13994268</v>
      </c>
      <c r="I52" s="25"/>
      <c r="J52" s="22">
        <f>INDEX(Notes!$I$2:$N$11,MATCH(Notes!$B$2,Notes!$I$2:$I$11,0),4)*$C52</f>
        <v>1554919</v>
      </c>
      <c r="K52" s="22">
        <f>INDEX(Notes!$I$2:$N$11,MATCH(Notes!$B$2,Notes!$I$2:$I$11,0),5)*$D52</f>
        <v>0</v>
      </c>
      <c r="L52" s="22">
        <f>INDEX(Notes!$I$2:$N$11,MATCH(Notes!$B$2,Notes!$I$2:$I$11,0),6)*$E52</f>
        <v>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1554919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960047</v>
      </c>
      <c r="D53" s="160">
        <f>INDEX(Data[],MATCH($A53,Data[Dist],0),MATCH(D$6,Data[#Headers],0))</f>
        <v>953432</v>
      </c>
      <c r="E53" s="160">
        <f>INDEX(Data[],MATCH($A53,Data[Dist],0),MATCH(E$6,Data[#Headers],0))</f>
        <v>953433</v>
      </c>
      <c r="F53" s="160">
        <f>INDEX(Data[],MATCH($A53,Data[Dist],0),MATCH(F$6,Data[#Headers],0))</f>
        <v>953431</v>
      </c>
      <c r="G53" s="22">
        <f>INDEX(Data[],MATCH($A53,Data[Dist],0),MATCH(G$6,Data[#Headers],0))</f>
        <v>960047</v>
      </c>
      <c r="H53" s="22">
        <f>INDEX(Data[],MATCH($A53,Data[Dist],0),MATCH(H$6,Data[#Headers],0))-G53</f>
        <v>8640418</v>
      </c>
      <c r="I53" s="25"/>
      <c r="J53" s="22">
        <f>INDEX(Notes!$I$2:$N$11,MATCH(Notes!$B$2,Notes!$I$2:$I$11,0),4)*$C53</f>
        <v>960047</v>
      </c>
      <c r="K53" s="22">
        <f>INDEX(Notes!$I$2:$N$11,MATCH(Notes!$B$2,Notes!$I$2:$I$11,0),5)*$D53</f>
        <v>0</v>
      </c>
      <c r="L53" s="22">
        <f>INDEX(Notes!$I$2:$N$11,MATCH(Notes!$B$2,Notes!$I$2:$I$11,0),6)*$E53</f>
        <v>0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960047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3757760</v>
      </c>
      <c r="D54" s="160">
        <f>INDEX(Data[],MATCH($A54,Data[Dist],0),MATCH(D$6,Data[#Headers],0))</f>
        <v>3735726</v>
      </c>
      <c r="E54" s="160">
        <f>INDEX(Data[],MATCH($A54,Data[Dist],0),MATCH(E$6,Data[#Headers],0))</f>
        <v>3735726</v>
      </c>
      <c r="F54" s="160">
        <f>INDEX(Data[],MATCH($A54,Data[Dist],0),MATCH(F$6,Data[#Headers],0))</f>
        <v>3735724</v>
      </c>
      <c r="G54" s="22">
        <f>INDEX(Data[],MATCH($A54,Data[Dist],0),MATCH(G$6,Data[#Headers],0))</f>
        <v>3757760</v>
      </c>
      <c r="H54" s="22">
        <f>INDEX(Data[],MATCH($A54,Data[Dist],0),MATCH(H$6,Data[#Headers],0))-G54</f>
        <v>33819841</v>
      </c>
      <c r="I54" s="25"/>
      <c r="J54" s="22">
        <f>INDEX(Notes!$I$2:$N$11,MATCH(Notes!$B$2,Notes!$I$2:$I$11,0),4)*$C54</f>
        <v>3757760</v>
      </c>
      <c r="K54" s="22">
        <f>INDEX(Notes!$I$2:$N$11,MATCH(Notes!$B$2,Notes!$I$2:$I$11,0),5)*$D54</f>
        <v>0</v>
      </c>
      <c r="L54" s="22">
        <f>INDEX(Notes!$I$2:$N$11,MATCH(Notes!$B$2,Notes!$I$2:$I$11,0),6)*$E54</f>
        <v>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3757760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11330332</v>
      </c>
      <c r="D55" s="160">
        <f>INDEX(Data[],MATCH($A55,Data[Dist],0),MATCH(D$6,Data[#Headers],0))</f>
        <v>11266648</v>
      </c>
      <c r="E55" s="160">
        <f>INDEX(Data[],MATCH($A55,Data[Dist],0),MATCH(E$6,Data[#Headers],0))</f>
        <v>11266648</v>
      </c>
      <c r="F55" s="160">
        <f>INDEX(Data[],MATCH($A55,Data[Dist],0),MATCH(F$6,Data[#Headers],0))</f>
        <v>11266647</v>
      </c>
      <c r="G55" s="22">
        <f>INDEX(Data[],MATCH($A55,Data[Dist],0),MATCH(G$6,Data[#Headers],0))</f>
        <v>11330332</v>
      </c>
      <c r="H55" s="22">
        <f>INDEX(Data[],MATCH($A55,Data[Dist],0),MATCH(H$6,Data[#Headers],0))-G55</f>
        <v>101972987</v>
      </c>
      <c r="I55" s="25"/>
      <c r="J55" s="22">
        <f>INDEX(Notes!$I$2:$N$11,MATCH(Notes!$B$2,Notes!$I$2:$I$11,0),4)*$C55</f>
        <v>11330332</v>
      </c>
      <c r="K55" s="22">
        <f>INDEX(Notes!$I$2:$N$11,MATCH(Notes!$B$2,Notes!$I$2:$I$11,0),5)*$D55</f>
        <v>0</v>
      </c>
      <c r="L55" s="22">
        <f>INDEX(Notes!$I$2:$N$11,MATCH(Notes!$B$2,Notes!$I$2:$I$11,0),6)*$E55</f>
        <v>0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11330332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933030</v>
      </c>
      <c r="D56" s="160">
        <f>INDEX(Data[],MATCH($A56,Data[Dist],0),MATCH(D$6,Data[#Headers],0))</f>
        <v>928061</v>
      </c>
      <c r="E56" s="160">
        <f>INDEX(Data[],MATCH($A56,Data[Dist],0),MATCH(E$6,Data[#Headers],0))</f>
        <v>928062</v>
      </c>
      <c r="F56" s="160">
        <f>INDEX(Data[],MATCH($A56,Data[Dist],0),MATCH(F$6,Data[#Headers],0))</f>
        <v>928060</v>
      </c>
      <c r="G56" s="22">
        <f>INDEX(Data[],MATCH($A56,Data[Dist],0),MATCH(G$6,Data[#Headers],0))</f>
        <v>933030</v>
      </c>
      <c r="H56" s="22">
        <f>INDEX(Data[],MATCH($A56,Data[Dist],0),MATCH(H$6,Data[#Headers],0))-G56</f>
        <v>8397266</v>
      </c>
      <c r="I56" s="25"/>
      <c r="J56" s="22">
        <f>INDEX(Notes!$I$2:$N$11,MATCH(Notes!$B$2,Notes!$I$2:$I$11,0),4)*$C56</f>
        <v>933030</v>
      </c>
      <c r="K56" s="22">
        <f>INDEX(Notes!$I$2:$N$11,MATCH(Notes!$B$2,Notes!$I$2:$I$11,0),5)*$D56</f>
        <v>0</v>
      </c>
      <c r="L56" s="22">
        <f>INDEX(Notes!$I$2:$N$11,MATCH(Notes!$B$2,Notes!$I$2:$I$11,0),6)*$E56</f>
        <v>0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933030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1052458</v>
      </c>
      <c r="D57" s="160">
        <f>INDEX(Data[],MATCH($A57,Data[Dist],0),MATCH(D$6,Data[#Headers],0))</f>
        <v>1047211</v>
      </c>
      <c r="E57" s="160">
        <f>INDEX(Data[],MATCH($A57,Data[Dist],0),MATCH(E$6,Data[#Headers],0))</f>
        <v>1047210</v>
      </c>
      <c r="F57" s="160">
        <f>INDEX(Data[],MATCH($A57,Data[Dist],0),MATCH(F$6,Data[#Headers],0))</f>
        <v>1047211</v>
      </c>
      <c r="G57" s="22">
        <f>INDEX(Data[],MATCH($A57,Data[Dist],0),MATCH(G$6,Data[#Headers],0))</f>
        <v>1052458</v>
      </c>
      <c r="H57" s="22">
        <f>INDEX(Data[],MATCH($A57,Data[Dist],0),MATCH(H$6,Data[#Headers],0))-G57</f>
        <v>9472120</v>
      </c>
      <c r="I57" s="25"/>
      <c r="J57" s="22">
        <f>INDEX(Notes!$I$2:$N$11,MATCH(Notes!$B$2,Notes!$I$2:$I$11,0),4)*$C57</f>
        <v>1052458</v>
      </c>
      <c r="K57" s="22">
        <f>INDEX(Notes!$I$2:$N$11,MATCH(Notes!$B$2,Notes!$I$2:$I$11,0),5)*$D57</f>
        <v>0</v>
      </c>
      <c r="L57" s="22">
        <f>INDEX(Notes!$I$2:$N$11,MATCH(Notes!$B$2,Notes!$I$2:$I$11,0),6)*$E57</f>
        <v>0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1052458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487708</v>
      </c>
      <c r="D58" s="160">
        <f>INDEX(Data[],MATCH($A58,Data[Dist],0),MATCH(D$6,Data[#Headers],0))</f>
        <v>484628</v>
      </c>
      <c r="E58" s="160">
        <f>INDEX(Data[],MATCH($A58,Data[Dist],0),MATCH(E$6,Data[#Headers],0))</f>
        <v>484628</v>
      </c>
      <c r="F58" s="160">
        <f>INDEX(Data[],MATCH($A58,Data[Dist],0),MATCH(F$6,Data[#Headers],0))</f>
        <v>484629</v>
      </c>
      <c r="G58" s="22">
        <f>INDEX(Data[],MATCH($A58,Data[Dist],0),MATCH(G$6,Data[#Headers],0))</f>
        <v>487708</v>
      </c>
      <c r="H58" s="22">
        <f>INDEX(Data[],MATCH($A58,Data[Dist],0),MATCH(H$6,Data[#Headers],0))-G58</f>
        <v>4389371</v>
      </c>
      <c r="I58" s="25"/>
      <c r="J58" s="22">
        <f>INDEX(Notes!$I$2:$N$11,MATCH(Notes!$B$2,Notes!$I$2:$I$11,0),4)*$C58</f>
        <v>487708</v>
      </c>
      <c r="K58" s="22">
        <f>INDEX(Notes!$I$2:$N$11,MATCH(Notes!$B$2,Notes!$I$2:$I$11,0),5)*$D58</f>
        <v>0</v>
      </c>
      <c r="L58" s="22">
        <f>INDEX(Notes!$I$2:$N$11,MATCH(Notes!$B$2,Notes!$I$2:$I$11,0),6)*$E58</f>
        <v>0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487708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277387</v>
      </c>
      <c r="D59" s="160">
        <f>INDEX(Data[],MATCH($A59,Data[Dist],0),MATCH(D$6,Data[#Headers],0))</f>
        <v>275656</v>
      </c>
      <c r="E59" s="160">
        <f>INDEX(Data[],MATCH($A59,Data[Dist],0),MATCH(E$6,Data[#Headers],0))</f>
        <v>275656</v>
      </c>
      <c r="F59" s="160">
        <f>INDEX(Data[],MATCH($A59,Data[Dist],0),MATCH(F$6,Data[#Headers],0))</f>
        <v>275654</v>
      </c>
      <c r="G59" s="22">
        <f>INDEX(Data[],MATCH($A59,Data[Dist],0),MATCH(G$6,Data[#Headers],0))</f>
        <v>277387</v>
      </c>
      <c r="H59" s="22">
        <f>INDEX(Data[],MATCH($A59,Data[Dist],0),MATCH(H$6,Data[#Headers],0))-G59</f>
        <v>2496482</v>
      </c>
      <c r="I59" s="25"/>
      <c r="J59" s="22">
        <f>INDEX(Notes!$I$2:$N$11,MATCH(Notes!$B$2,Notes!$I$2:$I$11,0),4)*$C59</f>
        <v>277387</v>
      </c>
      <c r="K59" s="22">
        <f>INDEX(Notes!$I$2:$N$11,MATCH(Notes!$B$2,Notes!$I$2:$I$11,0),5)*$D59</f>
        <v>0</v>
      </c>
      <c r="L59" s="22">
        <f>INDEX(Notes!$I$2:$N$11,MATCH(Notes!$B$2,Notes!$I$2:$I$11,0),6)*$E59</f>
        <v>0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277387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997829</v>
      </c>
      <c r="D60" s="160">
        <f>INDEX(Data[],MATCH($A60,Data[Dist],0),MATCH(D$6,Data[#Headers],0))</f>
        <v>992046</v>
      </c>
      <c r="E60" s="160">
        <f>INDEX(Data[],MATCH($A60,Data[Dist],0),MATCH(E$6,Data[#Headers],0))</f>
        <v>992046</v>
      </c>
      <c r="F60" s="160">
        <f>INDEX(Data[],MATCH($A60,Data[Dist],0),MATCH(F$6,Data[#Headers],0))</f>
        <v>992045</v>
      </c>
      <c r="G60" s="22">
        <f>INDEX(Data[],MATCH($A60,Data[Dist],0),MATCH(G$6,Data[#Headers],0))</f>
        <v>997829</v>
      </c>
      <c r="H60" s="22">
        <f>INDEX(Data[],MATCH($A60,Data[Dist],0),MATCH(H$6,Data[#Headers],0))-G60</f>
        <v>8980456</v>
      </c>
      <c r="I60" s="25"/>
      <c r="J60" s="22">
        <f>INDEX(Notes!$I$2:$N$11,MATCH(Notes!$B$2,Notes!$I$2:$I$11,0),4)*$C60</f>
        <v>997829</v>
      </c>
      <c r="K60" s="22">
        <f>INDEX(Notes!$I$2:$N$11,MATCH(Notes!$B$2,Notes!$I$2:$I$11,0),5)*$D60</f>
        <v>0</v>
      </c>
      <c r="L60" s="22">
        <f>INDEX(Notes!$I$2:$N$11,MATCH(Notes!$B$2,Notes!$I$2:$I$11,0),6)*$E60</f>
        <v>0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997829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327123</v>
      </c>
      <c r="D61" s="160">
        <f>INDEX(Data[],MATCH($A61,Data[Dist],0),MATCH(D$6,Data[#Headers],0))</f>
        <v>325284</v>
      </c>
      <c r="E61" s="160">
        <f>INDEX(Data[],MATCH($A61,Data[Dist],0),MATCH(E$6,Data[#Headers],0))</f>
        <v>325283</v>
      </c>
      <c r="F61" s="160">
        <f>INDEX(Data[],MATCH($A61,Data[Dist],0),MATCH(F$6,Data[#Headers],0))</f>
        <v>325284</v>
      </c>
      <c r="G61" s="22">
        <f>INDEX(Data[],MATCH($A61,Data[Dist],0),MATCH(G$6,Data[#Headers],0))</f>
        <v>327123</v>
      </c>
      <c r="H61" s="22">
        <f>INDEX(Data[],MATCH($A61,Data[Dist],0),MATCH(H$6,Data[#Headers],0))-G61</f>
        <v>2944106</v>
      </c>
      <c r="I61" s="25"/>
      <c r="J61" s="22">
        <f>INDEX(Notes!$I$2:$N$11,MATCH(Notes!$B$2,Notes!$I$2:$I$11,0),4)*$C61</f>
        <v>327123</v>
      </c>
      <c r="K61" s="22">
        <f>INDEX(Notes!$I$2:$N$11,MATCH(Notes!$B$2,Notes!$I$2:$I$11,0),5)*$D61</f>
        <v>0</v>
      </c>
      <c r="L61" s="22">
        <f>INDEX(Notes!$I$2:$N$11,MATCH(Notes!$B$2,Notes!$I$2:$I$11,0),6)*$E61</f>
        <v>0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327123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529840</v>
      </c>
      <c r="D62" s="160">
        <f>INDEX(Data[],MATCH($A62,Data[Dist],0),MATCH(D$6,Data[#Headers],0))</f>
        <v>527292</v>
      </c>
      <c r="E62" s="160">
        <f>INDEX(Data[],MATCH($A62,Data[Dist],0),MATCH(E$6,Data[#Headers],0))</f>
        <v>527291</v>
      </c>
      <c r="F62" s="160">
        <f>INDEX(Data[],MATCH($A62,Data[Dist],0),MATCH(F$6,Data[#Headers],0))</f>
        <v>527292</v>
      </c>
      <c r="G62" s="22">
        <f>INDEX(Data[],MATCH($A62,Data[Dist],0),MATCH(G$6,Data[#Headers],0))</f>
        <v>529840</v>
      </c>
      <c r="H62" s="22">
        <f>INDEX(Data[],MATCH($A62,Data[Dist],0),MATCH(H$6,Data[#Headers],0))-G62</f>
        <v>4768562</v>
      </c>
      <c r="I62" s="25"/>
      <c r="J62" s="22">
        <f>INDEX(Notes!$I$2:$N$11,MATCH(Notes!$B$2,Notes!$I$2:$I$11,0),4)*$C62</f>
        <v>529840</v>
      </c>
      <c r="K62" s="22">
        <f>INDEX(Notes!$I$2:$N$11,MATCH(Notes!$B$2,Notes!$I$2:$I$11,0),5)*$D62</f>
        <v>0</v>
      </c>
      <c r="L62" s="22">
        <f>INDEX(Notes!$I$2:$N$11,MATCH(Notes!$B$2,Notes!$I$2:$I$11,0),6)*$E62</f>
        <v>0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529840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494280</v>
      </c>
      <c r="D63" s="160">
        <f>INDEX(Data[],MATCH($A63,Data[Dist],0),MATCH(D$6,Data[#Headers],0))</f>
        <v>491274</v>
      </c>
      <c r="E63" s="160">
        <f>INDEX(Data[],MATCH($A63,Data[Dist],0),MATCH(E$6,Data[#Headers],0))</f>
        <v>491273</v>
      </c>
      <c r="F63" s="160">
        <f>INDEX(Data[],MATCH($A63,Data[Dist],0),MATCH(F$6,Data[#Headers],0))</f>
        <v>491274</v>
      </c>
      <c r="G63" s="22">
        <f>INDEX(Data[],MATCH($A63,Data[Dist],0),MATCH(G$6,Data[#Headers],0))</f>
        <v>494280</v>
      </c>
      <c r="H63" s="22">
        <f>INDEX(Data[],MATCH($A63,Data[Dist],0),MATCH(H$6,Data[#Headers],0))-G63</f>
        <v>4448524</v>
      </c>
      <c r="I63" s="25"/>
      <c r="J63" s="22">
        <f>INDEX(Notes!$I$2:$N$11,MATCH(Notes!$B$2,Notes!$I$2:$I$11,0),4)*$C63</f>
        <v>494280</v>
      </c>
      <c r="K63" s="22">
        <f>INDEX(Notes!$I$2:$N$11,MATCH(Notes!$B$2,Notes!$I$2:$I$11,0),5)*$D63</f>
        <v>0</v>
      </c>
      <c r="L63" s="22">
        <f>INDEX(Notes!$I$2:$N$11,MATCH(Notes!$B$2,Notes!$I$2:$I$11,0),6)*$E63</f>
        <v>0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494280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927434</v>
      </c>
      <c r="D64" s="160">
        <f>INDEX(Data[],MATCH($A64,Data[Dist],0),MATCH(D$6,Data[#Headers],0))</f>
        <v>922476</v>
      </c>
      <c r="E64" s="160">
        <f>INDEX(Data[],MATCH($A64,Data[Dist],0),MATCH(E$6,Data[#Headers],0))</f>
        <v>922475</v>
      </c>
      <c r="F64" s="160">
        <f>INDEX(Data[],MATCH($A64,Data[Dist],0),MATCH(F$6,Data[#Headers],0))</f>
        <v>922476</v>
      </c>
      <c r="G64" s="22">
        <f>INDEX(Data[],MATCH($A64,Data[Dist],0),MATCH(G$6,Data[#Headers],0))</f>
        <v>927434</v>
      </c>
      <c r="H64" s="22">
        <f>INDEX(Data[],MATCH($A64,Data[Dist],0),MATCH(H$6,Data[#Headers],0))-G64</f>
        <v>8346902</v>
      </c>
      <c r="I64" s="25"/>
      <c r="J64" s="22">
        <f>INDEX(Notes!$I$2:$N$11,MATCH(Notes!$B$2,Notes!$I$2:$I$11,0),4)*$C64</f>
        <v>927434</v>
      </c>
      <c r="K64" s="22">
        <f>INDEX(Notes!$I$2:$N$11,MATCH(Notes!$B$2,Notes!$I$2:$I$11,0),5)*$D64</f>
        <v>0</v>
      </c>
      <c r="L64" s="22">
        <f>INDEX(Notes!$I$2:$N$11,MATCH(Notes!$B$2,Notes!$I$2:$I$11,0),6)*$E64</f>
        <v>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927434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1098604</v>
      </c>
      <c r="D65" s="160">
        <f>INDEX(Data[],MATCH($A65,Data[Dist],0),MATCH(D$6,Data[#Headers],0))</f>
        <v>1092450</v>
      </c>
      <c r="E65" s="160">
        <f>INDEX(Data[],MATCH($A65,Data[Dist],0),MATCH(E$6,Data[#Headers],0))</f>
        <v>1092450</v>
      </c>
      <c r="F65" s="160">
        <f>INDEX(Data[],MATCH($A65,Data[Dist],0),MATCH(F$6,Data[#Headers],0))</f>
        <v>1092450</v>
      </c>
      <c r="G65" s="22">
        <f>INDEX(Data[],MATCH($A65,Data[Dist],0),MATCH(G$6,Data[#Headers],0))</f>
        <v>1098604</v>
      </c>
      <c r="H65" s="22">
        <f>INDEX(Data[],MATCH($A65,Data[Dist],0),MATCH(H$6,Data[#Headers],0))-G65</f>
        <v>9887437</v>
      </c>
      <c r="I65" s="25"/>
      <c r="J65" s="22">
        <f>INDEX(Notes!$I$2:$N$11,MATCH(Notes!$B$2,Notes!$I$2:$I$11,0),4)*$C65</f>
        <v>1098604</v>
      </c>
      <c r="K65" s="22">
        <f>INDEX(Notes!$I$2:$N$11,MATCH(Notes!$B$2,Notes!$I$2:$I$11,0),5)*$D65</f>
        <v>0</v>
      </c>
      <c r="L65" s="22">
        <f>INDEX(Notes!$I$2:$N$11,MATCH(Notes!$B$2,Notes!$I$2:$I$11,0),6)*$E65</f>
        <v>0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1098604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156155</v>
      </c>
      <c r="D66" s="160">
        <f>INDEX(Data[],MATCH($A66,Data[Dist],0),MATCH(D$6,Data[#Headers],0))</f>
        <v>155064</v>
      </c>
      <c r="E66" s="160">
        <f>INDEX(Data[],MATCH($A66,Data[Dist],0),MATCH(E$6,Data[#Headers],0))</f>
        <v>155063</v>
      </c>
      <c r="F66" s="160">
        <f>INDEX(Data[],MATCH($A66,Data[Dist],0),MATCH(F$6,Data[#Headers],0))</f>
        <v>155064</v>
      </c>
      <c r="G66" s="22">
        <f>INDEX(Data[],MATCH($A66,Data[Dist],0),MATCH(G$6,Data[#Headers],0))</f>
        <v>156155</v>
      </c>
      <c r="H66" s="22">
        <f>INDEX(Data[],MATCH($A66,Data[Dist],0),MATCH(H$6,Data[#Headers],0))-G66</f>
        <v>1405397</v>
      </c>
      <c r="I66" s="25"/>
      <c r="J66" s="22">
        <f>INDEX(Notes!$I$2:$N$11,MATCH(Notes!$B$2,Notes!$I$2:$I$11,0),4)*$C66</f>
        <v>156155</v>
      </c>
      <c r="K66" s="22">
        <f>INDEX(Notes!$I$2:$N$11,MATCH(Notes!$B$2,Notes!$I$2:$I$11,0),5)*$D66</f>
        <v>0</v>
      </c>
      <c r="L66" s="22">
        <f>INDEX(Notes!$I$2:$N$11,MATCH(Notes!$B$2,Notes!$I$2:$I$11,0),6)*$E66</f>
        <v>0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156155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746226</v>
      </c>
      <c r="D67" s="160">
        <f>INDEX(Data[],MATCH($A67,Data[Dist],0),MATCH(D$6,Data[#Headers],0))</f>
        <v>742120</v>
      </c>
      <c r="E67" s="160">
        <f>INDEX(Data[],MATCH($A67,Data[Dist],0),MATCH(E$6,Data[#Headers],0))</f>
        <v>742119</v>
      </c>
      <c r="F67" s="160">
        <f>INDEX(Data[],MATCH($A67,Data[Dist],0),MATCH(F$6,Data[#Headers],0))</f>
        <v>742120</v>
      </c>
      <c r="G67" s="22">
        <f>INDEX(Data[],MATCH($A67,Data[Dist],0),MATCH(G$6,Data[#Headers],0))</f>
        <v>746226</v>
      </c>
      <c r="H67" s="22">
        <f>INDEX(Data[],MATCH($A67,Data[Dist],0),MATCH(H$6,Data[#Headers],0))-G67</f>
        <v>6716030</v>
      </c>
      <c r="I67" s="25"/>
      <c r="J67" s="22">
        <f>INDEX(Notes!$I$2:$N$11,MATCH(Notes!$B$2,Notes!$I$2:$I$11,0),4)*$C67</f>
        <v>746226</v>
      </c>
      <c r="K67" s="22">
        <f>INDEX(Notes!$I$2:$N$11,MATCH(Notes!$B$2,Notes!$I$2:$I$11,0),5)*$D67</f>
        <v>0</v>
      </c>
      <c r="L67" s="22">
        <f>INDEX(Notes!$I$2:$N$11,MATCH(Notes!$B$2,Notes!$I$2:$I$11,0),6)*$E67</f>
        <v>0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746226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670324</v>
      </c>
      <c r="D68" s="160">
        <f>INDEX(Data[],MATCH($A68,Data[Dist],0),MATCH(D$6,Data[#Headers],0))</f>
        <v>666491</v>
      </c>
      <c r="E68" s="160">
        <f>INDEX(Data[],MATCH($A68,Data[Dist],0),MATCH(E$6,Data[#Headers],0))</f>
        <v>666491</v>
      </c>
      <c r="F68" s="160">
        <f>INDEX(Data[],MATCH($A68,Data[Dist],0),MATCH(F$6,Data[#Headers],0))</f>
        <v>666491</v>
      </c>
      <c r="G68" s="22">
        <f>INDEX(Data[],MATCH($A68,Data[Dist],0),MATCH(G$6,Data[#Headers],0))</f>
        <v>670324</v>
      </c>
      <c r="H68" s="22">
        <f>INDEX(Data[],MATCH($A68,Data[Dist],0),MATCH(H$6,Data[#Headers],0))-G68</f>
        <v>6032916</v>
      </c>
      <c r="I68" s="25"/>
      <c r="J68" s="22">
        <f>INDEX(Notes!$I$2:$N$11,MATCH(Notes!$B$2,Notes!$I$2:$I$11,0),4)*$C68</f>
        <v>670324</v>
      </c>
      <c r="K68" s="22">
        <f>INDEX(Notes!$I$2:$N$11,MATCH(Notes!$B$2,Notes!$I$2:$I$11,0),5)*$D68</f>
        <v>0</v>
      </c>
      <c r="L68" s="22">
        <f>INDEX(Notes!$I$2:$N$11,MATCH(Notes!$B$2,Notes!$I$2:$I$11,0),6)*$E68</f>
        <v>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670324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610115</v>
      </c>
      <c r="D69" s="160">
        <f>INDEX(Data[],MATCH($A69,Data[Dist],0),MATCH(D$6,Data[#Headers],0))</f>
        <v>606215</v>
      </c>
      <c r="E69" s="160">
        <f>INDEX(Data[],MATCH($A69,Data[Dist],0),MATCH(E$6,Data[#Headers],0))</f>
        <v>606215</v>
      </c>
      <c r="F69" s="160">
        <f>INDEX(Data[],MATCH($A69,Data[Dist],0),MATCH(F$6,Data[#Headers],0))</f>
        <v>606213</v>
      </c>
      <c r="G69" s="22">
        <f>INDEX(Data[],MATCH($A69,Data[Dist],0),MATCH(G$6,Data[#Headers],0))</f>
        <v>610115</v>
      </c>
      <c r="H69" s="22">
        <f>INDEX(Data[],MATCH($A69,Data[Dist],0),MATCH(H$6,Data[#Headers],0))-G69</f>
        <v>5491030</v>
      </c>
      <c r="I69" s="25"/>
      <c r="J69" s="22">
        <f>INDEX(Notes!$I$2:$N$11,MATCH(Notes!$B$2,Notes!$I$2:$I$11,0),4)*$C69</f>
        <v>610115</v>
      </c>
      <c r="K69" s="22">
        <f>INDEX(Notes!$I$2:$N$11,MATCH(Notes!$B$2,Notes!$I$2:$I$11,0),5)*$D69</f>
        <v>0</v>
      </c>
      <c r="L69" s="22">
        <f>INDEX(Notes!$I$2:$N$11,MATCH(Notes!$B$2,Notes!$I$2:$I$11,0),6)*$E69</f>
        <v>0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610115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1074212</v>
      </c>
      <c r="D70" s="160">
        <f>INDEX(Data[],MATCH($A70,Data[Dist],0),MATCH(D$6,Data[#Headers],0))</f>
        <v>1068640</v>
      </c>
      <c r="E70" s="160">
        <f>INDEX(Data[],MATCH($A70,Data[Dist],0),MATCH(E$6,Data[#Headers],0))</f>
        <v>1068640</v>
      </c>
      <c r="F70" s="160">
        <f>INDEX(Data[],MATCH($A70,Data[Dist],0),MATCH(F$6,Data[#Headers],0))</f>
        <v>1068641</v>
      </c>
      <c r="G70" s="22">
        <f>INDEX(Data[],MATCH($A70,Data[Dist],0),MATCH(G$6,Data[#Headers],0))</f>
        <v>1074212</v>
      </c>
      <c r="H70" s="22">
        <f>INDEX(Data[],MATCH($A70,Data[Dist],0),MATCH(H$6,Data[#Headers],0))-G70</f>
        <v>9667910</v>
      </c>
      <c r="I70" s="25"/>
      <c r="J70" s="22">
        <f>INDEX(Notes!$I$2:$N$11,MATCH(Notes!$B$2,Notes!$I$2:$I$11,0),4)*$C70</f>
        <v>1074212</v>
      </c>
      <c r="K70" s="22">
        <f>INDEX(Notes!$I$2:$N$11,MATCH(Notes!$B$2,Notes!$I$2:$I$11,0),5)*$D70</f>
        <v>0</v>
      </c>
      <c r="L70" s="22">
        <f>INDEX(Notes!$I$2:$N$11,MATCH(Notes!$B$2,Notes!$I$2:$I$11,0),6)*$E70</f>
        <v>0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1074212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205059</v>
      </c>
      <c r="D71" s="160">
        <f>INDEX(Data[],MATCH($A71,Data[Dist],0),MATCH(D$6,Data[#Headers],0))</f>
        <v>203926</v>
      </c>
      <c r="E71" s="160">
        <f>INDEX(Data[],MATCH($A71,Data[Dist],0),MATCH(E$6,Data[#Headers],0))</f>
        <v>203925</v>
      </c>
      <c r="F71" s="160">
        <f>INDEX(Data[],MATCH($A71,Data[Dist],0),MATCH(F$6,Data[#Headers],0))</f>
        <v>203926</v>
      </c>
      <c r="G71" s="22">
        <f>INDEX(Data[],MATCH($A71,Data[Dist],0),MATCH(G$6,Data[#Headers],0))</f>
        <v>205059</v>
      </c>
      <c r="H71" s="22">
        <f>INDEX(Data[],MATCH($A71,Data[Dist],0),MATCH(H$6,Data[#Headers],0))-G71</f>
        <v>1845528</v>
      </c>
      <c r="I71" s="25"/>
      <c r="J71" s="22">
        <f>INDEX(Notes!$I$2:$N$11,MATCH(Notes!$B$2,Notes!$I$2:$I$11,0),4)*$C71</f>
        <v>205059</v>
      </c>
      <c r="K71" s="22">
        <f>INDEX(Notes!$I$2:$N$11,MATCH(Notes!$B$2,Notes!$I$2:$I$11,0),5)*$D71</f>
        <v>0</v>
      </c>
      <c r="L71" s="22">
        <f>INDEX(Notes!$I$2:$N$11,MATCH(Notes!$B$2,Notes!$I$2:$I$11,0),6)*$E71</f>
        <v>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205059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117546</v>
      </c>
      <c r="D72" s="160">
        <f>INDEX(Data[],MATCH($A72,Data[Dist],0),MATCH(D$6,Data[#Headers],0))</f>
        <v>116383</v>
      </c>
      <c r="E72" s="160">
        <f>INDEX(Data[],MATCH($A72,Data[Dist],0),MATCH(E$6,Data[#Headers],0))</f>
        <v>116382</v>
      </c>
      <c r="F72" s="160">
        <f>INDEX(Data[],MATCH($A72,Data[Dist],0),MATCH(F$6,Data[#Headers],0))</f>
        <v>116383</v>
      </c>
      <c r="G72" s="22">
        <f>INDEX(Data[],MATCH($A72,Data[Dist],0),MATCH(G$6,Data[#Headers],0))</f>
        <v>117546</v>
      </c>
      <c r="H72" s="22">
        <f>INDEX(Data[],MATCH($A72,Data[Dist],0),MATCH(H$6,Data[#Headers],0))-G72</f>
        <v>1057917</v>
      </c>
      <c r="I72" s="25"/>
      <c r="J72" s="22">
        <f>INDEX(Notes!$I$2:$N$11,MATCH(Notes!$B$2,Notes!$I$2:$I$11,0),4)*$C72</f>
        <v>117546</v>
      </c>
      <c r="K72" s="22">
        <f>INDEX(Notes!$I$2:$N$11,MATCH(Notes!$B$2,Notes!$I$2:$I$11,0),5)*$D72</f>
        <v>0</v>
      </c>
      <c r="L72" s="22">
        <f>INDEX(Notes!$I$2:$N$11,MATCH(Notes!$B$2,Notes!$I$2:$I$11,0),6)*$E72</f>
        <v>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117546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INDEX($A$7:$H$333,MATCH($S72,$A$7:$A$333,0),3)-Q72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1784847</v>
      </c>
      <c r="D73" s="160">
        <f>INDEX(Data[],MATCH($A73,Data[Dist],0),MATCH(D$6,Data[#Headers],0))</f>
        <v>1773770</v>
      </c>
      <c r="E73" s="160">
        <f>INDEX(Data[],MATCH($A73,Data[Dist],0),MATCH(E$6,Data[#Headers],0))</f>
        <v>1773770</v>
      </c>
      <c r="F73" s="160">
        <f>INDEX(Data[],MATCH($A73,Data[Dist],0),MATCH(F$6,Data[#Headers],0))</f>
        <v>1773770</v>
      </c>
      <c r="G73" s="22">
        <f>INDEX(Data[],MATCH($A73,Data[Dist],0),MATCH(G$6,Data[#Headers],0))</f>
        <v>1784847</v>
      </c>
      <c r="H73" s="22">
        <f>INDEX(Data[],MATCH($A73,Data[Dist],0),MATCH(H$6,Data[#Headers],0))-G73</f>
        <v>16063619</v>
      </c>
      <c r="I73" s="25"/>
      <c r="J73" s="22">
        <f>INDEX(Notes!$I$2:$N$11,MATCH(Notes!$B$2,Notes!$I$2:$I$11,0),4)*$C73</f>
        <v>1784847</v>
      </c>
      <c r="K73" s="22">
        <f>INDEX(Notes!$I$2:$N$11,MATCH(Notes!$B$2,Notes!$I$2:$I$11,0),5)*$D73</f>
        <v>0</v>
      </c>
      <c r="L73" s="22">
        <f>INDEX(Notes!$I$2:$N$11,MATCH(Notes!$B$2,Notes!$I$2:$I$11,0),6)*$E73</f>
        <v>0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1784847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558598</v>
      </c>
      <c r="D74" s="160">
        <f>INDEX(Data[],MATCH($A74,Data[Dist],0),MATCH(D$6,Data[#Headers],0))</f>
        <v>553898</v>
      </c>
      <c r="E74" s="160">
        <f>INDEX(Data[],MATCH($A74,Data[Dist],0),MATCH(E$6,Data[#Headers],0))</f>
        <v>553898</v>
      </c>
      <c r="F74" s="160">
        <f>INDEX(Data[],MATCH($A74,Data[Dist],0),MATCH(F$6,Data[#Headers],0))</f>
        <v>553896</v>
      </c>
      <c r="G74" s="22">
        <f>INDEX(Data[],MATCH($A74,Data[Dist],0),MATCH(G$6,Data[#Headers],0))</f>
        <v>558598</v>
      </c>
      <c r="H74" s="22">
        <f>INDEX(Data[],MATCH($A74,Data[Dist],0),MATCH(H$6,Data[#Headers],0))-G74</f>
        <v>5027378</v>
      </c>
      <c r="I74" s="25"/>
      <c r="J74" s="22">
        <f>INDEX(Notes!$I$2:$N$11,MATCH(Notes!$B$2,Notes!$I$2:$I$11,0),4)*$C74</f>
        <v>558598</v>
      </c>
      <c r="K74" s="22">
        <f>INDEX(Notes!$I$2:$N$11,MATCH(Notes!$B$2,Notes!$I$2:$I$11,0),5)*$D74</f>
        <v>0</v>
      </c>
      <c r="L74" s="22">
        <f>INDEX(Notes!$I$2:$N$11,MATCH(Notes!$B$2,Notes!$I$2:$I$11,0),6)*$E74</f>
        <v>0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558598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3015330</v>
      </c>
      <c r="D75" s="160">
        <f>INDEX(Data[],MATCH($A75,Data[Dist],0),MATCH(D$6,Data[#Headers],0))</f>
        <v>3001028</v>
      </c>
      <c r="E75" s="160">
        <f>INDEX(Data[],MATCH($A75,Data[Dist],0),MATCH(E$6,Data[#Headers],0))</f>
        <v>3001029</v>
      </c>
      <c r="F75" s="160">
        <f>INDEX(Data[],MATCH($A75,Data[Dist],0),MATCH(F$6,Data[#Headers],0))</f>
        <v>3001027</v>
      </c>
      <c r="G75" s="22">
        <f>INDEX(Data[],MATCH($A75,Data[Dist],0),MATCH(G$6,Data[#Headers],0))</f>
        <v>3015330</v>
      </c>
      <c r="H75" s="22">
        <f>INDEX(Data[],MATCH($A75,Data[Dist],0),MATCH(H$6,Data[#Headers],0))-G75</f>
        <v>27137967</v>
      </c>
      <c r="I75" s="25"/>
      <c r="J75" s="22">
        <f>INDEX(Notes!$I$2:$N$11,MATCH(Notes!$B$2,Notes!$I$2:$I$11,0),4)*$C75</f>
        <v>3015330</v>
      </c>
      <c r="K75" s="22">
        <f>INDEX(Notes!$I$2:$N$11,MATCH(Notes!$B$2,Notes!$I$2:$I$11,0),5)*$D75</f>
        <v>0</v>
      </c>
      <c r="L75" s="22">
        <f>INDEX(Notes!$I$2:$N$11,MATCH(Notes!$B$2,Notes!$I$2:$I$11,0),6)*$E75</f>
        <v>0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3015330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505594</v>
      </c>
      <c r="D76" s="160">
        <f>INDEX(Data[],MATCH($A76,Data[Dist],0),MATCH(D$6,Data[#Headers],0))</f>
        <v>502718</v>
      </c>
      <c r="E76" s="160">
        <f>INDEX(Data[],MATCH($A76,Data[Dist],0),MATCH(E$6,Data[#Headers],0))</f>
        <v>502718</v>
      </c>
      <c r="F76" s="160">
        <f>INDEX(Data[],MATCH($A76,Data[Dist],0),MATCH(F$6,Data[#Headers],0))</f>
        <v>502716</v>
      </c>
      <c r="G76" s="22">
        <f>INDEX(Data[],MATCH($A76,Data[Dist],0),MATCH(G$6,Data[#Headers],0))</f>
        <v>505594</v>
      </c>
      <c r="H76" s="22">
        <f>INDEX(Data[],MATCH($A76,Data[Dist],0),MATCH(H$6,Data[#Headers],0))-G76</f>
        <v>4550345</v>
      </c>
      <c r="I76" s="25"/>
      <c r="J76" s="22">
        <f>INDEX(Notes!$I$2:$N$11,MATCH(Notes!$B$2,Notes!$I$2:$I$11,0),4)*$C76</f>
        <v>505594</v>
      </c>
      <c r="K76" s="22">
        <f>INDEX(Notes!$I$2:$N$11,MATCH(Notes!$B$2,Notes!$I$2:$I$11,0),5)*$D76</f>
        <v>0</v>
      </c>
      <c r="L76" s="22">
        <f>INDEX(Notes!$I$2:$N$11,MATCH(Notes!$B$2,Notes!$I$2:$I$11,0),6)*$E76</f>
        <v>0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505594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3230606</v>
      </c>
      <c r="D77" s="160">
        <f>INDEX(Data[],MATCH($A77,Data[Dist],0),MATCH(D$6,Data[#Headers],0))</f>
        <v>3210293</v>
      </c>
      <c r="E77" s="160">
        <f>INDEX(Data[],MATCH($A77,Data[Dist],0),MATCH(E$6,Data[#Headers],0))</f>
        <v>3210293</v>
      </c>
      <c r="F77" s="160">
        <f>INDEX(Data[],MATCH($A77,Data[Dist],0),MATCH(F$6,Data[#Headers],0))</f>
        <v>3210294</v>
      </c>
      <c r="G77" s="22">
        <f>INDEX(Data[],MATCH($A77,Data[Dist],0),MATCH(G$6,Data[#Headers],0))</f>
        <v>3230606</v>
      </c>
      <c r="H77" s="22">
        <f>INDEX(Data[],MATCH($A77,Data[Dist],0),MATCH(H$6,Data[#Headers],0))-G77</f>
        <v>29075454</v>
      </c>
      <c r="I77" s="25"/>
      <c r="J77" s="22">
        <f>INDEX(Notes!$I$2:$N$11,MATCH(Notes!$B$2,Notes!$I$2:$I$11,0),4)*$C77</f>
        <v>3230606</v>
      </c>
      <c r="K77" s="22">
        <f>INDEX(Notes!$I$2:$N$11,MATCH(Notes!$B$2,Notes!$I$2:$I$11,0),5)*$D77</f>
        <v>0</v>
      </c>
      <c r="L77" s="22">
        <f>INDEX(Notes!$I$2:$N$11,MATCH(Notes!$B$2,Notes!$I$2:$I$11,0),6)*$E77</f>
        <v>0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3230606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307260</v>
      </c>
      <c r="D78" s="160">
        <f>INDEX(Data[],MATCH($A78,Data[Dist],0),MATCH(D$6,Data[#Headers],0))</f>
        <v>305414</v>
      </c>
      <c r="E78" s="160">
        <f>INDEX(Data[],MATCH($A78,Data[Dist],0),MATCH(E$6,Data[#Headers],0))</f>
        <v>305415</v>
      </c>
      <c r="F78" s="160">
        <f>INDEX(Data[],MATCH($A78,Data[Dist],0),MATCH(F$6,Data[#Headers],0))</f>
        <v>305413</v>
      </c>
      <c r="G78" s="22">
        <f>INDEX(Data[],MATCH($A78,Data[Dist],0),MATCH(G$6,Data[#Headers],0))</f>
        <v>307260</v>
      </c>
      <c r="H78" s="22">
        <f>INDEX(Data[],MATCH($A78,Data[Dist],0),MATCH(H$6,Data[#Headers],0))-G78</f>
        <v>2765335</v>
      </c>
      <c r="I78" s="25"/>
      <c r="J78" s="22">
        <f>INDEX(Notes!$I$2:$N$11,MATCH(Notes!$B$2,Notes!$I$2:$I$11,0),4)*$C78</f>
        <v>307260</v>
      </c>
      <c r="K78" s="22">
        <f>INDEX(Notes!$I$2:$N$11,MATCH(Notes!$B$2,Notes!$I$2:$I$11,0),5)*$D78</f>
        <v>0</v>
      </c>
      <c r="L78" s="22">
        <f>INDEX(Notes!$I$2:$N$11,MATCH(Notes!$B$2,Notes!$I$2:$I$11,0),6)*$E78</f>
        <v>0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307260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249455</v>
      </c>
      <c r="D79" s="160">
        <f>INDEX(Data[],MATCH($A79,Data[Dist],0),MATCH(D$6,Data[#Headers],0))</f>
        <v>247547</v>
      </c>
      <c r="E79" s="160">
        <f>INDEX(Data[],MATCH($A79,Data[Dist],0),MATCH(E$6,Data[#Headers],0))</f>
        <v>247547</v>
      </c>
      <c r="F79" s="160">
        <f>INDEX(Data[],MATCH($A79,Data[Dist],0),MATCH(F$6,Data[#Headers],0))</f>
        <v>247545</v>
      </c>
      <c r="G79" s="22">
        <f>INDEX(Data[],MATCH($A79,Data[Dist],0),MATCH(G$6,Data[#Headers],0))</f>
        <v>249455</v>
      </c>
      <c r="H79" s="22">
        <f>INDEX(Data[],MATCH($A79,Data[Dist],0),MATCH(H$6,Data[#Headers],0))-G79</f>
        <v>2245094</v>
      </c>
      <c r="I79" s="25"/>
      <c r="J79" s="22">
        <f>INDEX(Notes!$I$2:$N$11,MATCH(Notes!$B$2,Notes!$I$2:$I$11,0),4)*$C79</f>
        <v>249455</v>
      </c>
      <c r="K79" s="22">
        <f>INDEX(Notes!$I$2:$N$11,MATCH(Notes!$B$2,Notes!$I$2:$I$11,0),5)*$D79</f>
        <v>0</v>
      </c>
      <c r="L79" s="22">
        <f>INDEX(Notes!$I$2:$N$11,MATCH(Notes!$B$2,Notes!$I$2:$I$11,0),6)*$E79</f>
        <v>0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249455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561226</v>
      </c>
      <c r="D80" s="160">
        <f>INDEX(Data[],MATCH($A80,Data[Dist],0),MATCH(D$6,Data[#Headers],0))</f>
        <v>558231</v>
      </c>
      <c r="E80" s="160">
        <f>INDEX(Data[],MATCH($A80,Data[Dist],0),MATCH(E$6,Data[#Headers],0))</f>
        <v>558230</v>
      </c>
      <c r="F80" s="160">
        <f>INDEX(Data[],MATCH($A80,Data[Dist],0),MATCH(F$6,Data[#Headers],0))</f>
        <v>558231</v>
      </c>
      <c r="G80" s="22">
        <f>INDEX(Data[],MATCH($A80,Data[Dist],0),MATCH(G$6,Data[#Headers],0))</f>
        <v>561226</v>
      </c>
      <c r="H80" s="22">
        <f>INDEX(Data[],MATCH($A80,Data[Dist],0),MATCH(H$6,Data[#Headers],0))-G80</f>
        <v>5051038</v>
      </c>
      <c r="I80" s="25"/>
      <c r="J80" s="22">
        <f>INDEX(Notes!$I$2:$N$11,MATCH(Notes!$B$2,Notes!$I$2:$I$11,0),4)*$C80</f>
        <v>561226</v>
      </c>
      <c r="K80" s="22">
        <f>INDEX(Notes!$I$2:$N$11,MATCH(Notes!$B$2,Notes!$I$2:$I$11,0),5)*$D80</f>
        <v>0</v>
      </c>
      <c r="L80" s="22">
        <f>INDEX(Notes!$I$2:$N$11,MATCH(Notes!$B$2,Notes!$I$2:$I$11,0),6)*$E80</f>
        <v>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561226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279515</v>
      </c>
      <c r="D81" s="160">
        <f>INDEX(Data[],MATCH($A81,Data[Dist],0),MATCH(D$6,Data[#Headers],0))</f>
        <v>277824</v>
      </c>
      <c r="E81" s="160">
        <f>INDEX(Data[],MATCH($A81,Data[Dist],0),MATCH(E$6,Data[#Headers],0))</f>
        <v>277824</v>
      </c>
      <c r="F81" s="160">
        <f>INDEX(Data[],MATCH($A81,Data[Dist],0),MATCH(F$6,Data[#Headers],0))</f>
        <v>277825</v>
      </c>
      <c r="G81" s="22">
        <f>INDEX(Data[],MATCH($A81,Data[Dist],0),MATCH(G$6,Data[#Headers],0))</f>
        <v>279515</v>
      </c>
      <c r="H81" s="22">
        <f>INDEX(Data[],MATCH($A81,Data[Dist],0),MATCH(H$6,Data[#Headers],0))-G81</f>
        <v>2515633</v>
      </c>
      <c r="I81" s="25"/>
      <c r="J81" s="22">
        <f>INDEX(Notes!$I$2:$N$11,MATCH(Notes!$B$2,Notes!$I$2:$I$11,0),4)*$C81</f>
        <v>279515</v>
      </c>
      <c r="K81" s="22">
        <f>INDEX(Notes!$I$2:$N$11,MATCH(Notes!$B$2,Notes!$I$2:$I$11,0),5)*$D81</f>
        <v>0</v>
      </c>
      <c r="L81" s="22">
        <f>INDEX(Notes!$I$2:$N$11,MATCH(Notes!$B$2,Notes!$I$2:$I$11,0),6)*$E81</f>
        <v>0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279515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218466</v>
      </c>
      <c r="D82" s="160">
        <f>INDEX(Data[],MATCH($A82,Data[Dist],0),MATCH(D$6,Data[#Headers],0))</f>
        <v>216834</v>
      </c>
      <c r="E82" s="160">
        <f>INDEX(Data[],MATCH($A82,Data[Dist],0),MATCH(E$6,Data[#Headers],0))</f>
        <v>216834</v>
      </c>
      <c r="F82" s="160">
        <f>INDEX(Data[],MATCH($A82,Data[Dist],0),MATCH(F$6,Data[#Headers],0))</f>
        <v>216833</v>
      </c>
      <c r="G82" s="22">
        <f>INDEX(Data[],MATCH($A82,Data[Dist],0),MATCH(G$6,Data[#Headers],0))</f>
        <v>218466</v>
      </c>
      <c r="H82" s="22">
        <f>INDEX(Data[],MATCH($A82,Data[Dist],0),MATCH(H$6,Data[#Headers],0))-G82</f>
        <v>1966197</v>
      </c>
      <c r="I82" s="25"/>
      <c r="J82" s="22">
        <f>INDEX(Notes!$I$2:$N$11,MATCH(Notes!$B$2,Notes!$I$2:$I$11,0),4)*$C82</f>
        <v>218466</v>
      </c>
      <c r="K82" s="22">
        <f>INDEX(Notes!$I$2:$N$11,MATCH(Notes!$B$2,Notes!$I$2:$I$11,0),5)*$D82</f>
        <v>0</v>
      </c>
      <c r="L82" s="22">
        <f>INDEX(Notes!$I$2:$N$11,MATCH(Notes!$B$2,Notes!$I$2:$I$11,0),6)*$E82</f>
        <v>0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218466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7210962</v>
      </c>
      <c r="D83" s="160">
        <f>INDEX(Data[],MATCH($A83,Data[Dist],0),MATCH(D$6,Data[#Headers],0))</f>
        <v>7176566</v>
      </c>
      <c r="E83" s="160">
        <f>INDEX(Data[],MATCH($A83,Data[Dist],0),MATCH(E$6,Data[#Headers],0))</f>
        <v>7176566</v>
      </c>
      <c r="F83" s="160">
        <f>INDEX(Data[],MATCH($A83,Data[Dist],0),MATCH(F$6,Data[#Headers],0))</f>
        <v>7176564</v>
      </c>
      <c r="G83" s="22">
        <f>INDEX(Data[],MATCH($A83,Data[Dist],0),MATCH(G$6,Data[#Headers],0))</f>
        <v>7210962</v>
      </c>
      <c r="H83" s="22">
        <f>INDEX(Data[],MATCH($A83,Data[Dist],0),MATCH(H$6,Data[#Headers],0))-G83</f>
        <v>64898653</v>
      </c>
      <c r="I83" s="25"/>
      <c r="J83" s="22">
        <f>INDEX(Notes!$I$2:$N$11,MATCH(Notes!$B$2,Notes!$I$2:$I$11,0),4)*$C83</f>
        <v>7210962</v>
      </c>
      <c r="K83" s="22">
        <f>INDEX(Notes!$I$2:$N$11,MATCH(Notes!$B$2,Notes!$I$2:$I$11,0),5)*$D83</f>
        <v>0</v>
      </c>
      <c r="L83" s="22">
        <f>INDEX(Notes!$I$2:$N$11,MATCH(Notes!$B$2,Notes!$I$2:$I$11,0),6)*$E83</f>
        <v>0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7210962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997659</v>
      </c>
      <c r="D84" s="160">
        <f>INDEX(Data[],MATCH($A84,Data[Dist],0),MATCH(D$6,Data[#Headers],0))</f>
        <v>992108</v>
      </c>
      <c r="E84" s="160">
        <f>INDEX(Data[],MATCH($A84,Data[Dist],0),MATCH(E$6,Data[#Headers],0))</f>
        <v>992108</v>
      </c>
      <c r="F84" s="160">
        <f>INDEX(Data[],MATCH($A84,Data[Dist],0),MATCH(F$6,Data[#Headers],0))</f>
        <v>992109</v>
      </c>
      <c r="G84" s="22">
        <f>INDEX(Data[],MATCH($A84,Data[Dist],0),MATCH(G$6,Data[#Headers],0))</f>
        <v>997659</v>
      </c>
      <c r="H84" s="22">
        <f>INDEX(Data[],MATCH($A84,Data[Dist],0),MATCH(H$6,Data[#Headers],0))-G84</f>
        <v>8978928</v>
      </c>
      <c r="I84" s="25"/>
      <c r="J84" s="22">
        <f>INDEX(Notes!$I$2:$N$11,MATCH(Notes!$B$2,Notes!$I$2:$I$11,0),4)*$C84</f>
        <v>997659</v>
      </c>
      <c r="K84" s="22">
        <f>INDEX(Notes!$I$2:$N$11,MATCH(Notes!$B$2,Notes!$I$2:$I$11,0),5)*$D84</f>
        <v>0</v>
      </c>
      <c r="L84" s="22">
        <f>INDEX(Notes!$I$2:$N$11,MATCH(Notes!$B$2,Notes!$I$2:$I$11,0),6)*$E84</f>
        <v>0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997659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2261000</v>
      </c>
      <c r="D85" s="160">
        <f>INDEX(Data[],MATCH($A85,Data[Dist],0),MATCH(D$6,Data[#Headers],0))</f>
        <v>2247564</v>
      </c>
      <c r="E85" s="160">
        <f>INDEX(Data[],MATCH($A85,Data[Dist],0),MATCH(E$6,Data[#Headers],0))</f>
        <v>2247563</v>
      </c>
      <c r="F85" s="160">
        <f>INDEX(Data[],MATCH($A85,Data[Dist],0),MATCH(F$6,Data[#Headers],0))</f>
        <v>2247564</v>
      </c>
      <c r="G85" s="22">
        <f>INDEX(Data[],MATCH($A85,Data[Dist],0),MATCH(G$6,Data[#Headers],0))</f>
        <v>2261000</v>
      </c>
      <c r="H85" s="22">
        <f>INDEX(Data[],MATCH($A85,Data[Dist],0),MATCH(H$6,Data[#Headers],0))-G85</f>
        <v>20349003</v>
      </c>
      <c r="I85" s="25"/>
      <c r="J85" s="22">
        <f>INDEX(Notes!$I$2:$N$11,MATCH(Notes!$B$2,Notes!$I$2:$I$11,0),4)*$C85</f>
        <v>2261000</v>
      </c>
      <c r="K85" s="22">
        <f>INDEX(Notes!$I$2:$N$11,MATCH(Notes!$B$2,Notes!$I$2:$I$11,0),5)*$D85</f>
        <v>0</v>
      </c>
      <c r="L85" s="22">
        <f>INDEX(Notes!$I$2:$N$11,MATCH(Notes!$B$2,Notes!$I$2:$I$11,0),6)*$E85</f>
        <v>0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2261000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321256</v>
      </c>
      <c r="D86" s="160">
        <f>INDEX(Data[],MATCH($A86,Data[Dist],0),MATCH(D$6,Data[#Headers],0))</f>
        <v>319399</v>
      </c>
      <c r="E86" s="160">
        <f>INDEX(Data[],MATCH($A86,Data[Dist],0),MATCH(E$6,Data[#Headers],0))</f>
        <v>319400</v>
      </c>
      <c r="F86" s="160">
        <f>INDEX(Data[],MATCH($A86,Data[Dist],0),MATCH(F$6,Data[#Headers],0))</f>
        <v>319398</v>
      </c>
      <c r="G86" s="22">
        <f>INDEX(Data[],MATCH($A86,Data[Dist],0),MATCH(G$6,Data[#Headers],0))</f>
        <v>321256</v>
      </c>
      <c r="H86" s="22">
        <f>INDEX(Data[],MATCH($A86,Data[Dist],0),MATCH(H$6,Data[#Headers],0))-G86</f>
        <v>2891302</v>
      </c>
      <c r="I86" s="25"/>
      <c r="J86" s="22">
        <f>INDEX(Notes!$I$2:$N$11,MATCH(Notes!$B$2,Notes!$I$2:$I$11,0),4)*$C86</f>
        <v>321256</v>
      </c>
      <c r="K86" s="22">
        <f>INDEX(Notes!$I$2:$N$11,MATCH(Notes!$B$2,Notes!$I$2:$I$11,0),5)*$D86</f>
        <v>0</v>
      </c>
      <c r="L86" s="22">
        <f>INDEX(Notes!$I$2:$N$11,MATCH(Notes!$B$2,Notes!$I$2:$I$11,0),6)*$E86</f>
        <v>0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321256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10560039</v>
      </c>
      <c r="D87" s="160">
        <f>INDEX(Data[],MATCH($A87,Data[Dist],0),MATCH(D$6,Data[#Headers],0))</f>
        <v>10502980</v>
      </c>
      <c r="E87" s="160">
        <f>INDEX(Data[],MATCH($A87,Data[Dist],0),MATCH(E$6,Data[#Headers],0))</f>
        <v>10502980</v>
      </c>
      <c r="F87" s="160">
        <f>INDEX(Data[],MATCH($A87,Data[Dist],0),MATCH(F$6,Data[#Headers],0))</f>
        <v>10502979</v>
      </c>
      <c r="G87" s="22">
        <f>INDEX(Data[],MATCH($A87,Data[Dist],0),MATCH(G$6,Data[#Headers],0))</f>
        <v>10560039</v>
      </c>
      <c r="H87" s="22">
        <f>INDEX(Data[],MATCH($A87,Data[Dist],0),MATCH(H$6,Data[#Headers],0))-G87</f>
        <v>95040346</v>
      </c>
      <c r="I87" s="25"/>
      <c r="J87" s="22">
        <f>INDEX(Notes!$I$2:$N$11,MATCH(Notes!$B$2,Notes!$I$2:$I$11,0),4)*$C87</f>
        <v>10560039</v>
      </c>
      <c r="K87" s="22">
        <f>INDEX(Notes!$I$2:$N$11,MATCH(Notes!$B$2,Notes!$I$2:$I$11,0),5)*$D87</f>
        <v>0</v>
      </c>
      <c r="L87" s="22">
        <f>INDEX(Notes!$I$2:$N$11,MATCH(Notes!$B$2,Notes!$I$2:$I$11,0),6)*$E87</f>
        <v>0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10560039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789521</v>
      </c>
      <c r="D88" s="160">
        <f>INDEX(Data[],MATCH($A88,Data[Dist],0),MATCH(D$6,Data[#Headers],0))</f>
        <v>784840</v>
      </c>
      <c r="E88" s="160">
        <f>INDEX(Data[],MATCH($A88,Data[Dist],0),MATCH(E$6,Data[#Headers],0))</f>
        <v>784840</v>
      </c>
      <c r="F88" s="160">
        <f>INDEX(Data[],MATCH($A88,Data[Dist],0),MATCH(F$6,Data[#Headers],0))</f>
        <v>784840</v>
      </c>
      <c r="G88" s="22">
        <f>INDEX(Data[],MATCH($A88,Data[Dist],0),MATCH(G$6,Data[#Headers],0))</f>
        <v>789521</v>
      </c>
      <c r="H88" s="22">
        <f>INDEX(Data[],MATCH($A88,Data[Dist],0),MATCH(H$6,Data[#Headers],0))-G88</f>
        <v>7105692</v>
      </c>
      <c r="I88" s="25"/>
      <c r="J88" s="22">
        <f>INDEX(Notes!$I$2:$N$11,MATCH(Notes!$B$2,Notes!$I$2:$I$11,0),4)*$C88</f>
        <v>789521</v>
      </c>
      <c r="K88" s="22">
        <f>INDEX(Notes!$I$2:$N$11,MATCH(Notes!$B$2,Notes!$I$2:$I$11,0),5)*$D88</f>
        <v>0</v>
      </c>
      <c r="L88" s="22">
        <f>INDEX(Notes!$I$2:$N$11,MATCH(Notes!$B$2,Notes!$I$2:$I$11,0),6)*$E88</f>
        <v>0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789521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895703</v>
      </c>
      <c r="D89" s="160">
        <f>INDEX(Data[],MATCH($A89,Data[Dist],0),MATCH(D$6,Data[#Headers],0))</f>
        <v>889644</v>
      </c>
      <c r="E89" s="160">
        <f>INDEX(Data[],MATCH($A89,Data[Dist],0),MATCH(E$6,Data[#Headers],0))</f>
        <v>889644</v>
      </c>
      <c r="F89" s="160">
        <f>INDEX(Data[],MATCH($A89,Data[Dist],0),MATCH(F$6,Data[#Headers],0))</f>
        <v>889645</v>
      </c>
      <c r="G89" s="22">
        <f>INDEX(Data[],MATCH($A89,Data[Dist],0),MATCH(G$6,Data[#Headers],0))</f>
        <v>895703</v>
      </c>
      <c r="H89" s="22">
        <f>INDEX(Data[],MATCH($A89,Data[Dist],0),MATCH(H$6,Data[#Headers],0))-G89</f>
        <v>8061329</v>
      </c>
      <c r="I89" s="25"/>
      <c r="J89" s="22">
        <f>INDEX(Notes!$I$2:$N$11,MATCH(Notes!$B$2,Notes!$I$2:$I$11,0),4)*$C89</f>
        <v>895703</v>
      </c>
      <c r="K89" s="22">
        <f>INDEX(Notes!$I$2:$N$11,MATCH(Notes!$B$2,Notes!$I$2:$I$11,0),5)*$D89</f>
        <v>0</v>
      </c>
      <c r="L89" s="22">
        <f>INDEX(Notes!$I$2:$N$11,MATCH(Notes!$B$2,Notes!$I$2:$I$11,0),6)*$E89</f>
        <v>0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895703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129412</v>
      </c>
      <c r="D90" s="160">
        <f>INDEX(Data[],MATCH($A90,Data[Dist],0),MATCH(D$6,Data[#Headers],0))</f>
        <v>128661</v>
      </c>
      <c r="E90" s="160">
        <f>INDEX(Data[],MATCH($A90,Data[Dist],0),MATCH(E$6,Data[#Headers],0))</f>
        <v>128660</v>
      </c>
      <c r="F90" s="160">
        <f>INDEX(Data[],MATCH($A90,Data[Dist],0),MATCH(F$6,Data[#Headers],0))</f>
        <v>128661</v>
      </c>
      <c r="G90" s="22">
        <f>INDEX(Data[],MATCH($A90,Data[Dist],0),MATCH(G$6,Data[#Headers],0))</f>
        <v>129412</v>
      </c>
      <c r="H90" s="22">
        <f>INDEX(Data[],MATCH($A90,Data[Dist],0),MATCH(H$6,Data[#Headers],0))-G90</f>
        <v>1164712</v>
      </c>
      <c r="I90" s="25"/>
      <c r="J90" s="22">
        <f>INDEX(Notes!$I$2:$N$11,MATCH(Notes!$B$2,Notes!$I$2:$I$11,0),4)*$C90</f>
        <v>129412</v>
      </c>
      <c r="K90" s="22">
        <f>INDEX(Notes!$I$2:$N$11,MATCH(Notes!$B$2,Notes!$I$2:$I$11,0),5)*$D90</f>
        <v>0</v>
      </c>
      <c r="L90" s="22">
        <f>INDEX(Notes!$I$2:$N$11,MATCH(Notes!$B$2,Notes!$I$2:$I$11,0),6)*$E90</f>
        <v>0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129412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1718043</v>
      </c>
      <c r="D91" s="160">
        <f>INDEX(Data[],MATCH($A91,Data[Dist],0),MATCH(D$6,Data[#Headers],0))</f>
        <v>1709948</v>
      </c>
      <c r="E91" s="160">
        <f>INDEX(Data[],MATCH($A91,Data[Dist],0),MATCH(E$6,Data[#Headers],0))</f>
        <v>1709948</v>
      </c>
      <c r="F91" s="160">
        <f>INDEX(Data[],MATCH($A91,Data[Dist],0),MATCH(F$6,Data[#Headers],0))</f>
        <v>1709947</v>
      </c>
      <c r="G91" s="22">
        <f>INDEX(Data[],MATCH($A91,Data[Dist],0),MATCH(G$6,Data[#Headers],0))</f>
        <v>1718043</v>
      </c>
      <c r="H91" s="22">
        <f>INDEX(Data[],MATCH($A91,Data[Dist],0),MATCH(H$6,Data[#Headers],0))-G91</f>
        <v>15462387</v>
      </c>
      <c r="I91" s="25"/>
      <c r="J91" s="22">
        <f>INDEX(Notes!$I$2:$N$11,MATCH(Notes!$B$2,Notes!$I$2:$I$11,0),4)*$C91</f>
        <v>1718043</v>
      </c>
      <c r="K91" s="22">
        <f>INDEX(Notes!$I$2:$N$11,MATCH(Notes!$B$2,Notes!$I$2:$I$11,0),5)*$D91</f>
        <v>0</v>
      </c>
      <c r="L91" s="22">
        <f>INDEX(Notes!$I$2:$N$11,MATCH(Notes!$B$2,Notes!$I$2:$I$11,0),6)*$E91</f>
        <v>0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1718043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626192</v>
      </c>
      <c r="D92" s="160">
        <f>INDEX(Data[],MATCH($A92,Data[Dist],0),MATCH(D$6,Data[#Headers],0))</f>
        <v>622772</v>
      </c>
      <c r="E92" s="160">
        <f>INDEX(Data[],MATCH($A92,Data[Dist],0),MATCH(E$6,Data[#Headers],0))</f>
        <v>622772</v>
      </c>
      <c r="F92" s="160">
        <f>INDEX(Data[],MATCH($A92,Data[Dist],0),MATCH(F$6,Data[#Headers],0))</f>
        <v>622773</v>
      </c>
      <c r="G92" s="22">
        <f>INDEX(Data[],MATCH($A92,Data[Dist],0),MATCH(G$6,Data[#Headers],0))</f>
        <v>626192</v>
      </c>
      <c r="H92" s="22">
        <f>INDEX(Data[],MATCH($A92,Data[Dist],0),MATCH(H$6,Data[#Headers],0))-G92</f>
        <v>5635723</v>
      </c>
      <c r="I92" s="25"/>
      <c r="J92" s="22">
        <f>INDEX(Notes!$I$2:$N$11,MATCH(Notes!$B$2,Notes!$I$2:$I$11,0),4)*$C92</f>
        <v>626192</v>
      </c>
      <c r="K92" s="22">
        <f>INDEX(Notes!$I$2:$N$11,MATCH(Notes!$B$2,Notes!$I$2:$I$11,0),5)*$D92</f>
        <v>0</v>
      </c>
      <c r="L92" s="22">
        <f>INDEX(Notes!$I$2:$N$11,MATCH(Notes!$B$2,Notes!$I$2:$I$11,0),6)*$E92</f>
        <v>0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626192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25451409</v>
      </c>
      <c r="D93" s="160">
        <f>INDEX(Data[],MATCH($A93,Data[Dist],0),MATCH(D$6,Data[#Headers],0))</f>
        <v>25328588</v>
      </c>
      <c r="E93" s="160">
        <f>INDEX(Data[],MATCH($A93,Data[Dist],0),MATCH(E$6,Data[#Headers],0))</f>
        <v>25328589</v>
      </c>
      <c r="F93" s="160">
        <f>INDEX(Data[],MATCH($A93,Data[Dist],0),MATCH(F$6,Data[#Headers],0))</f>
        <v>25328587</v>
      </c>
      <c r="G93" s="22">
        <f>INDEX(Data[],MATCH($A93,Data[Dist],0),MATCH(G$6,Data[#Headers],0))</f>
        <v>25451409</v>
      </c>
      <c r="H93" s="22">
        <f>INDEX(Data[],MATCH($A93,Data[Dist],0),MATCH(H$6,Data[#Headers],0))-G93</f>
        <v>229062681</v>
      </c>
      <c r="I93" s="25"/>
      <c r="J93" s="22">
        <f>INDEX(Notes!$I$2:$N$11,MATCH(Notes!$B$2,Notes!$I$2:$I$11,0),4)*$C93</f>
        <v>25451409</v>
      </c>
      <c r="K93" s="22">
        <f>INDEX(Notes!$I$2:$N$11,MATCH(Notes!$B$2,Notes!$I$2:$I$11,0),5)*$D93</f>
        <v>0</v>
      </c>
      <c r="L93" s="22">
        <f>INDEX(Notes!$I$2:$N$11,MATCH(Notes!$B$2,Notes!$I$2:$I$11,0),6)*$E93</f>
        <v>0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25451409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87910</v>
      </c>
      <c r="D94" s="160">
        <f>INDEX(Data[],MATCH($A94,Data[Dist],0),MATCH(D$6,Data[#Headers],0))</f>
        <v>87479</v>
      </c>
      <c r="E94" s="160">
        <f>INDEX(Data[],MATCH($A94,Data[Dist],0),MATCH(E$6,Data[#Headers],0))</f>
        <v>87478</v>
      </c>
      <c r="F94" s="160">
        <f>INDEX(Data[],MATCH($A94,Data[Dist],0),MATCH(F$6,Data[#Headers],0))</f>
        <v>87479</v>
      </c>
      <c r="G94" s="22">
        <f>INDEX(Data[],MATCH($A94,Data[Dist],0),MATCH(G$6,Data[#Headers],0))</f>
        <v>87910</v>
      </c>
      <c r="H94" s="22">
        <f>INDEX(Data[],MATCH($A94,Data[Dist],0),MATCH(H$6,Data[#Headers],0))-G94</f>
        <v>791190</v>
      </c>
      <c r="I94" s="25"/>
      <c r="J94" s="22">
        <f>INDEX(Notes!$I$2:$N$11,MATCH(Notes!$B$2,Notes!$I$2:$I$11,0),4)*$C94</f>
        <v>87910</v>
      </c>
      <c r="K94" s="22">
        <f>INDEX(Notes!$I$2:$N$11,MATCH(Notes!$B$2,Notes!$I$2:$I$11,0),5)*$D94</f>
        <v>0</v>
      </c>
      <c r="L94" s="22">
        <f>INDEX(Notes!$I$2:$N$11,MATCH(Notes!$B$2,Notes!$I$2:$I$11,0),6)*$E94</f>
        <v>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87910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608468</v>
      </c>
      <c r="D95" s="160">
        <f>INDEX(Data[],MATCH($A95,Data[Dist],0),MATCH(D$6,Data[#Headers],0))</f>
        <v>605001</v>
      </c>
      <c r="E95" s="160">
        <f>INDEX(Data[],MATCH($A95,Data[Dist],0),MATCH(E$6,Data[#Headers],0))</f>
        <v>605001</v>
      </c>
      <c r="F95" s="160">
        <f>INDEX(Data[],MATCH($A95,Data[Dist],0),MATCH(F$6,Data[#Headers],0))</f>
        <v>605002</v>
      </c>
      <c r="G95" s="22">
        <f>INDEX(Data[],MATCH($A95,Data[Dist],0),MATCH(G$6,Data[#Headers],0))</f>
        <v>608468</v>
      </c>
      <c r="H95" s="22">
        <f>INDEX(Data[],MATCH($A95,Data[Dist],0),MATCH(H$6,Data[#Headers],0))-G95</f>
        <v>5476212</v>
      </c>
      <c r="I95" s="25"/>
      <c r="J95" s="22">
        <f>INDEX(Notes!$I$2:$N$11,MATCH(Notes!$B$2,Notes!$I$2:$I$11,0),4)*$C95</f>
        <v>608468</v>
      </c>
      <c r="K95" s="22">
        <f>INDEX(Notes!$I$2:$N$11,MATCH(Notes!$B$2,Notes!$I$2:$I$11,0),5)*$D95</f>
        <v>0</v>
      </c>
      <c r="L95" s="22">
        <f>INDEX(Notes!$I$2:$N$11,MATCH(Notes!$B$2,Notes!$I$2:$I$11,0),6)*$E95</f>
        <v>0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608468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7247030</v>
      </c>
      <c r="D96" s="160">
        <f>INDEX(Data[],MATCH($A96,Data[Dist],0),MATCH(D$6,Data[#Headers],0))</f>
        <v>7206965</v>
      </c>
      <c r="E96" s="160">
        <f>INDEX(Data[],MATCH($A96,Data[Dist],0),MATCH(E$6,Data[#Headers],0))</f>
        <v>7206965</v>
      </c>
      <c r="F96" s="160">
        <f>INDEX(Data[],MATCH($A96,Data[Dist],0),MATCH(F$6,Data[#Headers],0))</f>
        <v>7206965</v>
      </c>
      <c r="G96" s="22">
        <f>INDEX(Data[],MATCH($A96,Data[Dist],0),MATCH(G$6,Data[#Headers],0))</f>
        <v>7247030</v>
      </c>
      <c r="H96" s="22">
        <f>INDEX(Data[],MATCH($A96,Data[Dist],0),MATCH(H$6,Data[#Headers],0))-G96</f>
        <v>65223273</v>
      </c>
      <c r="I96" s="25"/>
      <c r="J96" s="22">
        <f>INDEX(Notes!$I$2:$N$11,MATCH(Notes!$B$2,Notes!$I$2:$I$11,0),4)*$C96</f>
        <v>7247030</v>
      </c>
      <c r="K96" s="22">
        <f>INDEX(Notes!$I$2:$N$11,MATCH(Notes!$B$2,Notes!$I$2:$I$11,0),5)*$D96</f>
        <v>0</v>
      </c>
      <c r="L96" s="22">
        <f>INDEX(Notes!$I$2:$N$11,MATCH(Notes!$B$2,Notes!$I$2:$I$11,0),6)*$E96</f>
        <v>0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7247030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251988</v>
      </c>
      <c r="D97" s="160">
        <f>INDEX(Data[],MATCH($A97,Data[Dist],0),MATCH(D$6,Data[#Headers],0))</f>
        <v>250480</v>
      </c>
      <c r="E97" s="160">
        <f>INDEX(Data[],MATCH($A97,Data[Dist],0),MATCH(E$6,Data[#Headers],0))</f>
        <v>250479</v>
      </c>
      <c r="F97" s="160">
        <f>INDEX(Data[],MATCH($A97,Data[Dist],0),MATCH(F$6,Data[#Headers],0))</f>
        <v>250480</v>
      </c>
      <c r="G97" s="22">
        <f>INDEX(Data[],MATCH($A97,Data[Dist],0),MATCH(G$6,Data[#Headers],0))</f>
        <v>251988</v>
      </c>
      <c r="H97" s="22">
        <f>INDEX(Data[],MATCH($A97,Data[Dist],0),MATCH(H$6,Data[#Headers],0))-G97</f>
        <v>2267893</v>
      </c>
      <c r="I97" s="25"/>
      <c r="J97" s="22">
        <f>INDEX(Notes!$I$2:$N$11,MATCH(Notes!$B$2,Notes!$I$2:$I$11,0),4)*$C97</f>
        <v>251988</v>
      </c>
      <c r="K97" s="22">
        <f>INDEX(Notes!$I$2:$N$11,MATCH(Notes!$B$2,Notes!$I$2:$I$11,0),5)*$D97</f>
        <v>0</v>
      </c>
      <c r="L97" s="22">
        <f>INDEX(Notes!$I$2:$N$11,MATCH(Notes!$B$2,Notes!$I$2:$I$11,0),6)*$E97</f>
        <v>0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251988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225331</v>
      </c>
      <c r="D98" s="160">
        <f>INDEX(Data[],MATCH($A98,Data[Dist],0),MATCH(D$6,Data[#Headers],0))</f>
        <v>223760</v>
      </c>
      <c r="E98" s="160">
        <f>INDEX(Data[],MATCH($A98,Data[Dist],0),MATCH(E$6,Data[#Headers],0))</f>
        <v>223761</v>
      </c>
      <c r="F98" s="160">
        <f>INDEX(Data[],MATCH($A98,Data[Dist],0),MATCH(F$6,Data[#Headers],0))</f>
        <v>223759</v>
      </c>
      <c r="G98" s="22">
        <f>INDEX(Data[],MATCH($A98,Data[Dist],0),MATCH(G$6,Data[#Headers],0))</f>
        <v>225331</v>
      </c>
      <c r="H98" s="22">
        <f>INDEX(Data[],MATCH($A98,Data[Dist],0),MATCH(H$6,Data[#Headers],0))-G98</f>
        <v>2027978</v>
      </c>
      <c r="I98" s="25"/>
      <c r="J98" s="22">
        <f>INDEX(Notes!$I$2:$N$11,MATCH(Notes!$B$2,Notes!$I$2:$I$11,0),4)*$C98</f>
        <v>225331</v>
      </c>
      <c r="K98" s="22">
        <f>INDEX(Notes!$I$2:$N$11,MATCH(Notes!$B$2,Notes!$I$2:$I$11,0),5)*$D98</f>
        <v>0</v>
      </c>
      <c r="L98" s="22">
        <f>INDEX(Notes!$I$2:$N$11,MATCH(Notes!$B$2,Notes!$I$2:$I$11,0),6)*$E98</f>
        <v>0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225331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328646</v>
      </c>
      <c r="D99" s="160">
        <f>INDEX(Data[],MATCH($A99,Data[Dist],0),MATCH(D$6,Data[#Headers],0))</f>
        <v>326544</v>
      </c>
      <c r="E99" s="160">
        <f>INDEX(Data[],MATCH($A99,Data[Dist],0),MATCH(E$6,Data[#Headers],0))</f>
        <v>326543</v>
      </c>
      <c r="F99" s="160">
        <f>INDEX(Data[],MATCH($A99,Data[Dist],0),MATCH(F$6,Data[#Headers],0))</f>
        <v>326544</v>
      </c>
      <c r="G99" s="22">
        <f>INDEX(Data[],MATCH($A99,Data[Dist],0),MATCH(G$6,Data[#Headers],0))</f>
        <v>328646</v>
      </c>
      <c r="H99" s="22">
        <f>INDEX(Data[],MATCH($A99,Data[Dist],0),MATCH(H$6,Data[#Headers],0))-G99</f>
        <v>2957812</v>
      </c>
      <c r="I99" s="25"/>
      <c r="J99" s="22">
        <f>INDEX(Notes!$I$2:$N$11,MATCH(Notes!$B$2,Notes!$I$2:$I$11,0),4)*$C99</f>
        <v>328646</v>
      </c>
      <c r="K99" s="22">
        <f>INDEX(Notes!$I$2:$N$11,MATCH(Notes!$B$2,Notes!$I$2:$I$11,0),5)*$D99</f>
        <v>0</v>
      </c>
      <c r="L99" s="22">
        <f>INDEX(Notes!$I$2:$N$11,MATCH(Notes!$B$2,Notes!$I$2:$I$11,0),6)*$E99</f>
        <v>0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328646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636551</v>
      </c>
      <c r="D100" s="160">
        <f>INDEX(Data[],MATCH($A100,Data[Dist],0),MATCH(D$6,Data[#Headers],0))</f>
        <v>632619</v>
      </c>
      <c r="E100" s="160">
        <f>INDEX(Data[],MATCH($A100,Data[Dist],0),MATCH(E$6,Data[#Headers],0))</f>
        <v>632619</v>
      </c>
      <c r="F100" s="160">
        <f>INDEX(Data[],MATCH($A100,Data[Dist],0),MATCH(F$6,Data[#Headers],0))</f>
        <v>632617</v>
      </c>
      <c r="G100" s="22">
        <f>INDEX(Data[],MATCH($A100,Data[Dist],0),MATCH(G$6,Data[#Headers],0))</f>
        <v>636551</v>
      </c>
      <c r="H100" s="22">
        <f>INDEX(Data[],MATCH($A100,Data[Dist],0),MATCH(H$6,Data[#Headers],0))-G100</f>
        <v>5728962</v>
      </c>
      <c r="I100" s="25"/>
      <c r="J100" s="22">
        <f>INDEX(Notes!$I$2:$N$11,MATCH(Notes!$B$2,Notes!$I$2:$I$11,0),4)*$C100</f>
        <v>636551</v>
      </c>
      <c r="K100" s="22">
        <f>INDEX(Notes!$I$2:$N$11,MATCH(Notes!$B$2,Notes!$I$2:$I$11,0),5)*$D100</f>
        <v>0</v>
      </c>
      <c r="L100" s="22">
        <f>INDEX(Notes!$I$2:$N$11,MATCH(Notes!$B$2,Notes!$I$2:$I$11,0),6)*$E100</f>
        <v>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636551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747616</v>
      </c>
      <c r="D101" s="160">
        <f>INDEX(Data[],MATCH($A101,Data[Dist],0),MATCH(D$6,Data[#Headers],0))</f>
        <v>743768</v>
      </c>
      <c r="E101" s="160">
        <f>INDEX(Data[],MATCH($A101,Data[Dist],0),MATCH(E$6,Data[#Headers],0))</f>
        <v>743767</v>
      </c>
      <c r="F101" s="160">
        <f>INDEX(Data[],MATCH($A101,Data[Dist],0),MATCH(F$6,Data[#Headers],0))</f>
        <v>743768</v>
      </c>
      <c r="G101" s="22">
        <f>INDEX(Data[],MATCH($A101,Data[Dist],0),MATCH(G$6,Data[#Headers],0))</f>
        <v>747616</v>
      </c>
      <c r="H101" s="22">
        <f>INDEX(Data[],MATCH($A101,Data[Dist],0),MATCH(H$6,Data[#Headers],0))-G101</f>
        <v>6728541</v>
      </c>
      <c r="I101" s="25"/>
      <c r="J101" s="22">
        <f>INDEX(Notes!$I$2:$N$11,MATCH(Notes!$B$2,Notes!$I$2:$I$11,0),4)*$C101</f>
        <v>747616</v>
      </c>
      <c r="K101" s="22">
        <f>INDEX(Notes!$I$2:$N$11,MATCH(Notes!$B$2,Notes!$I$2:$I$11,0),5)*$D101</f>
        <v>0</v>
      </c>
      <c r="L101" s="22">
        <f>INDEX(Notes!$I$2:$N$11,MATCH(Notes!$B$2,Notes!$I$2:$I$11,0),6)*$E101</f>
        <v>0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747616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381918</v>
      </c>
      <c r="D102" s="160">
        <f>INDEX(Data[],MATCH($A102,Data[Dist],0),MATCH(D$6,Data[#Headers],0))</f>
        <v>379618</v>
      </c>
      <c r="E102" s="160">
        <f>INDEX(Data[],MATCH($A102,Data[Dist],0),MATCH(E$6,Data[#Headers],0))</f>
        <v>379618</v>
      </c>
      <c r="F102" s="160">
        <f>INDEX(Data[],MATCH($A102,Data[Dist],0),MATCH(F$6,Data[#Headers],0))</f>
        <v>379618</v>
      </c>
      <c r="G102" s="22">
        <f>INDEX(Data[],MATCH($A102,Data[Dist],0),MATCH(G$6,Data[#Headers],0))</f>
        <v>381918</v>
      </c>
      <c r="H102" s="22">
        <f>INDEX(Data[],MATCH($A102,Data[Dist],0),MATCH(H$6,Data[#Headers],0))-G102</f>
        <v>3437258</v>
      </c>
      <c r="I102" s="25"/>
      <c r="J102" s="22">
        <f>INDEX(Notes!$I$2:$N$11,MATCH(Notes!$B$2,Notes!$I$2:$I$11,0),4)*$C102</f>
        <v>381918</v>
      </c>
      <c r="K102" s="22">
        <f>INDEX(Notes!$I$2:$N$11,MATCH(Notes!$B$2,Notes!$I$2:$I$11,0),5)*$D102</f>
        <v>0</v>
      </c>
      <c r="L102" s="22">
        <f>INDEX(Notes!$I$2:$N$11,MATCH(Notes!$B$2,Notes!$I$2:$I$11,0),6)*$E102</f>
        <v>0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381918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382882</v>
      </c>
      <c r="D103" s="160">
        <f>INDEX(Data[],MATCH($A103,Data[Dist],0),MATCH(D$6,Data[#Headers],0))</f>
        <v>380695</v>
      </c>
      <c r="E103" s="160">
        <f>INDEX(Data[],MATCH($A103,Data[Dist],0),MATCH(E$6,Data[#Headers],0))</f>
        <v>380696</v>
      </c>
      <c r="F103" s="160">
        <f>INDEX(Data[],MATCH($A103,Data[Dist],0),MATCH(F$6,Data[#Headers],0))</f>
        <v>380694</v>
      </c>
      <c r="G103" s="22">
        <f>INDEX(Data[],MATCH($A103,Data[Dist],0),MATCH(G$6,Data[#Headers],0))</f>
        <v>382882</v>
      </c>
      <c r="H103" s="22">
        <f>INDEX(Data[],MATCH($A103,Data[Dist],0),MATCH(H$6,Data[#Headers],0))-G103</f>
        <v>3445942</v>
      </c>
      <c r="I103" s="25"/>
      <c r="J103" s="22">
        <f>INDEX(Notes!$I$2:$N$11,MATCH(Notes!$B$2,Notes!$I$2:$I$11,0),4)*$C103</f>
        <v>382882</v>
      </c>
      <c r="K103" s="22">
        <f>INDEX(Notes!$I$2:$N$11,MATCH(Notes!$B$2,Notes!$I$2:$I$11,0),5)*$D103</f>
        <v>0</v>
      </c>
      <c r="L103" s="22">
        <f>INDEX(Notes!$I$2:$N$11,MATCH(Notes!$B$2,Notes!$I$2:$I$11,0),6)*$E103</f>
        <v>0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382882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376085</v>
      </c>
      <c r="D104" s="160">
        <f>INDEX(Data[],MATCH($A104,Data[Dist],0),MATCH(D$6,Data[#Headers],0))</f>
        <v>373872</v>
      </c>
      <c r="E104" s="160">
        <f>INDEX(Data[],MATCH($A104,Data[Dist],0),MATCH(E$6,Data[#Headers],0))</f>
        <v>373873</v>
      </c>
      <c r="F104" s="160">
        <f>INDEX(Data[],MATCH($A104,Data[Dist],0),MATCH(F$6,Data[#Headers],0))</f>
        <v>373871</v>
      </c>
      <c r="G104" s="22">
        <f>INDEX(Data[],MATCH($A104,Data[Dist],0),MATCH(G$6,Data[#Headers],0))</f>
        <v>376085</v>
      </c>
      <c r="H104" s="22">
        <f>INDEX(Data[],MATCH($A104,Data[Dist],0),MATCH(H$6,Data[#Headers],0))-G104</f>
        <v>3384765</v>
      </c>
      <c r="I104" s="25"/>
      <c r="J104" s="22">
        <f>INDEX(Notes!$I$2:$N$11,MATCH(Notes!$B$2,Notes!$I$2:$I$11,0),4)*$C104</f>
        <v>376085</v>
      </c>
      <c r="K104" s="22">
        <f>INDEX(Notes!$I$2:$N$11,MATCH(Notes!$B$2,Notes!$I$2:$I$11,0),5)*$D104</f>
        <v>0</v>
      </c>
      <c r="L104" s="22">
        <f>INDEX(Notes!$I$2:$N$11,MATCH(Notes!$B$2,Notes!$I$2:$I$11,0),6)*$E104</f>
        <v>0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376085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358707</v>
      </c>
      <c r="D105" s="160">
        <f>INDEX(Data[],MATCH($A105,Data[Dist],0),MATCH(D$6,Data[#Headers],0))</f>
        <v>356798</v>
      </c>
      <c r="E105" s="160">
        <f>INDEX(Data[],MATCH($A105,Data[Dist],0),MATCH(E$6,Data[#Headers],0))</f>
        <v>356798</v>
      </c>
      <c r="F105" s="160">
        <f>INDEX(Data[],MATCH($A105,Data[Dist],0),MATCH(F$6,Data[#Headers],0))</f>
        <v>356799</v>
      </c>
      <c r="G105" s="22">
        <f>INDEX(Data[],MATCH($A105,Data[Dist],0),MATCH(G$6,Data[#Headers],0))</f>
        <v>358707</v>
      </c>
      <c r="H105" s="22">
        <f>INDEX(Data[],MATCH($A105,Data[Dist],0),MATCH(H$6,Data[#Headers],0))-G105</f>
        <v>3228359</v>
      </c>
      <c r="I105" s="25"/>
      <c r="J105" s="22">
        <f>INDEX(Notes!$I$2:$N$11,MATCH(Notes!$B$2,Notes!$I$2:$I$11,0),4)*$C105</f>
        <v>358707</v>
      </c>
      <c r="K105" s="22">
        <f>INDEX(Notes!$I$2:$N$11,MATCH(Notes!$B$2,Notes!$I$2:$I$11,0),5)*$D105</f>
        <v>0</v>
      </c>
      <c r="L105" s="22">
        <f>INDEX(Notes!$I$2:$N$11,MATCH(Notes!$B$2,Notes!$I$2:$I$11,0),6)*$E105</f>
        <v>0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358707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192114</v>
      </c>
      <c r="D106" s="160">
        <f>INDEX(Data[],MATCH($A106,Data[Dist],0),MATCH(D$6,Data[#Headers],0))</f>
        <v>190807</v>
      </c>
      <c r="E106" s="160">
        <f>INDEX(Data[],MATCH($A106,Data[Dist],0),MATCH(E$6,Data[#Headers],0))</f>
        <v>190806</v>
      </c>
      <c r="F106" s="160">
        <f>INDEX(Data[],MATCH($A106,Data[Dist],0),MATCH(F$6,Data[#Headers],0))</f>
        <v>190807</v>
      </c>
      <c r="G106" s="22">
        <f>INDEX(Data[],MATCH($A106,Data[Dist],0),MATCH(G$6,Data[#Headers],0))</f>
        <v>192114</v>
      </c>
      <c r="H106" s="22">
        <f>INDEX(Data[],MATCH($A106,Data[Dist],0),MATCH(H$6,Data[#Headers],0))-G106</f>
        <v>1729027</v>
      </c>
      <c r="I106" s="25"/>
      <c r="J106" s="22">
        <f>INDEX(Notes!$I$2:$N$11,MATCH(Notes!$B$2,Notes!$I$2:$I$11,0),4)*$C106</f>
        <v>192114</v>
      </c>
      <c r="K106" s="22">
        <f>INDEX(Notes!$I$2:$N$11,MATCH(Notes!$B$2,Notes!$I$2:$I$11,0),5)*$D106</f>
        <v>0</v>
      </c>
      <c r="L106" s="22">
        <f>INDEX(Notes!$I$2:$N$11,MATCH(Notes!$B$2,Notes!$I$2:$I$11,0),6)*$E106</f>
        <v>0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192114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206793</v>
      </c>
      <c r="D107" s="160">
        <f>INDEX(Data[],MATCH($A107,Data[Dist],0),MATCH(D$6,Data[#Headers],0))</f>
        <v>205323</v>
      </c>
      <c r="E107" s="160">
        <f>INDEX(Data[],MATCH($A107,Data[Dist],0),MATCH(E$6,Data[#Headers],0))</f>
        <v>205324</v>
      </c>
      <c r="F107" s="160">
        <f>INDEX(Data[],MATCH($A107,Data[Dist],0),MATCH(F$6,Data[#Headers],0))</f>
        <v>205322</v>
      </c>
      <c r="G107" s="22">
        <f>INDEX(Data[],MATCH($A107,Data[Dist],0),MATCH(G$6,Data[#Headers],0))</f>
        <v>206793</v>
      </c>
      <c r="H107" s="22">
        <f>INDEX(Data[],MATCH($A107,Data[Dist],0),MATCH(H$6,Data[#Headers],0))-G107</f>
        <v>1861136</v>
      </c>
      <c r="I107" s="25"/>
      <c r="J107" s="22">
        <f>INDEX(Notes!$I$2:$N$11,MATCH(Notes!$B$2,Notes!$I$2:$I$11,0),4)*$C107</f>
        <v>206793</v>
      </c>
      <c r="K107" s="22">
        <f>INDEX(Notes!$I$2:$N$11,MATCH(Notes!$B$2,Notes!$I$2:$I$11,0),5)*$D107</f>
        <v>0</v>
      </c>
      <c r="L107" s="22">
        <f>INDEX(Notes!$I$2:$N$11,MATCH(Notes!$B$2,Notes!$I$2:$I$11,0),6)*$E107</f>
        <v>0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206793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254489</v>
      </c>
      <c r="D108" s="160">
        <f>INDEX(Data[],MATCH($A108,Data[Dist],0),MATCH(D$6,Data[#Headers],0))</f>
        <v>252910</v>
      </c>
      <c r="E108" s="160">
        <f>INDEX(Data[],MATCH($A108,Data[Dist],0),MATCH(E$6,Data[#Headers],0))</f>
        <v>252909</v>
      </c>
      <c r="F108" s="160">
        <f>INDEX(Data[],MATCH($A108,Data[Dist],0),MATCH(F$6,Data[#Headers],0))</f>
        <v>252910</v>
      </c>
      <c r="G108" s="22">
        <f>INDEX(Data[],MATCH($A108,Data[Dist],0),MATCH(G$6,Data[#Headers],0))</f>
        <v>254489</v>
      </c>
      <c r="H108" s="22">
        <f>INDEX(Data[],MATCH($A108,Data[Dist],0),MATCH(H$6,Data[#Headers],0))-G108</f>
        <v>2290402</v>
      </c>
      <c r="I108" s="25"/>
      <c r="J108" s="22">
        <f>INDEX(Notes!$I$2:$N$11,MATCH(Notes!$B$2,Notes!$I$2:$I$11,0),4)*$C108</f>
        <v>254489</v>
      </c>
      <c r="K108" s="22">
        <f>INDEX(Notes!$I$2:$N$11,MATCH(Notes!$B$2,Notes!$I$2:$I$11,0),5)*$D108</f>
        <v>0</v>
      </c>
      <c r="L108" s="22">
        <f>INDEX(Notes!$I$2:$N$11,MATCH(Notes!$B$2,Notes!$I$2:$I$11,0),6)*$E108</f>
        <v>0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254489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388459</v>
      </c>
      <c r="D109" s="160">
        <f>INDEX(Data[],MATCH($A109,Data[Dist],0),MATCH(D$6,Data[#Headers],0))</f>
        <v>386353</v>
      </c>
      <c r="E109" s="160">
        <f>INDEX(Data[],MATCH($A109,Data[Dist],0),MATCH(E$6,Data[#Headers],0))</f>
        <v>386353</v>
      </c>
      <c r="F109" s="160">
        <f>INDEX(Data[],MATCH($A109,Data[Dist],0),MATCH(F$6,Data[#Headers],0))</f>
        <v>386354</v>
      </c>
      <c r="G109" s="22">
        <f>INDEX(Data[],MATCH($A109,Data[Dist],0),MATCH(G$6,Data[#Headers],0))</f>
        <v>388459</v>
      </c>
      <c r="H109" s="22">
        <f>INDEX(Data[],MATCH($A109,Data[Dist],0),MATCH(H$6,Data[#Headers],0))-G109</f>
        <v>3496135</v>
      </c>
      <c r="I109" s="25"/>
      <c r="J109" s="22">
        <f>INDEX(Notes!$I$2:$N$11,MATCH(Notes!$B$2,Notes!$I$2:$I$11,0),4)*$C109</f>
        <v>388459</v>
      </c>
      <c r="K109" s="22">
        <f>INDEX(Notes!$I$2:$N$11,MATCH(Notes!$B$2,Notes!$I$2:$I$11,0),5)*$D109</f>
        <v>0</v>
      </c>
      <c r="L109" s="22">
        <f>INDEX(Notes!$I$2:$N$11,MATCH(Notes!$B$2,Notes!$I$2:$I$11,0),6)*$E109</f>
        <v>0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388459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396522</v>
      </c>
      <c r="D110" s="160">
        <f>INDEX(Data[],MATCH($A110,Data[Dist],0),MATCH(D$6,Data[#Headers],0))</f>
        <v>393950</v>
      </c>
      <c r="E110" s="160">
        <f>INDEX(Data[],MATCH($A110,Data[Dist],0),MATCH(E$6,Data[#Headers],0))</f>
        <v>393951</v>
      </c>
      <c r="F110" s="160">
        <f>INDEX(Data[],MATCH($A110,Data[Dist],0),MATCH(F$6,Data[#Headers],0))</f>
        <v>393949</v>
      </c>
      <c r="G110" s="22">
        <f>INDEX(Data[],MATCH($A110,Data[Dist],0),MATCH(G$6,Data[#Headers],0))</f>
        <v>396522</v>
      </c>
      <c r="H110" s="22">
        <f>INDEX(Data[],MATCH($A110,Data[Dist],0),MATCH(H$6,Data[#Headers],0))-G110</f>
        <v>3568694</v>
      </c>
      <c r="I110" s="25"/>
      <c r="J110" s="22">
        <f>INDEX(Notes!$I$2:$N$11,MATCH(Notes!$B$2,Notes!$I$2:$I$11,0),4)*$C110</f>
        <v>396522</v>
      </c>
      <c r="K110" s="22">
        <f>INDEX(Notes!$I$2:$N$11,MATCH(Notes!$B$2,Notes!$I$2:$I$11,0),5)*$D110</f>
        <v>0</v>
      </c>
      <c r="L110" s="22">
        <f>INDEX(Notes!$I$2:$N$11,MATCH(Notes!$B$2,Notes!$I$2:$I$11,0),6)*$E110</f>
        <v>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396522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319085</v>
      </c>
      <c r="D111" s="160">
        <f>INDEX(Data[],MATCH($A111,Data[Dist],0),MATCH(D$6,Data[#Headers],0))</f>
        <v>317179</v>
      </c>
      <c r="E111" s="160">
        <f>INDEX(Data[],MATCH($A111,Data[Dist],0),MATCH(E$6,Data[#Headers],0))</f>
        <v>317179</v>
      </c>
      <c r="F111" s="160">
        <f>INDEX(Data[],MATCH($A111,Data[Dist],0),MATCH(F$6,Data[#Headers],0))</f>
        <v>317179</v>
      </c>
      <c r="G111" s="22">
        <f>INDEX(Data[],MATCH($A111,Data[Dist],0),MATCH(G$6,Data[#Headers],0))</f>
        <v>319085</v>
      </c>
      <c r="H111" s="22">
        <f>INDEX(Data[],MATCH($A111,Data[Dist],0),MATCH(H$6,Data[#Headers],0))-G111</f>
        <v>2871764</v>
      </c>
      <c r="I111" s="25"/>
      <c r="J111" s="22">
        <f>INDEX(Notes!$I$2:$N$11,MATCH(Notes!$B$2,Notes!$I$2:$I$11,0),4)*$C111</f>
        <v>319085</v>
      </c>
      <c r="K111" s="22">
        <f>INDEX(Notes!$I$2:$N$11,MATCH(Notes!$B$2,Notes!$I$2:$I$11,0),5)*$D111</f>
        <v>0</v>
      </c>
      <c r="L111" s="22">
        <f>INDEX(Notes!$I$2:$N$11,MATCH(Notes!$B$2,Notes!$I$2:$I$11,0),6)*$E111</f>
        <v>0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319085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125780</v>
      </c>
      <c r="D112" s="160">
        <f>INDEX(Data[],MATCH($A112,Data[Dist],0),MATCH(D$6,Data[#Headers],0))</f>
        <v>125054</v>
      </c>
      <c r="E112" s="160">
        <f>INDEX(Data[],MATCH($A112,Data[Dist],0),MATCH(E$6,Data[#Headers],0))</f>
        <v>125055</v>
      </c>
      <c r="F112" s="160">
        <f>INDEX(Data[],MATCH($A112,Data[Dist],0),MATCH(F$6,Data[#Headers],0))</f>
        <v>125053</v>
      </c>
      <c r="G112" s="22">
        <f>INDEX(Data[],MATCH($A112,Data[Dist],0),MATCH(G$6,Data[#Headers],0))</f>
        <v>125780</v>
      </c>
      <c r="H112" s="22">
        <f>INDEX(Data[],MATCH($A112,Data[Dist],0),MATCH(H$6,Data[#Headers],0))-G112</f>
        <v>1132022</v>
      </c>
      <c r="I112" s="25"/>
      <c r="J112" s="22">
        <f>INDEX(Notes!$I$2:$N$11,MATCH(Notes!$B$2,Notes!$I$2:$I$11,0),4)*$C112</f>
        <v>125780</v>
      </c>
      <c r="K112" s="22">
        <f>INDEX(Notes!$I$2:$N$11,MATCH(Notes!$B$2,Notes!$I$2:$I$11,0),5)*$D112</f>
        <v>0</v>
      </c>
      <c r="L112" s="22">
        <f>INDEX(Notes!$I$2:$N$11,MATCH(Notes!$B$2,Notes!$I$2:$I$11,0),6)*$E112</f>
        <v>0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125780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863779</v>
      </c>
      <c r="D113" s="160">
        <f>INDEX(Data[],MATCH($A113,Data[Dist],0),MATCH(D$6,Data[#Headers],0))</f>
        <v>858941</v>
      </c>
      <c r="E113" s="160">
        <f>INDEX(Data[],MATCH($A113,Data[Dist],0),MATCH(E$6,Data[#Headers],0))</f>
        <v>858940</v>
      </c>
      <c r="F113" s="160">
        <f>INDEX(Data[],MATCH($A113,Data[Dist],0),MATCH(F$6,Data[#Headers],0))</f>
        <v>858941</v>
      </c>
      <c r="G113" s="22">
        <f>INDEX(Data[],MATCH($A113,Data[Dist],0),MATCH(G$6,Data[#Headers],0))</f>
        <v>863779</v>
      </c>
      <c r="H113" s="22">
        <f>INDEX(Data[],MATCH($A113,Data[Dist],0),MATCH(H$6,Data[#Headers],0))-G113</f>
        <v>7774009</v>
      </c>
      <c r="I113" s="25"/>
      <c r="J113" s="22">
        <f>INDEX(Notes!$I$2:$N$11,MATCH(Notes!$B$2,Notes!$I$2:$I$11,0),4)*$C113</f>
        <v>863779</v>
      </c>
      <c r="K113" s="22">
        <f>INDEX(Notes!$I$2:$N$11,MATCH(Notes!$B$2,Notes!$I$2:$I$11,0),5)*$D113</f>
        <v>0</v>
      </c>
      <c r="L113" s="22">
        <f>INDEX(Notes!$I$2:$N$11,MATCH(Notes!$B$2,Notes!$I$2:$I$11,0),6)*$E113</f>
        <v>0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863779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245071</v>
      </c>
      <c r="D114" s="160">
        <f>INDEX(Data[],MATCH($A114,Data[Dist],0),MATCH(D$6,Data[#Headers],0))</f>
        <v>243459</v>
      </c>
      <c r="E114" s="160">
        <f>INDEX(Data[],MATCH($A114,Data[Dist],0),MATCH(E$6,Data[#Headers],0))</f>
        <v>243459</v>
      </c>
      <c r="F114" s="160">
        <f>INDEX(Data[],MATCH($A114,Data[Dist],0),MATCH(F$6,Data[#Headers],0))</f>
        <v>243460</v>
      </c>
      <c r="G114" s="22">
        <f>INDEX(Data[],MATCH($A114,Data[Dist],0),MATCH(G$6,Data[#Headers],0))</f>
        <v>245071</v>
      </c>
      <c r="H114" s="22">
        <f>INDEX(Data[],MATCH($A114,Data[Dist],0),MATCH(H$6,Data[#Headers],0))-G114</f>
        <v>2205636</v>
      </c>
      <c r="I114" s="25"/>
      <c r="J114" s="22">
        <f>INDEX(Notes!$I$2:$N$11,MATCH(Notes!$B$2,Notes!$I$2:$I$11,0),4)*$C114</f>
        <v>245071</v>
      </c>
      <c r="K114" s="22">
        <f>INDEX(Notes!$I$2:$N$11,MATCH(Notes!$B$2,Notes!$I$2:$I$11,0),5)*$D114</f>
        <v>0</v>
      </c>
      <c r="L114" s="22">
        <f>INDEX(Notes!$I$2:$N$11,MATCH(Notes!$B$2,Notes!$I$2:$I$11,0),6)*$E114</f>
        <v>0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245071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995727</v>
      </c>
      <c r="D115" s="160">
        <f>INDEX(Data[],MATCH($A115,Data[Dist],0),MATCH(D$6,Data[#Headers],0))</f>
        <v>989364</v>
      </c>
      <c r="E115" s="160">
        <f>INDEX(Data[],MATCH($A115,Data[Dist],0),MATCH(E$6,Data[#Headers],0))</f>
        <v>989364</v>
      </c>
      <c r="F115" s="160">
        <f>INDEX(Data[],MATCH($A115,Data[Dist],0),MATCH(F$6,Data[#Headers],0))</f>
        <v>989362</v>
      </c>
      <c r="G115" s="22">
        <f>INDEX(Data[],MATCH($A115,Data[Dist],0),MATCH(G$6,Data[#Headers],0))</f>
        <v>995727</v>
      </c>
      <c r="H115" s="22">
        <f>INDEX(Data[],MATCH($A115,Data[Dist],0),MATCH(H$6,Data[#Headers],0))-G115</f>
        <v>8961544</v>
      </c>
      <c r="I115" s="25"/>
      <c r="J115" s="22">
        <f>INDEX(Notes!$I$2:$N$11,MATCH(Notes!$B$2,Notes!$I$2:$I$11,0),4)*$C115</f>
        <v>995727</v>
      </c>
      <c r="K115" s="22">
        <f>INDEX(Notes!$I$2:$N$11,MATCH(Notes!$B$2,Notes!$I$2:$I$11,0),5)*$D115</f>
        <v>0</v>
      </c>
      <c r="L115" s="22">
        <f>INDEX(Notes!$I$2:$N$11,MATCH(Notes!$B$2,Notes!$I$2:$I$11,0),6)*$E115</f>
        <v>0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995727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713682</v>
      </c>
      <c r="D116" s="160">
        <f>INDEX(Data[],MATCH($A116,Data[Dist],0),MATCH(D$6,Data[#Headers],0))</f>
        <v>709494</v>
      </c>
      <c r="E116" s="160">
        <f>INDEX(Data[],MATCH($A116,Data[Dist],0),MATCH(E$6,Data[#Headers],0))</f>
        <v>709494</v>
      </c>
      <c r="F116" s="160">
        <f>INDEX(Data[],MATCH($A116,Data[Dist],0),MATCH(F$6,Data[#Headers],0))</f>
        <v>709495</v>
      </c>
      <c r="G116" s="22">
        <f>INDEX(Data[],MATCH($A116,Data[Dist],0),MATCH(G$6,Data[#Headers],0))</f>
        <v>713682</v>
      </c>
      <c r="H116" s="22">
        <f>INDEX(Data[],MATCH($A116,Data[Dist],0),MATCH(H$6,Data[#Headers],0))-G116</f>
        <v>6423142</v>
      </c>
      <c r="I116" s="25"/>
      <c r="J116" s="22">
        <f>INDEX(Notes!$I$2:$N$11,MATCH(Notes!$B$2,Notes!$I$2:$I$11,0),4)*$C116</f>
        <v>713682</v>
      </c>
      <c r="K116" s="22">
        <f>INDEX(Notes!$I$2:$N$11,MATCH(Notes!$B$2,Notes!$I$2:$I$11,0),5)*$D116</f>
        <v>0</v>
      </c>
      <c r="L116" s="22">
        <f>INDEX(Notes!$I$2:$N$11,MATCH(Notes!$B$2,Notes!$I$2:$I$11,0),6)*$E116</f>
        <v>0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713682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2789526</v>
      </c>
      <c r="D117" s="160">
        <f>INDEX(Data[],MATCH($A117,Data[Dist],0),MATCH(D$6,Data[#Headers],0))</f>
        <v>2775053</v>
      </c>
      <c r="E117" s="160">
        <f>INDEX(Data[],MATCH($A117,Data[Dist],0),MATCH(E$6,Data[#Headers],0))</f>
        <v>2775052</v>
      </c>
      <c r="F117" s="160">
        <f>INDEX(Data[],MATCH($A117,Data[Dist],0),MATCH(F$6,Data[#Headers],0))</f>
        <v>2775053</v>
      </c>
      <c r="G117" s="22">
        <f>INDEX(Data[],MATCH($A117,Data[Dist],0),MATCH(G$6,Data[#Headers],0))</f>
        <v>2789526</v>
      </c>
      <c r="H117" s="22">
        <f>INDEX(Data[],MATCH($A117,Data[Dist],0),MATCH(H$6,Data[#Headers],0))-G117</f>
        <v>25105731</v>
      </c>
      <c r="I117" s="25"/>
      <c r="J117" s="22">
        <f>INDEX(Notes!$I$2:$N$11,MATCH(Notes!$B$2,Notes!$I$2:$I$11,0),4)*$C117</f>
        <v>2789526</v>
      </c>
      <c r="K117" s="22">
        <f>INDEX(Notes!$I$2:$N$11,MATCH(Notes!$B$2,Notes!$I$2:$I$11,0),5)*$D117</f>
        <v>0</v>
      </c>
      <c r="L117" s="22">
        <f>INDEX(Notes!$I$2:$N$11,MATCH(Notes!$B$2,Notes!$I$2:$I$11,0),6)*$E117</f>
        <v>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2789526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1412596</v>
      </c>
      <c r="D118" s="160">
        <f>INDEX(Data[],MATCH($A118,Data[Dist],0),MATCH(D$6,Data[#Headers],0))</f>
        <v>1404494</v>
      </c>
      <c r="E118" s="160">
        <f>INDEX(Data[],MATCH($A118,Data[Dist],0),MATCH(E$6,Data[#Headers],0))</f>
        <v>1404494</v>
      </c>
      <c r="F118" s="160">
        <f>INDEX(Data[],MATCH($A118,Data[Dist],0),MATCH(F$6,Data[#Headers],0))</f>
        <v>1404494</v>
      </c>
      <c r="G118" s="22">
        <f>INDEX(Data[],MATCH($A118,Data[Dist],0),MATCH(G$6,Data[#Headers],0))</f>
        <v>1412596</v>
      </c>
      <c r="H118" s="22">
        <f>INDEX(Data[],MATCH($A118,Data[Dist],0),MATCH(H$6,Data[#Headers],0))-G118</f>
        <v>12713361</v>
      </c>
      <c r="I118" s="25"/>
      <c r="J118" s="22">
        <f>INDEX(Notes!$I$2:$N$11,MATCH(Notes!$B$2,Notes!$I$2:$I$11,0),4)*$C118</f>
        <v>1412596</v>
      </c>
      <c r="K118" s="22">
        <f>INDEX(Notes!$I$2:$N$11,MATCH(Notes!$B$2,Notes!$I$2:$I$11,0),5)*$D118</f>
        <v>0</v>
      </c>
      <c r="L118" s="22">
        <f>INDEX(Notes!$I$2:$N$11,MATCH(Notes!$B$2,Notes!$I$2:$I$11,0),6)*$E118</f>
        <v>0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1412596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295300</v>
      </c>
      <c r="D119" s="160">
        <f>INDEX(Data[],MATCH($A119,Data[Dist],0),MATCH(D$6,Data[#Headers],0))</f>
        <v>293575</v>
      </c>
      <c r="E119" s="160">
        <f>INDEX(Data[],MATCH($A119,Data[Dist],0),MATCH(E$6,Data[#Headers],0))</f>
        <v>293574</v>
      </c>
      <c r="F119" s="160">
        <f>INDEX(Data[],MATCH($A119,Data[Dist],0),MATCH(F$6,Data[#Headers],0))</f>
        <v>293575</v>
      </c>
      <c r="G119" s="22">
        <f>INDEX(Data[],MATCH($A119,Data[Dist],0),MATCH(G$6,Data[#Headers],0))</f>
        <v>295300</v>
      </c>
      <c r="H119" s="22">
        <f>INDEX(Data[],MATCH($A119,Data[Dist],0),MATCH(H$6,Data[#Headers],0))-G119</f>
        <v>2657704</v>
      </c>
      <c r="I119" s="25"/>
      <c r="J119" s="22">
        <f>INDEX(Notes!$I$2:$N$11,MATCH(Notes!$B$2,Notes!$I$2:$I$11,0),4)*$C119</f>
        <v>295300</v>
      </c>
      <c r="K119" s="22">
        <f>INDEX(Notes!$I$2:$N$11,MATCH(Notes!$B$2,Notes!$I$2:$I$11,0),5)*$D119</f>
        <v>0</v>
      </c>
      <c r="L119" s="22">
        <f>INDEX(Notes!$I$2:$N$11,MATCH(Notes!$B$2,Notes!$I$2:$I$11,0),6)*$E119</f>
        <v>0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295300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264144</v>
      </c>
      <c r="D120" s="160">
        <f>INDEX(Data[],MATCH($A120,Data[Dist],0),MATCH(D$6,Data[#Headers],0))</f>
        <v>262275</v>
      </c>
      <c r="E120" s="160">
        <f>INDEX(Data[],MATCH($A120,Data[Dist],0),MATCH(E$6,Data[#Headers],0))</f>
        <v>262275</v>
      </c>
      <c r="F120" s="160">
        <f>INDEX(Data[],MATCH($A120,Data[Dist],0),MATCH(F$6,Data[#Headers],0))</f>
        <v>262274</v>
      </c>
      <c r="G120" s="22">
        <f>INDEX(Data[],MATCH($A120,Data[Dist],0),MATCH(G$6,Data[#Headers],0))</f>
        <v>264144</v>
      </c>
      <c r="H120" s="22">
        <f>INDEX(Data[],MATCH($A120,Data[Dist],0),MATCH(H$6,Data[#Headers],0))-G120</f>
        <v>2377293</v>
      </c>
      <c r="I120" s="25"/>
      <c r="J120" s="22">
        <f>INDEX(Notes!$I$2:$N$11,MATCH(Notes!$B$2,Notes!$I$2:$I$11,0),4)*$C120</f>
        <v>264144</v>
      </c>
      <c r="K120" s="22">
        <f>INDEX(Notes!$I$2:$N$11,MATCH(Notes!$B$2,Notes!$I$2:$I$11,0),5)*$D120</f>
        <v>0</v>
      </c>
      <c r="L120" s="22">
        <f>INDEX(Notes!$I$2:$N$11,MATCH(Notes!$B$2,Notes!$I$2:$I$11,0),6)*$E120</f>
        <v>0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264144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406774</v>
      </c>
      <c r="D121" s="160">
        <f>INDEX(Data[],MATCH($A121,Data[Dist],0),MATCH(D$6,Data[#Headers],0))</f>
        <v>403463</v>
      </c>
      <c r="E121" s="160">
        <f>INDEX(Data[],MATCH($A121,Data[Dist],0),MATCH(E$6,Data[#Headers],0))</f>
        <v>403463</v>
      </c>
      <c r="F121" s="160">
        <f>INDEX(Data[],MATCH($A121,Data[Dist],0),MATCH(F$6,Data[#Headers],0))</f>
        <v>403462</v>
      </c>
      <c r="G121" s="22">
        <f>INDEX(Data[],MATCH($A121,Data[Dist],0),MATCH(G$6,Data[#Headers],0))</f>
        <v>406774</v>
      </c>
      <c r="H121" s="22">
        <f>INDEX(Data[],MATCH($A121,Data[Dist],0),MATCH(H$6,Data[#Headers],0))-G121</f>
        <v>3660966</v>
      </c>
      <c r="I121" s="25"/>
      <c r="J121" s="22">
        <f>INDEX(Notes!$I$2:$N$11,MATCH(Notes!$B$2,Notes!$I$2:$I$11,0),4)*$C121</f>
        <v>406774</v>
      </c>
      <c r="K121" s="22">
        <f>INDEX(Notes!$I$2:$N$11,MATCH(Notes!$B$2,Notes!$I$2:$I$11,0),5)*$D121</f>
        <v>0</v>
      </c>
      <c r="L121" s="22">
        <f>INDEX(Notes!$I$2:$N$11,MATCH(Notes!$B$2,Notes!$I$2:$I$11,0),6)*$E121</f>
        <v>0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406774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271946</v>
      </c>
      <c r="D122" s="160">
        <f>INDEX(Data[],MATCH($A122,Data[Dist],0),MATCH(D$6,Data[#Headers],0))</f>
        <v>270142</v>
      </c>
      <c r="E122" s="160">
        <f>INDEX(Data[],MATCH($A122,Data[Dist],0),MATCH(E$6,Data[#Headers],0))</f>
        <v>270142</v>
      </c>
      <c r="F122" s="160">
        <f>INDEX(Data[],MATCH($A122,Data[Dist],0),MATCH(F$6,Data[#Headers],0))</f>
        <v>270141</v>
      </c>
      <c r="G122" s="22">
        <f>INDEX(Data[],MATCH($A122,Data[Dist],0),MATCH(G$6,Data[#Headers],0))</f>
        <v>271946</v>
      </c>
      <c r="H122" s="22">
        <f>INDEX(Data[],MATCH($A122,Data[Dist],0),MATCH(H$6,Data[#Headers],0))-G122</f>
        <v>2447513</v>
      </c>
      <c r="I122" s="25"/>
      <c r="J122" s="22">
        <f>INDEX(Notes!$I$2:$N$11,MATCH(Notes!$B$2,Notes!$I$2:$I$11,0),4)*$C122</f>
        <v>271946</v>
      </c>
      <c r="K122" s="22">
        <f>INDEX(Notes!$I$2:$N$11,MATCH(Notes!$B$2,Notes!$I$2:$I$11,0),5)*$D122</f>
        <v>0</v>
      </c>
      <c r="L122" s="22">
        <f>INDEX(Notes!$I$2:$N$11,MATCH(Notes!$B$2,Notes!$I$2:$I$11,0),6)*$E122</f>
        <v>0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271946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948543</v>
      </c>
      <c r="D123" s="160">
        <f>INDEX(Data[],MATCH($A123,Data[Dist],0),MATCH(D$6,Data[#Headers],0))</f>
        <v>942356</v>
      </c>
      <c r="E123" s="160">
        <f>INDEX(Data[],MATCH($A123,Data[Dist],0),MATCH(E$6,Data[#Headers],0))</f>
        <v>942356</v>
      </c>
      <c r="F123" s="160">
        <f>INDEX(Data[],MATCH($A123,Data[Dist],0),MATCH(F$6,Data[#Headers],0))</f>
        <v>942354</v>
      </c>
      <c r="G123" s="22">
        <f>INDEX(Data[],MATCH($A123,Data[Dist],0),MATCH(G$6,Data[#Headers],0))</f>
        <v>948543</v>
      </c>
      <c r="H123" s="22">
        <f>INDEX(Data[],MATCH($A123,Data[Dist],0),MATCH(H$6,Data[#Headers],0))-G123</f>
        <v>8536883</v>
      </c>
      <c r="I123" s="25"/>
      <c r="J123" s="22">
        <f>INDEX(Notes!$I$2:$N$11,MATCH(Notes!$B$2,Notes!$I$2:$I$11,0),4)*$C123</f>
        <v>948543</v>
      </c>
      <c r="K123" s="22">
        <f>INDEX(Notes!$I$2:$N$11,MATCH(Notes!$B$2,Notes!$I$2:$I$11,0),5)*$D123</f>
        <v>0</v>
      </c>
      <c r="L123" s="22">
        <f>INDEX(Notes!$I$2:$N$11,MATCH(Notes!$B$2,Notes!$I$2:$I$11,0),6)*$E123</f>
        <v>0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948543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101308</v>
      </c>
      <c r="D124" s="160">
        <f>INDEX(Data[],MATCH($A124,Data[Dist],0),MATCH(D$6,Data[#Headers],0))</f>
        <v>100658</v>
      </c>
      <c r="E124" s="160">
        <f>INDEX(Data[],MATCH($A124,Data[Dist],0),MATCH(E$6,Data[#Headers],0))</f>
        <v>100658</v>
      </c>
      <c r="F124" s="160">
        <f>INDEX(Data[],MATCH($A124,Data[Dist],0),MATCH(F$6,Data[#Headers],0))</f>
        <v>100658</v>
      </c>
      <c r="G124" s="22">
        <f>INDEX(Data[],MATCH($A124,Data[Dist],0),MATCH(G$6,Data[#Headers],0))</f>
        <v>101308</v>
      </c>
      <c r="H124" s="22">
        <f>INDEX(Data[],MATCH($A124,Data[Dist],0),MATCH(H$6,Data[#Headers],0))-G124</f>
        <v>911768</v>
      </c>
      <c r="I124" s="25"/>
      <c r="J124" s="22">
        <f>INDEX(Notes!$I$2:$N$11,MATCH(Notes!$B$2,Notes!$I$2:$I$11,0),4)*$C124</f>
        <v>101308</v>
      </c>
      <c r="K124" s="22">
        <f>INDEX(Notes!$I$2:$N$11,MATCH(Notes!$B$2,Notes!$I$2:$I$11,0),5)*$D124</f>
        <v>0</v>
      </c>
      <c r="L124" s="22">
        <f>INDEX(Notes!$I$2:$N$11,MATCH(Notes!$B$2,Notes!$I$2:$I$11,0),6)*$E124</f>
        <v>0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101308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378456</v>
      </c>
      <c r="D125" s="160">
        <f>INDEX(Data[],MATCH($A125,Data[Dist],0),MATCH(D$6,Data[#Headers],0))</f>
        <v>376015</v>
      </c>
      <c r="E125" s="160">
        <f>INDEX(Data[],MATCH($A125,Data[Dist],0),MATCH(E$6,Data[#Headers],0))</f>
        <v>376014</v>
      </c>
      <c r="F125" s="160">
        <f>INDEX(Data[],MATCH($A125,Data[Dist],0),MATCH(F$6,Data[#Headers],0))</f>
        <v>376015</v>
      </c>
      <c r="G125" s="22">
        <f>INDEX(Data[],MATCH($A125,Data[Dist],0),MATCH(G$6,Data[#Headers],0))</f>
        <v>378456</v>
      </c>
      <c r="H125" s="22">
        <f>INDEX(Data[],MATCH($A125,Data[Dist],0),MATCH(H$6,Data[#Headers],0))-G125</f>
        <v>3406106</v>
      </c>
      <c r="I125" s="25"/>
      <c r="J125" s="22">
        <f>INDEX(Notes!$I$2:$N$11,MATCH(Notes!$B$2,Notes!$I$2:$I$11,0),4)*$C125</f>
        <v>378456</v>
      </c>
      <c r="K125" s="22">
        <f>INDEX(Notes!$I$2:$N$11,MATCH(Notes!$B$2,Notes!$I$2:$I$11,0),5)*$D125</f>
        <v>0</v>
      </c>
      <c r="L125" s="22">
        <f>INDEX(Notes!$I$2:$N$11,MATCH(Notes!$B$2,Notes!$I$2:$I$11,0),6)*$E125</f>
        <v>0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378456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1298171</v>
      </c>
      <c r="D126" s="160">
        <f>INDEX(Data[],MATCH($A126,Data[Dist],0),MATCH(D$6,Data[#Headers],0))</f>
        <v>1290517</v>
      </c>
      <c r="E126" s="160">
        <f>INDEX(Data[],MATCH($A126,Data[Dist],0),MATCH(E$6,Data[#Headers],0))</f>
        <v>1290517</v>
      </c>
      <c r="F126" s="160">
        <f>INDEX(Data[],MATCH($A126,Data[Dist],0),MATCH(F$6,Data[#Headers],0))</f>
        <v>1290518</v>
      </c>
      <c r="G126" s="22">
        <f>INDEX(Data[],MATCH($A126,Data[Dist],0),MATCH(G$6,Data[#Headers],0))</f>
        <v>1298171</v>
      </c>
      <c r="H126" s="22">
        <f>INDEX(Data[],MATCH($A126,Data[Dist],0),MATCH(H$6,Data[#Headers],0))-G126</f>
        <v>11683543</v>
      </c>
      <c r="I126" s="25"/>
      <c r="J126" s="22">
        <f>INDEX(Notes!$I$2:$N$11,MATCH(Notes!$B$2,Notes!$I$2:$I$11,0),4)*$C126</f>
        <v>1298171</v>
      </c>
      <c r="K126" s="22">
        <f>INDEX(Notes!$I$2:$N$11,MATCH(Notes!$B$2,Notes!$I$2:$I$11,0),5)*$D126</f>
        <v>0</v>
      </c>
      <c r="L126" s="22">
        <f>INDEX(Notes!$I$2:$N$11,MATCH(Notes!$B$2,Notes!$I$2:$I$11,0),6)*$E126</f>
        <v>0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1298171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155377</v>
      </c>
      <c r="D127" s="160">
        <f>INDEX(Data[],MATCH($A127,Data[Dist],0),MATCH(D$6,Data[#Headers],0))</f>
        <v>154273</v>
      </c>
      <c r="E127" s="160">
        <f>INDEX(Data[],MATCH($A127,Data[Dist],0),MATCH(E$6,Data[#Headers],0))</f>
        <v>154273</v>
      </c>
      <c r="F127" s="160">
        <f>INDEX(Data[],MATCH($A127,Data[Dist],0),MATCH(F$6,Data[#Headers],0))</f>
        <v>154274</v>
      </c>
      <c r="G127" s="22">
        <f>INDEX(Data[],MATCH($A127,Data[Dist],0),MATCH(G$6,Data[#Headers],0))</f>
        <v>155377</v>
      </c>
      <c r="H127" s="22">
        <f>INDEX(Data[],MATCH($A127,Data[Dist],0),MATCH(H$6,Data[#Headers],0))-G127</f>
        <v>1398397</v>
      </c>
      <c r="I127" s="25"/>
      <c r="J127" s="22">
        <f>INDEX(Notes!$I$2:$N$11,MATCH(Notes!$B$2,Notes!$I$2:$I$11,0),4)*$C127</f>
        <v>155377</v>
      </c>
      <c r="K127" s="22">
        <f>INDEX(Notes!$I$2:$N$11,MATCH(Notes!$B$2,Notes!$I$2:$I$11,0),5)*$D127</f>
        <v>0</v>
      </c>
      <c r="L127" s="22">
        <f>INDEX(Notes!$I$2:$N$11,MATCH(Notes!$B$2,Notes!$I$2:$I$11,0),6)*$E127</f>
        <v>0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155377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198308</v>
      </c>
      <c r="D128" s="160">
        <f>INDEX(Data[],MATCH($A128,Data[Dist],0),MATCH(D$6,Data[#Headers],0))</f>
        <v>196782</v>
      </c>
      <c r="E128" s="160">
        <f>INDEX(Data[],MATCH($A128,Data[Dist],0),MATCH(E$6,Data[#Headers],0))</f>
        <v>196782</v>
      </c>
      <c r="F128" s="160">
        <f>INDEX(Data[],MATCH($A128,Data[Dist],0),MATCH(F$6,Data[#Headers],0))</f>
        <v>196783</v>
      </c>
      <c r="G128" s="22">
        <f>INDEX(Data[],MATCH($A128,Data[Dist],0),MATCH(G$6,Data[#Headers],0))</f>
        <v>198308</v>
      </c>
      <c r="H128" s="22">
        <f>INDEX(Data[],MATCH($A128,Data[Dist],0),MATCH(H$6,Data[#Headers],0))-G128</f>
        <v>1784767</v>
      </c>
      <c r="I128" s="25"/>
      <c r="J128" s="22">
        <f>INDEX(Notes!$I$2:$N$11,MATCH(Notes!$B$2,Notes!$I$2:$I$11,0),4)*$C128</f>
        <v>198308</v>
      </c>
      <c r="K128" s="22">
        <f>INDEX(Notes!$I$2:$N$11,MATCH(Notes!$B$2,Notes!$I$2:$I$11,0),5)*$D128</f>
        <v>0</v>
      </c>
      <c r="L128" s="22">
        <f>INDEX(Notes!$I$2:$N$11,MATCH(Notes!$B$2,Notes!$I$2:$I$11,0),6)*$E128</f>
        <v>0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198308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390535</v>
      </c>
      <c r="D129" s="160">
        <f>INDEX(Data[],MATCH($A129,Data[Dist],0),MATCH(D$6,Data[#Headers],0))</f>
        <v>388099</v>
      </c>
      <c r="E129" s="160">
        <f>INDEX(Data[],MATCH($A129,Data[Dist],0),MATCH(E$6,Data[#Headers],0))</f>
        <v>388099</v>
      </c>
      <c r="F129" s="160">
        <f>INDEX(Data[],MATCH($A129,Data[Dist],0),MATCH(F$6,Data[#Headers],0))</f>
        <v>388097</v>
      </c>
      <c r="G129" s="22">
        <f>INDEX(Data[],MATCH($A129,Data[Dist],0),MATCH(G$6,Data[#Headers],0))</f>
        <v>390535</v>
      </c>
      <c r="H129" s="22">
        <f>INDEX(Data[],MATCH($A129,Data[Dist],0),MATCH(H$6,Data[#Headers],0))-G129</f>
        <v>3514817</v>
      </c>
      <c r="I129" s="25"/>
      <c r="J129" s="22">
        <f>INDEX(Notes!$I$2:$N$11,MATCH(Notes!$B$2,Notes!$I$2:$I$11,0),4)*$C129</f>
        <v>390535</v>
      </c>
      <c r="K129" s="22">
        <f>INDEX(Notes!$I$2:$N$11,MATCH(Notes!$B$2,Notes!$I$2:$I$11,0),5)*$D129</f>
        <v>0</v>
      </c>
      <c r="L129" s="22">
        <f>INDEX(Notes!$I$2:$N$11,MATCH(Notes!$B$2,Notes!$I$2:$I$11,0),6)*$E129</f>
        <v>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390535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129958</v>
      </c>
      <c r="D130" s="160">
        <f>INDEX(Data[],MATCH($A130,Data[Dist],0),MATCH(D$6,Data[#Headers],0))</f>
        <v>128947</v>
      </c>
      <c r="E130" s="160">
        <f>INDEX(Data[],MATCH($A130,Data[Dist],0),MATCH(E$6,Data[#Headers],0))</f>
        <v>128947</v>
      </c>
      <c r="F130" s="160">
        <f>INDEX(Data[],MATCH($A130,Data[Dist],0),MATCH(F$6,Data[#Headers],0))</f>
        <v>128946</v>
      </c>
      <c r="G130" s="22">
        <f>INDEX(Data[],MATCH($A130,Data[Dist],0),MATCH(G$6,Data[#Headers],0))</f>
        <v>129958</v>
      </c>
      <c r="H130" s="22">
        <f>INDEX(Data[],MATCH($A130,Data[Dist],0),MATCH(H$6,Data[#Headers],0))-G130</f>
        <v>1169617</v>
      </c>
      <c r="I130" s="25"/>
      <c r="J130" s="22">
        <f>INDEX(Notes!$I$2:$N$11,MATCH(Notes!$B$2,Notes!$I$2:$I$11,0),4)*$C130</f>
        <v>129958</v>
      </c>
      <c r="K130" s="22">
        <f>INDEX(Notes!$I$2:$N$11,MATCH(Notes!$B$2,Notes!$I$2:$I$11,0),5)*$D130</f>
        <v>0</v>
      </c>
      <c r="L130" s="22">
        <f>INDEX(Notes!$I$2:$N$11,MATCH(Notes!$B$2,Notes!$I$2:$I$11,0),6)*$E130</f>
        <v>0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129958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997576</v>
      </c>
      <c r="D131" s="160">
        <f>INDEX(Data[],MATCH($A131,Data[Dist],0),MATCH(D$6,Data[#Headers],0))</f>
        <v>991550</v>
      </c>
      <c r="E131" s="160">
        <f>INDEX(Data[],MATCH($A131,Data[Dist],0),MATCH(E$6,Data[#Headers],0))</f>
        <v>991551</v>
      </c>
      <c r="F131" s="160">
        <f>INDEX(Data[],MATCH($A131,Data[Dist],0),MATCH(F$6,Data[#Headers],0))</f>
        <v>991549</v>
      </c>
      <c r="G131" s="22">
        <f>INDEX(Data[],MATCH($A131,Data[Dist],0),MATCH(G$6,Data[#Headers],0))</f>
        <v>997576</v>
      </c>
      <c r="H131" s="22">
        <f>INDEX(Data[],MATCH($A131,Data[Dist],0),MATCH(H$6,Data[#Headers],0))-G131</f>
        <v>8978180</v>
      </c>
      <c r="I131" s="25"/>
      <c r="J131" s="22">
        <f>INDEX(Notes!$I$2:$N$11,MATCH(Notes!$B$2,Notes!$I$2:$I$11,0),4)*$C131</f>
        <v>997576</v>
      </c>
      <c r="K131" s="22">
        <f>INDEX(Notes!$I$2:$N$11,MATCH(Notes!$B$2,Notes!$I$2:$I$11,0),5)*$D131</f>
        <v>0</v>
      </c>
      <c r="L131" s="22">
        <f>INDEX(Notes!$I$2:$N$11,MATCH(Notes!$B$2,Notes!$I$2:$I$11,0),6)*$E131</f>
        <v>0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997576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269240</v>
      </c>
      <c r="D132" s="160">
        <f>INDEX(Data[],MATCH($A132,Data[Dist],0),MATCH(D$6,Data[#Headers],0))</f>
        <v>267432</v>
      </c>
      <c r="E132" s="160">
        <f>INDEX(Data[],MATCH($A132,Data[Dist],0),MATCH(E$6,Data[#Headers],0))</f>
        <v>267432</v>
      </c>
      <c r="F132" s="160">
        <f>INDEX(Data[],MATCH($A132,Data[Dist],0),MATCH(F$6,Data[#Headers],0))</f>
        <v>267432</v>
      </c>
      <c r="G132" s="22">
        <f>INDEX(Data[],MATCH($A132,Data[Dist],0),MATCH(G$6,Data[#Headers],0))</f>
        <v>269240</v>
      </c>
      <c r="H132" s="22">
        <f>INDEX(Data[],MATCH($A132,Data[Dist],0),MATCH(H$6,Data[#Headers],0))-G132</f>
        <v>2423160</v>
      </c>
      <c r="I132" s="25"/>
      <c r="J132" s="22">
        <f>INDEX(Notes!$I$2:$N$11,MATCH(Notes!$B$2,Notes!$I$2:$I$11,0),4)*$C132</f>
        <v>269240</v>
      </c>
      <c r="K132" s="22">
        <f>INDEX(Notes!$I$2:$N$11,MATCH(Notes!$B$2,Notes!$I$2:$I$11,0),5)*$D132</f>
        <v>0</v>
      </c>
      <c r="L132" s="22">
        <f>INDEX(Notes!$I$2:$N$11,MATCH(Notes!$B$2,Notes!$I$2:$I$11,0),6)*$E132</f>
        <v>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269240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452213</v>
      </c>
      <c r="D133" s="160">
        <f>INDEX(Data[],MATCH($A133,Data[Dist],0),MATCH(D$6,Data[#Headers],0))</f>
        <v>449567</v>
      </c>
      <c r="E133" s="160">
        <f>INDEX(Data[],MATCH($A133,Data[Dist],0),MATCH(E$6,Data[#Headers],0))</f>
        <v>449567</v>
      </c>
      <c r="F133" s="160">
        <f>INDEX(Data[],MATCH($A133,Data[Dist],0),MATCH(F$6,Data[#Headers],0))</f>
        <v>449567</v>
      </c>
      <c r="G133" s="22">
        <f>INDEX(Data[],MATCH($A133,Data[Dist],0),MATCH(G$6,Data[#Headers],0))</f>
        <v>452213</v>
      </c>
      <c r="H133" s="22">
        <f>INDEX(Data[],MATCH($A133,Data[Dist],0),MATCH(H$6,Data[#Headers],0))-G133</f>
        <v>4069913</v>
      </c>
      <c r="I133" s="25"/>
      <c r="J133" s="22">
        <f>INDEX(Notes!$I$2:$N$11,MATCH(Notes!$B$2,Notes!$I$2:$I$11,0),4)*$C133</f>
        <v>452213</v>
      </c>
      <c r="K133" s="22">
        <f>INDEX(Notes!$I$2:$N$11,MATCH(Notes!$B$2,Notes!$I$2:$I$11,0),5)*$D133</f>
        <v>0</v>
      </c>
      <c r="L133" s="22">
        <f>INDEX(Notes!$I$2:$N$11,MATCH(Notes!$B$2,Notes!$I$2:$I$11,0),6)*$E133</f>
        <v>0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452213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246463</v>
      </c>
      <c r="D134" s="160">
        <f>INDEX(Data[],MATCH($A134,Data[Dist],0),MATCH(D$6,Data[#Headers],0))</f>
        <v>244894</v>
      </c>
      <c r="E134" s="160">
        <f>INDEX(Data[],MATCH($A134,Data[Dist],0),MATCH(E$6,Data[#Headers],0))</f>
        <v>244894</v>
      </c>
      <c r="F134" s="160">
        <f>INDEX(Data[],MATCH($A134,Data[Dist],0),MATCH(F$6,Data[#Headers],0))</f>
        <v>244893</v>
      </c>
      <c r="G134" s="22">
        <f>INDEX(Data[],MATCH($A134,Data[Dist],0),MATCH(G$6,Data[#Headers],0))</f>
        <v>246463</v>
      </c>
      <c r="H134" s="22">
        <f>INDEX(Data[],MATCH($A134,Data[Dist],0),MATCH(H$6,Data[#Headers],0))-G134</f>
        <v>2218163</v>
      </c>
      <c r="I134" s="25"/>
      <c r="J134" s="22">
        <f>INDEX(Notes!$I$2:$N$11,MATCH(Notes!$B$2,Notes!$I$2:$I$11,0),4)*$C134</f>
        <v>246463</v>
      </c>
      <c r="K134" s="22">
        <f>INDEX(Notes!$I$2:$N$11,MATCH(Notes!$B$2,Notes!$I$2:$I$11,0),5)*$D134</f>
        <v>0</v>
      </c>
      <c r="L134" s="22">
        <f>INDEX(Notes!$I$2:$N$11,MATCH(Notes!$B$2,Notes!$I$2:$I$11,0),6)*$E134</f>
        <v>0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246463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321691</v>
      </c>
      <c r="D135" s="160">
        <f>INDEX(Data[],MATCH($A135,Data[Dist],0),MATCH(D$6,Data[#Headers],0))</f>
        <v>319308</v>
      </c>
      <c r="E135" s="160">
        <f>INDEX(Data[],MATCH($A135,Data[Dist],0),MATCH(E$6,Data[#Headers],0))</f>
        <v>319308</v>
      </c>
      <c r="F135" s="160">
        <f>INDEX(Data[],MATCH($A135,Data[Dist],0),MATCH(F$6,Data[#Headers],0))</f>
        <v>319309</v>
      </c>
      <c r="G135" s="22">
        <f>INDEX(Data[],MATCH($A135,Data[Dist],0),MATCH(G$6,Data[#Headers],0))</f>
        <v>321691</v>
      </c>
      <c r="H135" s="22">
        <f>INDEX(Data[],MATCH($A135,Data[Dist],0),MATCH(H$6,Data[#Headers],0))-G135</f>
        <v>2895217</v>
      </c>
      <c r="I135" s="25"/>
      <c r="J135" s="22">
        <f>INDEX(Notes!$I$2:$N$11,MATCH(Notes!$B$2,Notes!$I$2:$I$11,0),4)*$C135</f>
        <v>321691</v>
      </c>
      <c r="K135" s="22">
        <f>INDEX(Notes!$I$2:$N$11,MATCH(Notes!$B$2,Notes!$I$2:$I$11,0),5)*$D135</f>
        <v>0</v>
      </c>
      <c r="L135" s="22">
        <f>INDEX(Notes!$I$2:$N$11,MATCH(Notes!$B$2,Notes!$I$2:$I$11,0),6)*$E135</f>
        <v>0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321691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198884</v>
      </c>
      <c r="D136" s="160">
        <f>INDEX(Data[],MATCH($A136,Data[Dist],0),MATCH(D$6,Data[#Headers],0))</f>
        <v>197591</v>
      </c>
      <c r="E136" s="160">
        <f>INDEX(Data[],MATCH($A136,Data[Dist],0),MATCH(E$6,Data[#Headers],0))</f>
        <v>197592</v>
      </c>
      <c r="F136" s="160">
        <f>INDEX(Data[],MATCH($A136,Data[Dist],0),MATCH(F$6,Data[#Headers],0))</f>
        <v>197590</v>
      </c>
      <c r="G136" s="22">
        <f>INDEX(Data[],MATCH($A136,Data[Dist],0),MATCH(G$6,Data[#Headers],0))</f>
        <v>198884</v>
      </c>
      <c r="H136" s="22">
        <f>INDEX(Data[],MATCH($A136,Data[Dist],0),MATCH(H$6,Data[#Headers],0))-G136</f>
        <v>1789953</v>
      </c>
      <c r="I136" s="25"/>
      <c r="J136" s="22">
        <f>INDEX(Notes!$I$2:$N$11,MATCH(Notes!$B$2,Notes!$I$2:$I$11,0),4)*$C136</f>
        <v>198884</v>
      </c>
      <c r="K136" s="22">
        <f>INDEX(Notes!$I$2:$N$11,MATCH(Notes!$B$2,Notes!$I$2:$I$11,0),5)*$D136</f>
        <v>0</v>
      </c>
      <c r="L136" s="22">
        <f>INDEX(Notes!$I$2:$N$11,MATCH(Notes!$B$2,Notes!$I$2:$I$11,0),6)*$E136</f>
        <v>0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198884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INDEX($A$7:$H$333,MATCH($S136,$A$7:$A$333,0),3)-Q136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139507</v>
      </c>
      <c r="D137" s="160">
        <f>INDEX(Data[],MATCH($A137,Data[Dist],0),MATCH(D$6,Data[#Headers],0))</f>
        <v>138608</v>
      </c>
      <c r="E137" s="160">
        <f>INDEX(Data[],MATCH($A137,Data[Dist],0),MATCH(E$6,Data[#Headers],0))</f>
        <v>138608</v>
      </c>
      <c r="F137" s="160">
        <f>INDEX(Data[],MATCH($A137,Data[Dist],0),MATCH(F$6,Data[#Headers],0))</f>
        <v>138606</v>
      </c>
      <c r="G137" s="22">
        <f>INDEX(Data[],MATCH($A137,Data[Dist],0),MATCH(G$6,Data[#Headers],0))</f>
        <v>139507</v>
      </c>
      <c r="H137" s="22">
        <f>INDEX(Data[],MATCH($A137,Data[Dist],0),MATCH(H$6,Data[#Headers],0))-G137</f>
        <v>1255559</v>
      </c>
      <c r="I137" s="25"/>
      <c r="J137" s="22">
        <f>INDEX(Notes!$I$2:$N$11,MATCH(Notes!$B$2,Notes!$I$2:$I$11,0),4)*$C137</f>
        <v>139507</v>
      </c>
      <c r="K137" s="22">
        <f>INDEX(Notes!$I$2:$N$11,MATCH(Notes!$B$2,Notes!$I$2:$I$11,0),5)*$D137</f>
        <v>0</v>
      </c>
      <c r="L137" s="22">
        <f>INDEX(Notes!$I$2:$N$11,MATCH(Notes!$B$2,Notes!$I$2:$I$11,0),6)*$E137</f>
        <v>0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139507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781541</v>
      </c>
      <c r="D138" s="160">
        <f>INDEX(Data[],MATCH($A138,Data[Dist],0),MATCH(D$6,Data[#Headers],0))</f>
        <v>777154</v>
      </c>
      <c r="E138" s="160">
        <f>INDEX(Data[],MATCH($A138,Data[Dist],0),MATCH(E$6,Data[#Headers],0))</f>
        <v>777154</v>
      </c>
      <c r="F138" s="160">
        <f>INDEX(Data[],MATCH($A138,Data[Dist],0),MATCH(F$6,Data[#Headers],0))</f>
        <v>777152</v>
      </c>
      <c r="G138" s="22">
        <f>INDEX(Data[],MATCH($A138,Data[Dist],0),MATCH(G$6,Data[#Headers],0))</f>
        <v>781541</v>
      </c>
      <c r="H138" s="22">
        <f>INDEX(Data[],MATCH($A138,Data[Dist],0),MATCH(H$6,Data[#Headers],0))-G138</f>
        <v>7033871</v>
      </c>
      <c r="I138" s="25"/>
      <c r="J138" s="22">
        <f>INDEX(Notes!$I$2:$N$11,MATCH(Notes!$B$2,Notes!$I$2:$I$11,0),4)*$C138</f>
        <v>781541</v>
      </c>
      <c r="K138" s="22">
        <f>INDEX(Notes!$I$2:$N$11,MATCH(Notes!$B$2,Notes!$I$2:$I$11,0),5)*$D138</f>
        <v>0</v>
      </c>
      <c r="L138" s="22">
        <f>INDEX(Notes!$I$2:$N$11,MATCH(Notes!$B$2,Notes!$I$2:$I$11,0),6)*$E138</f>
        <v>0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781541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882159</v>
      </c>
      <c r="D139" s="160">
        <f>INDEX(Data[],MATCH($A139,Data[Dist],0),MATCH(D$6,Data[#Headers],0))</f>
        <v>876808</v>
      </c>
      <c r="E139" s="160">
        <f>INDEX(Data[],MATCH($A139,Data[Dist],0),MATCH(E$6,Data[#Headers],0))</f>
        <v>876809</v>
      </c>
      <c r="F139" s="160">
        <f>INDEX(Data[],MATCH($A139,Data[Dist],0),MATCH(F$6,Data[#Headers],0))</f>
        <v>876807</v>
      </c>
      <c r="G139" s="22">
        <f>INDEX(Data[],MATCH($A139,Data[Dist],0),MATCH(G$6,Data[#Headers],0))</f>
        <v>882159</v>
      </c>
      <c r="H139" s="22">
        <f>INDEX(Data[],MATCH($A139,Data[Dist],0),MATCH(H$6,Data[#Headers],0))-G139</f>
        <v>7939432</v>
      </c>
      <c r="I139" s="25"/>
      <c r="J139" s="22">
        <f>INDEX(Notes!$I$2:$N$11,MATCH(Notes!$B$2,Notes!$I$2:$I$11,0),4)*$C139</f>
        <v>882159</v>
      </c>
      <c r="K139" s="22">
        <f>INDEX(Notes!$I$2:$N$11,MATCH(Notes!$B$2,Notes!$I$2:$I$11,0),5)*$D139</f>
        <v>0</v>
      </c>
      <c r="L139" s="22">
        <f>INDEX(Notes!$I$2:$N$11,MATCH(Notes!$B$2,Notes!$I$2:$I$11,0),6)*$E139</f>
        <v>0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882159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110056</v>
      </c>
      <c r="D140" s="160">
        <f>INDEX(Data[],MATCH($A140,Data[Dist],0),MATCH(D$6,Data[#Headers],0))</f>
        <v>108896</v>
      </c>
      <c r="E140" s="160">
        <f>INDEX(Data[],MATCH($A140,Data[Dist],0),MATCH(E$6,Data[#Headers],0))</f>
        <v>108896</v>
      </c>
      <c r="F140" s="160">
        <f>INDEX(Data[],MATCH($A140,Data[Dist],0),MATCH(F$6,Data[#Headers],0))</f>
        <v>108894</v>
      </c>
      <c r="G140" s="22">
        <f>INDEX(Data[],MATCH($A140,Data[Dist],0),MATCH(G$6,Data[#Headers],0))</f>
        <v>110056</v>
      </c>
      <c r="H140" s="22">
        <f>INDEX(Data[],MATCH($A140,Data[Dist],0),MATCH(H$6,Data[#Headers],0))-G140</f>
        <v>990502</v>
      </c>
      <c r="I140" s="25"/>
      <c r="J140" s="22">
        <f>INDEX(Notes!$I$2:$N$11,MATCH(Notes!$B$2,Notes!$I$2:$I$11,0),4)*$C140</f>
        <v>110056</v>
      </c>
      <c r="K140" s="22">
        <f>INDEX(Notes!$I$2:$N$11,MATCH(Notes!$B$2,Notes!$I$2:$I$11,0),5)*$D140</f>
        <v>0</v>
      </c>
      <c r="L140" s="22">
        <f>INDEX(Notes!$I$2:$N$11,MATCH(Notes!$B$2,Notes!$I$2:$I$11,0),6)*$E140</f>
        <v>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110056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337651</v>
      </c>
      <c r="D141" s="160">
        <f>INDEX(Data[],MATCH($A141,Data[Dist],0),MATCH(D$6,Data[#Headers],0))</f>
        <v>335106</v>
      </c>
      <c r="E141" s="160">
        <f>INDEX(Data[],MATCH($A141,Data[Dist],0),MATCH(E$6,Data[#Headers],0))</f>
        <v>335107</v>
      </c>
      <c r="F141" s="160">
        <f>INDEX(Data[],MATCH($A141,Data[Dist],0),MATCH(F$6,Data[#Headers],0))</f>
        <v>335105</v>
      </c>
      <c r="G141" s="22">
        <f>INDEX(Data[],MATCH($A141,Data[Dist],0),MATCH(G$6,Data[#Headers],0))</f>
        <v>337651</v>
      </c>
      <c r="H141" s="22">
        <f>INDEX(Data[],MATCH($A141,Data[Dist],0),MATCH(H$6,Data[#Headers],0))-G141</f>
        <v>3038860</v>
      </c>
      <c r="I141" s="25"/>
      <c r="J141" s="22">
        <f>INDEX(Notes!$I$2:$N$11,MATCH(Notes!$B$2,Notes!$I$2:$I$11,0),4)*$C141</f>
        <v>337651</v>
      </c>
      <c r="K141" s="22">
        <f>INDEX(Notes!$I$2:$N$11,MATCH(Notes!$B$2,Notes!$I$2:$I$11,0),5)*$D141</f>
        <v>0</v>
      </c>
      <c r="L141" s="22">
        <f>INDEX(Notes!$I$2:$N$11,MATCH(Notes!$B$2,Notes!$I$2:$I$11,0),6)*$E141</f>
        <v>0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337651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342669</v>
      </c>
      <c r="D142" s="160">
        <f>INDEX(Data[],MATCH($A142,Data[Dist],0),MATCH(D$6,Data[#Headers],0))</f>
        <v>340340</v>
      </c>
      <c r="E142" s="160">
        <f>INDEX(Data[],MATCH($A142,Data[Dist],0),MATCH(E$6,Data[#Headers],0))</f>
        <v>340340</v>
      </c>
      <c r="F142" s="160">
        <f>INDEX(Data[],MATCH($A142,Data[Dist],0),MATCH(F$6,Data[#Headers],0))</f>
        <v>340341</v>
      </c>
      <c r="G142" s="22">
        <f>INDEX(Data[],MATCH($A142,Data[Dist],0),MATCH(G$6,Data[#Headers],0))</f>
        <v>342669</v>
      </c>
      <c r="H142" s="22">
        <f>INDEX(Data[],MATCH($A142,Data[Dist],0),MATCH(H$6,Data[#Headers],0))-G142</f>
        <v>3084017</v>
      </c>
      <c r="I142" s="25"/>
      <c r="J142" s="22">
        <f>INDEX(Notes!$I$2:$N$11,MATCH(Notes!$B$2,Notes!$I$2:$I$11,0),4)*$C142</f>
        <v>342669</v>
      </c>
      <c r="K142" s="22">
        <f>INDEX(Notes!$I$2:$N$11,MATCH(Notes!$B$2,Notes!$I$2:$I$11,0),5)*$D142</f>
        <v>0</v>
      </c>
      <c r="L142" s="22">
        <f>INDEX(Notes!$I$2:$N$11,MATCH(Notes!$B$2,Notes!$I$2:$I$11,0),6)*$E142</f>
        <v>0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342669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358107</v>
      </c>
      <c r="D143" s="160">
        <f>INDEX(Data[],MATCH($A143,Data[Dist],0),MATCH(D$6,Data[#Headers],0))</f>
        <v>355902</v>
      </c>
      <c r="E143" s="160">
        <f>INDEX(Data[],MATCH($A143,Data[Dist],0),MATCH(E$6,Data[#Headers],0))</f>
        <v>355901</v>
      </c>
      <c r="F143" s="160">
        <f>INDEX(Data[],MATCH($A143,Data[Dist],0),MATCH(F$6,Data[#Headers],0))</f>
        <v>355902</v>
      </c>
      <c r="G143" s="22">
        <f>INDEX(Data[],MATCH($A143,Data[Dist],0),MATCH(G$6,Data[#Headers],0))</f>
        <v>358107</v>
      </c>
      <c r="H143" s="22">
        <f>INDEX(Data[],MATCH($A143,Data[Dist],0),MATCH(H$6,Data[#Headers],0))-G143</f>
        <v>3222965</v>
      </c>
      <c r="I143" s="25"/>
      <c r="J143" s="22">
        <f>INDEX(Notes!$I$2:$N$11,MATCH(Notes!$B$2,Notes!$I$2:$I$11,0),4)*$C143</f>
        <v>358107</v>
      </c>
      <c r="K143" s="22">
        <f>INDEX(Notes!$I$2:$N$11,MATCH(Notes!$B$2,Notes!$I$2:$I$11,0),5)*$D143</f>
        <v>0</v>
      </c>
      <c r="L143" s="22">
        <f>INDEX(Notes!$I$2:$N$11,MATCH(Notes!$B$2,Notes!$I$2:$I$11,0),6)*$E143</f>
        <v>0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358107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723558</v>
      </c>
      <c r="D144" s="160">
        <f>INDEX(Data[],MATCH($A144,Data[Dist],0),MATCH(D$6,Data[#Headers],0))</f>
        <v>718985</v>
      </c>
      <c r="E144" s="160">
        <f>INDEX(Data[],MATCH($A144,Data[Dist],0),MATCH(E$6,Data[#Headers],0))</f>
        <v>718985</v>
      </c>
      <c r="F144" s="160">
        <f>INDEX(Data[],MATCH($A144,Data[Dist],0),MATCH(F$6,Data[#Headers],0))</f>
        <v>718985</v>
      </c>
      <c r="G144" s="22">
        <f>INDEX(Data[],MATCH($A144,Data[Dist],0),MATCH(G$6,Data[#Headers],0))</f>
        <v>723558</v>
      </c>
      <c r="H144" s="22">
        <f>INDEX(Data[],MATCH($A144,Data[Dist],0),MATCH(H$6,Data[#Headers],0))-G144</f>
        <v>6512019</v>
      </c>
      <c r="I144" s="25"/>
      <c r="J144" s="22">
        <f>INDEX(Notes!$I$2:$N$11,MATCH(Notes!$B$2,Notes!$I$2:$I$11,0),4)*$C144</f>
        <v>723558</v>
      </c>
      <c r="K144" s="22">
        <f>INDEX(Notes!$I$2:$N$11,MATCH(Notes!$B$2,Notes!$I$2:$I$11,0),5)*$D144</f>
        <v>0</v>
      </c>
      <c r="L144" s="22">
        <f>INDEX(Notes!$I$2:$N$11,MATCH(Notes!$B$2,Notes!$I$2:$I$11,0),6)*$E144</f>
        <v>0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723558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184271</v>
      </c>
      <c r="D145" s="160">
        <f>INDEX(Data[],MATCH($A145,Data[Dist],0),MATCH(D$6,Data[#Headers],0))</f>
        <v>182651</v>
      </c>
      <c r="E145" s="160">
        <f>INDEX(Data[],MATCH($A145,Data[Dist],0),MATCH(E$6,Data[#Headers],0))</f>
        <v>182651</v>
      </c>
      <c r="F145" s="160">
        <f>INDEX(Data[],MATCH($A145,Data[Dist],0),MATCH(F$6,Data[#Headers],0))</f>
        <v>182650</v>
      </c>
      <c r="G145" s="22">
        <f>INDEX(Data[],MATCH($A145,Data[Dist],0),MATCH(G$6,Data[#Headers],0))</f>
        <v>184271</v>
      </c>
      <c r="H145" s="22">
        <f>INDEX(Data[],MATCH($A145,Data[Dist],0),MATCH(H$6,Data[#Headers],0))-G145</f>
        <v>1658436</v>
      </c>
      <c r="I145" s="25"/>
      <c r="J145" s="22">
        <f>INDEX(Notes!$I$2:$N$11,MATCH(Notes!$B$2,Notes!$I$2:$I$11,0),4)*$C145</f>
        <v>184271</v>
      </c>
      <c r="K145" s="22">
        <f>INDEX(Notes!$I$2:$N$11,MATCH(Notes!$B$2,Notes!$I$2:$I$11,0),5)*$D145</f>
        <v>0</v>
      </c>
      <c r="L145" s="22">
        <f>INDEX(Notes!$I$2:$N$11,MATCH(Notes!$B$2,Notes!$I$2:$I$11,0),6)*$E145</f>
        <v>0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184271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489400</v>
      </c>
      <c r="D146" s="160">
        <f>INDEX(Data[],MATCH($A146,Data[Dist],0),MATCH(D$6,Data[#Headers],0))</f>
        <v>486714</v>
      </c>
      <c r="E146" s="160">
        <f>INDEX(Data[],MATCH($A146,Data[Dist],0),MATCH(E$6,Data[#Headers],0))</f>
        <v>486714</v>
      </c>
      <c r="F146" s="160">
        <f>INDEX(Data[],MATCH($A146,Data[Dist],0),MATCH(F$6,Data[#Headers],0))</f>
        <v>486715</v>
      </c>
      <c r="G146" s="22">
        <f>INDEX(Data[],MATCH($A146,Data[Dist],0),MATCH(G$6,Data[#Headers],0))</f>
        <v>489400</v>
      </c>
      <c r="H146" s="22">
        <f>INDEX(Data[],MATCH($A146,Data[Dist],0),MATCH(H$6,Data[#Headers],0))-G146</f>
        <v>4404595</v>
      </c>
      <c r="I146" s="25"/>
      <c r="J146" s="22">
        <f>INDEX(Notes!$I$2:$N$11,MATCH(Notes!$B$2,Notes!$I$2:$I$11,0),4)*$C146</f>
        <v>489400</v>
      </c>
      <c r="K146" s="22">
        <f>INDEX(Notes!$I$2:$N$11,MATCH(Notes!$B$2,Notes!$I$2:$I$11,0),5)*$D146</f>
        <v>0</v>
      </c>
      <c r="L146" s="22">
        <f>INDEX(Notes!$I$2:$N$11,MATCH(Notes!$B$2,Notes!$I$2:$I$11,0),6)*$E146</f>
        <v>0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489400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814093</v>
      </c>
      <c r="D147" s="160">
        <f>INDEX(Data[],MATCH($A147,Data[Dist],0),MATCH(D$6,Data[#Headers],0))</f>
        <v>809199</v>
      </c>
      <c r="E147" s="160">
        <f>INDEX(Data[],MATCH($A147,Data[Dist],0),MATCH(E$6,Data[#Headers],0))</f>
        <v>809199</v>
      </c>
      <c r="F147" s="160">
        <f>INDEX(Data[],MATCH($A147,Data[Dist],0),MATCH(F$6,Data[#Headers],0))</f>
        <v>809197</v>
      </c>
      <c r="G147" s="22">
        <f>INDEX(Data[],MATCH($A147,Data[Dist],0),MATCH(G$6,Data[#Headers],0))</f>
        <v>814093</v>
      </c>
      <c r="H147" s="22">
        <f>INDEX(Data[],MATCH($A147,Data[Dist],0),MATCH(H$6,Data[#Headers],0))-G147</f>
        <v>7326840</v>
      </c>
      <c r="I147" s="25"/>
      <c r="J147" s="22">
        <f>INDEX(Notes!$I$2:$N$11,MATCH(Notes!$B$2,Notes!$I$2:$I$11,0),4)*$C147</f>
        <v>814093</v>
      </c>
      <c r="K147" s="22">
        <f>INDEX(Notes!$I$2:$N$11,MATCH(Notes!$B$2,Notes!$I$2:$I$11,0),5)*$D147</f>
        <v>0</v>
      </c>
      <c r="L147" s="22">
        <f>INDEX(Notes!$I$2:$N$11,MATCH(Notes!$B$2,Notes!$I$2:$I$11,0),6)*$E147</f>
        <v>0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814093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984586</v>
      </c>
      <c r="D148" s="160">
        <f>INDEX(Data[],MATCH($A148,Data[Dist],0),MATCH(D$6,Data[#Headers],0))</f>
        <v>979017</v>
      </c>
      <c r="E148" s="160">
        <f>INDEX(Data[],MATCH($A148,Data[Dist],0),MATCH(E$6,Data[#Headers],0))</f>
        <v>979018</v>
      </c>
      <c r="F148" s="160">
        <f>INDEX(Data[],MATCH($A148,Data[Dist],0),MATCH(F$6,Data[#Headers],0))</f>
        <v>979016</v>
      </c>
      <c r="G148" s="22">
        <f>INDEX(Data[],MATCH($A148,Data[Dist],0),MATCH(G$6,Data[#Headers],0))</f>
        <v>984586</v>
      </c>
      <c r="H148" s="22">
        <f>INDEX(Data[],MATCH($A148,Data[Dist],0),MATCH(H$6,Data[#Headers],0))-G148</f>
        <v>8861276</v>
      </c>
      <c r="I148" s="25"/>
      <c r="J148" s="22">
        <f>INDEX(Notes!$I$2:$N$11,MATCH(Notes!$B$2,Notes!$I$2:$I$11,0),4)*$C148</f>
        <v>984586</v>
      </c>
      <c r="K148" s="22">
        <f>INDEX(Notes!$I$2:$N$11,MATCH(Notes!$B$2,Notes!$I$2:$I$11,0),5)*$D148</f>
        <v>0</v>
      </c>
      <c r="L148" s="22">
        <f>INDEX(Notes!$I$2:$N$11,MATCH(Notes!$B$2,Notes!$I$2:$I$11,0),6)*$E148</f>
        <v>0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984586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2557185</v>
      </c>
      <c r="D149" s="160">
        <f>INDEX(Data[],MATCH($A149,Data[Dist],0),MATCH(D$6,Data[#Headers],0))</f>
        <v>2543430</v>
      </c>
      <c r="E149" s="160">
        <f>INDEX(Data[],MATCH($A149,Data[Dist],0),MATCH(E$6,Data[#Headers],0))</f>
        <v>2543431</v>
      </c>
      <c r="F149" s="160">
        <f>INDEX(Data[],MATCH($A149,Data[Dist],0),MATCH(F$6,Data[#Headers],0))</f>
        <v>2543429</v>
      </c>
      <c r="G149" s="22">
        <f>INDEX(Data[],MATCH($A149,Data[Dist],0),MATCH(G$6,Data[#Headers],0))</f>
        <v>2557185</v>
      </c>
      <c r="H149" s="22">
        <f>INDEX(Data[],MATCH($A149,Data[Dist],0),MATCH(H$6,Data[#Headers],0))-G149</f>
        <v>23014669</v>
      </c>
      <c r="I149" s="25"/>
      <c r="J149" s="22">
        <f>INDEX(Notes!$I$2:$N$11,MATCH(Notes!$B$2,Notes!$I$2:$I$11,0),4)*$C149</f>
        <v>2557185</v>
      </c>
      <c r="K149" s="22">
        <f>INDEX(Notes!$I$2:$N$11,MATCH(Notes!$B$2,Notes!$I$2:$I$11,0),5)*$D149</f>
        <v>0</v>
      </c>
      <c r="L149" s="22">
        <f>INDEX(Notes!$I$2:$N$11,MATCH(Notes!$B$2,Notes!$I$2:$I$11,0),6)*$E149</f>
        <v>0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2557185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591596</v>
      </c>
      <c r="D150" s="160">
        <f>INDEX(Data[],MATCH($A150,Data[Dist],0),MATCH(D$6,Data[#Headers],0))</f>
        <v>588242</v>
      </c>
      <c r="E150" s="160">
        <f>INDEX(Data[],MATCH($A150,Data[Dist],0),MATCH(E$6,Data[#Headers],0))</f>
        <v>588241</v>
      </c>
      <c r="F150" s="160">
        <f>INDEX(Data[],MATCH($A150,Data[Dist],0),MATCH(F$6,Data[#Headers],0))</f>
        <v>588242</v>
      </c>
      <c r="G150" s="22">
        <f>INDEX(Data[],MATCH($A150,Data[Dist],0),MATCH(G$6,Data[#Headers],0))</f>
        <v>591596</v>
      </c>
      <c r="H150" s="22">
        <f>INDEX(Data[],MATCH($A150,Data[Dist],0),MATCH(H$6,Data[#Headers],0))-G150</f>
        <v>5324363</v>
      </c>
      <c r="I150" s="25"/>
      <c r="J150" s="22">
        <f>INDEX(Notes!$I$2:$N$11,MATCH(Notes!$B$2,Notes!$I$2:$I$11,0),4)*$C150</f>
        <v>591596</v>
      </c>
      <c r="K150" s="22">
        <f>INDEX(Notes!$I$2:$N$11,MATCH(Notes!$B$2,Notes!$I$2:$I$11,0),5)*$D150</f>
        <v>0</v>
      </c>
      <c r="L150" s="22">
        <f>INDEX(Notes!$I$2:$N$11,MATCH(Notes!$B$2,Notes!$I$2:$I$11,0),6)*$E150</f>
        <v>0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591596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8780367</v>
      </c>
      <c r="D151" s="160">
        <f>INDEX(Data[],MATCH($A151,Data[Dist],0),MATCH(D$6,Data[#Headers],0))</f>
        <v>8723378</v>
      </c>
      <c r="E151" s="160">
        <f>INDEX(Data[],MATCH($A151,Data[Dist],0),MATCH(E$6,Data[#Headers],0))</f>
        <v>8723378</v>
      </c>
      <c r="F151" s="160">
        <f>INDEX(Data[],MATCH($A151,Data[Dist],0),MATCH(F$6,Data[#Headers],0))</f>
        <v>8723379</v>
      </c>
      <c r="G151" s="22">
        <f>INDEX(Data[],MATCH($A151,Data[Dist],0),MATCH(G$6,Data[#Headers],0))</f>
        <v>8780367</v>
      </c>
      <c r="H151" s="22">
        <f>INDEX(Data[],MATCH($A151,Data[Dist],0),MATCH(H$6,Data[#Headers],0))-G151</f>
        <v>79023302</v>
      </c>
      <c r="I151" s="25"/>
      <c r="J151" s="22">
        <f>INDEX(Notes!$I$2:$N$11,MATCH(Notes!$B$2,Notes!$I$2:$I$11,0),4)*$C151</f>
        <v>8780367</v>
      </c>
      <c r="K151" s="22">
        <f>INDEX(Notes!$I$2:$N$11,MATCH(Notes!$B$2,Notes!$I$2:$I$11,0),5)*$D151</f>
        <v>0</v>
      </c>
      <c r="L151" s="22">
        <f>INDEX(Notes!$I$2:$N$11,MATCH(Notes!$B$2,Notes!$I$2:$I$11,0),6)*$E151</f>
        <v>0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8780367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687264</v>
      </c>
      <c r="D152" s="160">
        <f>INDEX(Data[],MATCH($A152,Data[Dist],0),MATCH(D$6,Data[#Headers],0))</f>
        <v>683245</v>
      </c>
      <c r="E152" s="160">
        <f>INDEX(Data[],MATCH($A152,Data[Dist],0),MATCH(E$6,Data[#Headers],0))</f>
        <v>683245</v>
      </c>
      <c r="F152" s="160">
        <f>INDEX(Data[],MATCH($A152,Data[Dist],0),MATCH(F$6,Data[#Headers],0))</f>
        <v>683243</v>
      </c>
      <c r="G152" s="22">
        <f>INDEX(Data[],MATCH($A152,Data[Dist],0),MATCH(G$6,Data[#Headers],0))</f>
        <v>687264</v>
      </c>
      <c r="H152" s="22">
        <f>INDEX(Data[],MATCH($A152,Data[Dist],0),MATCH(H$6,Data[#Headers],0))-G152</f>
        <v>6185372</v>
      </c>
      <c r="I152" s="25"/>
      <c r="J152" s="22">
        <f>INDEX(Notes!$I$2:$N$11,MATCH(Notes!$B$2,Notes!$I$2:$I$11,0),4)*$C152</f>
        <v>687264</v>
      </c>
      <c r="K152" s="22">
        <f>INDEX(Notes!$I$2:$N$11,MATCH(Notes!$B$2,Notes!$I$2:$I$11,0),5)*$D152</f>
        <v>0</v>
      </c>
      <c r="L152" s="22">
        <f>INDEX(Notes!$I$2:$N$11,MATCH(Notes!$B$2,Notes!$I$2:$I$11,0),6)*$E152</f>
        <v>0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687264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353559</v>
      </c>
      <c r="D153" s="160">
        <f>INDEX(Data[],MATCH($A153,Data[Dist],0),MATCH(D$6,Data[#Headers],0))</f>
        <v>351595</v>
      </c>
      <c r="E153" s="160">
        <f>INDEX(Data[],MATCH($A153,Data[Dist],0),MATCH(E$6,Data[#Headers],0))</f>
        <v>351595</v>
      </c>
      <c r="F153" s="160">
        <f>INDEX(Data[],MATCH($A153,Data[Dist],0),MATCH(F$6,Data[#Headers],0))</f>
        <v>351594</v>
      </c>
      <c r="G153" s="22">
        <f>INDEX(Data[],MATCH($A153,Data[Dist],0),MATCH(G$6,Data[#Headers],0))</f>
        <v>353559</v>
      </c>
      <c r="H153" s="22">
        <f>INDEX(Data[],MATCH($A153,Data[Dist],0),MATCH(H$6,Data[#Headers],0))-G153</f>
        <v>3182028</v>
      </c>
      <c r="I153" s="25"/>
      <c r="J153" s="22">
        <f>INDEX(Notes!$I$2:$N$11,MATCH(Notes!$B$2,Notes!$I$2:$I$11,0),4)*$C153</f>
        <v>353559</v>
      </c>
      <c r="K153" s="22">
        <f>INDEX(Notes!$I$2:$N$11,MATCH(Notes!$B$2,Notes!$I$2:$I$11,0),5)*$D153</f>
        <v>0</v>
      </c>
      <c r="L153" s="22">
        <f>INDEX(Notes!$I$2:$N$11,MATCH(Notes!$B$2,Notes!$I$2:$I$11,0),6)*$E153</f>
        <v>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353559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383679</v>
      </c>
      <c r="D154" s="160">
        <f>INDEX(Data[],MATCH($A154,Data[Dist],0),MATCH(D$6,Data[#Headers],0))</f>
        <v>380979</v>
      </c>
      <c r="E154" s="160">
        <f>INDEX(Data[],MATCH($A154,Data[Dist],0),MATCH(E$6,Data[#Headers],0))</f>
        <v>380979</v>
      </c>
      <c r="F154" s="160">
        <f>INDEX(Data[],MATCH($A154,Data[Dist],0),MATCH(F$6,Data[#Headers],0))</f>
        <v>380979</v>
      </c>
      <c r="G154" s="22">
        <f>INDEX(Data[],MATCH($A154,Data[Dist],0),MATCH(G$6,Data[#Headers],0))</f>
        <v>383679</v>
      </c>
      <c r="H154" s="22">
        <f>INDEX(Data[],MATCH($A154,Data[Dist],0),MATCH(H$6,Data[#Headers],0))-G154</f>
        <v>3453111</v>
      </c>
      <c r="I154" s="25"/>
      <c r="J154" s="22">
        <f>INDEX(Notes!$I$2:$N$11,MATCH(Notes!$B$2,Notes!$I$2:$I$11,0),4)*$C154</f>
        <v>383679</v>
      </c>
      <c r="K154" s="22">
        <f>INDEX(Notes!$I$2:$N$11,MATCH(Notes!$B$2,Notes!$I$2:$I$11,0),5)*$D154</f>
        <v>0</v>
      </c>
      <c r="L154" s="22">
        <f>INDEX(Notes!$I$2:$N$11,MATCH(Notes!$B$2,Notes!$I$2:$I$11,0),6)*$E154</f>
        <v>0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383679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298930</v>
      </c>
      <c r="D155" s="160">
        <f>INDEX(Data[],MATCH($A155,Data[Dist],0),MATCH(D$6,Data[#Headers],0))</f>
        <v>297196</v>
      </c>
      <c r="E155" s="160">
        <f>INDEX(Data[],MATCH($A155,Data[Dist],0),MATCH(E$6,Data[#Headers],0))</f>
        <v>297195</v>
      </c>
      <c r="F155" s="160">
        <f>INDEX(Data[],MATCH($A155,Data[Dist],0),MATCH(F$6,Data[#Headers],0))</f>
        <v>297196</v>
      </c>
      <c r="G155" s="22">
        <f>INDEX(Data[],MATCH($A155,Data[Dist],0),MATCH(G$6,Data[#Headers],0))</f>
        <v>298930</v>
      </c>
      <c r="H155" s="22">
        <f>INDEX(Data[],MATCH($A155,Data[Dist],0),MATCH(H$6,Data[#Headers],0))-G155</f>
        <v>2690365</v>
      </c>
      <c r="I155" s="25"/>
      <c r="J155" s="22">
        <f>INDEX(Notes!$I$2:$N$11,MATCH(Notes!$B$2,Notes!$I$2:$I$11,0),4)*$C155</f>
        <v>298930</v>
      </c>
      <c r="K155" s="22">
        <f>INDEX(Notes!$I$2:$N$11,MATCH(Notes!$B$2,Notes!$I$2:$I$11,0),5)*$D155</f>
        <v>0</v>
      </c>
      <c r="L155" s="22">
        <f>INDEX(Notes!$I$2:$N$11,MATCH(Notes!$B$2,Notes!$I$2:$I$11,0),6)*$E155</f>
        <v>0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298930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748868</v>
      </c>
      <c r="D156" s="160">
        <f>INDEX(Data[],MATCH($A156,Data[Dist],0),MATCH(D$6,Data[#Headers],0))</f>
        <v>744167</v>
      </c>
      <c r="E156" s="160">
        <f>INDEX(Data[],MATCH($A156,Data[Dist],0),MATCH(E$6,Data[#Headers],0))</f>
        <v>744167</v>
      </c>
      <c r="F156" s="160">
        <f>INDEX(Data[],MATCH($A156,Data[Dist],0),MATCH(F$6,Data[#Headers],0))</f>
        <v>744168</v>
      </c>
      <c r="G156" s="22">
        <f>INDEX(Data[],MATCH($A156,Data[Dist],0),MATCH(G$6,Data[#Headers],0))</f>
        <v>748868</v>
      </c>
      <c r="H156" s="22">
        <f>INDEX(Data[],MATCH($A156,Data[Dist],0),MATCH(H$6,Data[#Headers],0))-G156</f>
        <v>6739812</v>
      </c>
      <c r="I156" s="25"/>
      <c r="J156" s="22">
        <f>INDEX(Notes!$I$2:$N$11,MATCH(Notes!$B$2,Notes!$I$2:$I$11,0),4)*$C156</f>
        <v>748868</v>
      </c>
      <c r="K156" s="22">
        <f>INDEX(Notes!$I$2:$N$11,MATCH(Notes!$B$2,Notes!$I$2:$I$11,0),5)*$D156</f>
        <v>0</v>
      </c>
      <c r="L156" s="22">
        <f>INDEX(Notes!$I$2:$N$11,MATCH(Notes!$B$2,Notes!$I$2:$I$11,0),6)*$E156</f>
        <v>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748868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632166</v>
      </c>
      <c r="D157" s="160">
        <f>INDEX(Data[],MATCH($A157,Data[Dist],0),MATCH(D$6,Data[#Headers],0))</f>
        <v>628550</v>
      </c>
      <c r="E157" s="160">
        <f>INDEX(Data[],MATCH($A157,Data[Dist],0),MATCH(E$6,Data[#Headers],0))</f>
        <v>628550</v>
      </c>
      <c r="F157" s="160">
        <f>INDEX(Data[],MATCH($A157,Data[Dist],0),MATCH(F$6,Data[#Headers],0))</f>
        <v>628551</v>
      </c>
      <c r="G157" s="22">
        <f>INDEX(Data[],MATCH($A157,Data[Dist],0),MATCH(G$6,Data[#Headers],0))</f>
        <v>632166</v>
      </c>
      <c r="H157" s="22">
        <f>INDEX(Data[],MATCH($A157,Data[Dist],0),MATCH(H$6,Data[#Headers],0))-G157</f>
        <v>5689493</v>
      </c>
      <c r="I157" s="25"/>
      <c r="J157" s="22">
        <f>INDEX(Notes!$I$2:$N$11,MATCH(Notes!$B$2,Notes!$I$2:$I$11,0),4)*$C157</f>
        <v>632166</v>
      </c>
      <c r="K157" s="22">
        <f>INDEX(Notes!$I$2:$N$11,MATCH(Notes!$B$2,Notes!$I$2:$I$11,0),5)*$D157</f>
        <v>0</v>
      </c>
      <c r="L157" s="22">
        <f>INDEX(Notes!$I$2:$N$11,MATCH(Notes!$B$2,Notes!$I$2:$I$11,0),6)*$E157</f>
        <v>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632166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4678201</v>
      </c>
      <c r="D158" s="160">
        <f>INDEX(Data[],MATCH($A158,Data[Dist],0),MATCH(D$6,Data[#Headers],0))</f>
        <v>4650541</v>
      </c>
      <c r="E158" s="160">
        <f>INDEX(Data[],MATCH($A158,Data[Dist],0),MATCH(E$6,Data[#Headers],0))</f>
        <v>4650541</v>
      </c>
      <c r="F158" s="160">
        <f>INDEX(Data[],MATCH($A158,Data[Dist],0),MATCH(F$6,Data[#Headers],0))</f>
        <v>4650540</v>
      </c>
      <c r="G158" s="22">
        <f>INDEX(Data[],MATCH($A158,Data[Dist],0),MATCH(G$6,Data[#Headers],0))</f>
        <v>4678201</v>
      </c>
      <c r="H158" s="22">
        <f>INDEX(Data[],MATCH($A158,Data[Dist],0),MATCH(H$6,Data[#Headers],0))-G158</f>
        <v>42103811</v>
      </c>
      <c r="I158" s="25"/>
      <c r="J158" s="22">
        <f>INDEX(Notes!$I$2:$N$11,MATCH(Notes!$B$2,Notes!$I$2:$I$11,0),4)*$C158</f>
        <v>4678201</v>
      </c>
      <c r="K158" s="22">
        <f>INDEX(Notes!$I$2:$N$11,MATCH(Notes!$B$2,Notes!$I$2:$I$11,0),5)*$D158</f>
        <v>0</v>
      </c>
      <c r="L158" s="22">
        <f>INDEX(Notes!$I$2:$N$11,MATCH(Notes!$B$2,Notes!$I$2:$I$11,0),6)*$E158</f>
        <v>0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4678201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1573235</v>
      </c>
      <c r="D159" s="160">
        <f>INDEX(Data[],MATCH($A159,Data[Dist],0),MATCH(D$6,Data[#Headers],0))</f>
        <v>1565803</v>
      </c>
      <c r="E159" s="160">
        <f>INDEX(Data[],MATCH($A159,Data[Dist],0),MATCH(E$6,Data[#Headers],0))</f>
        <v>1565802</v>
      </c>
      <c r="F159" s="160">
        <f>INDEX(Data[],MATCH($A159,Data[Dist],0),MATCH(F$6,Data[#Headers],0))</f>
        <v>1565803</v>
      </c>
      <c r="G159" s="22">
        <f>INDEX(Data[],MATCH($A159,Data[Dist],0),MATCH(G$6,Data[#Headers],0))</f>
        <v>1573235</v>
      </c>
      <c r="H159" s="22">
        <f>INDEX(Data[],MATCH($A159,Data[Dist],0),MATCH(H$6,Data[#Headers],0))-G159</f>
        <v>14159115</v>
      </c>
      <c r="I159" s="25"/>
      <c r="J159" s="22">
        <f>INDEX(Notes!$I$2:$N$11,MATCH(Notes!$B$2,Notes!$I$2:$I$11,0),4)*$C159</f>
        <v>1573235</v>
      </c>
      <c r="K159" s="22">
        <f>INDEX(Notes!$I$2:$N$11,MATCH(Notes!$B$2,Notes!$I$2:$I$11,0),5)*$D159</f>
        <v>0</v>
      </c>
      <c r="L159" s="22">
        <f>INDEX(Notes!$I$2:$N$11,MATCH(Notes!$B$2,Notes!$I$2:$I$11,0),6)*$E159</f>
        <v>0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1573235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210185</v>
      </c>
      <c r="D160" s="160">
        <f>INDEX(Data[],MATCH($A160,Data[Dist],0),MATCH(D$6,Data[#Headers],0))</f>
        <v>208813</v>
      </c>
      <c r="E160" s="160">
        <f>INDEX(Data[],MATCH($A160,Data[Dist],0),MATCH(E$6,Data[#Headers],0))</f>
        <v>208813</v>
      </c>
      <c r="F160" s="160">
        <f>INDEX(Data[],MATCH($A160,Data[Dist],0),MATCH(F$6,Data[#Headers],0))</f>
        <v>208814</v>
      </c>
      <c r="G160" s="22">
        <f>INDEX(Data[],MATCH($A160,Data[Dist],0),MATCH(G$6,Data[#Headers],0))</f>
        <v>210185</v>
      </c>
      <c r="H160" s="22">
        <f>INDEX(Data[],MATCH($A160,Data[Dist],0),MATCH(H$6,Data[#Headers],0))-G160</f>
        <v>1891669</v>
      </c>
      <c r="I160" s="25"/>
      <c r="J160" s="22">
        <f>INDEX(Notes!$I$2:$N$11,MATCH(Notes!$B$2,Notes!$I$2:$I$11,0),4)*$C160</f>
        <v>210185</v>
      </c>
      <c r="K160" s="22">
        <f>INDEX(Notes!$I$2:$N$11,MATCH(Notes!$B$2,Notes!$I$2:$I$11,0),5)*$D160</f>
        <v>0</v>
      </c>
      <c r="L160" s="22">
        <f>INDEX(Notes!$I$2:$N$11,MATCH(Notes!$B$2,Notes!$I$2:$I$11,0),6)*$E160</f>
        <v>0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210185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298956</v>
      </c>
      <c r="D161" s="160">
        <f>INDEX(Data[],MATCH($A161,Data[Dist],0),MATCH(D$6,Data[#Headers],0))</f>
        <v>297121</v>
      </c>
      <c r="E161" s="160">
        <f>INDEX(Data[],MATCH($A161,Data[Dist],0),MATCH(E$6,Data[#Headers],0))</f>
        <v>297120</v>
      </c>
      <c r="F161" s="160">
        <f>INDEX(Data[],MATCH($A161,Data[Dist],0),MATCH(F$6,Data[#Headers],0))</f>
        <v>297121</v>
      </c>
      <c r="G161" s="22">
        <f>INDEX(Data[],MATCH($A161,Data[Dist],0),MATCH(G$6,Data[#Headers],0))</f>
        <v>298956</v>
      </c>
      <c r="H161" s="22">
        <f>INDEX(Data[],MATCH($A161,Data[Dist],0),MATCH(H$6,Data[#Headers],0))-G161</f>
        <v>2690601</v>
      </c>
      <c r="I161" s="25"/>
      <c r="J161" s="22">
        <f>INDEX(Notes!$I$2:$N$11,MATCH(Notes!$B$2,Notes!$I$2:$I$11,0),4)*$C161</f>
        <v>298956</v>
      </c>
      <c r="K161" s="22">
        <f>INDEX(Notes!$I$2:$N$11,MATCH(Notes!$B$2,Notes!$I$2:$I$11,0),5)*$D161</f>
        <v>0</v>
      </c>
      <c r="L161" s="22">
        <f>INDEX(Notes!$I$2:$N$11,MATCH(Notes!$B$2,Notes!$I$2:$I$11,0),6)*$E161</f>
        <v>0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298956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1316500</v>
      </c>
      <c r="D162" s="160">
        <f>INDEX(Data[],MATCH($A162,Data[Dist],0),MATCH(D$6,Data[#Headers],0))</f>
        <v>1309556</v>
      </c>
      <c r="E162" s="160">
        <f>INDEX(Data[],MATCH($A162,Data[Dist],0),MATCH(E$6,Data[#Headers],0))</f>
        <v>1309557</v>
      </c>
      <c r="F162" s="160">
        <f>INDEX(Data[],MATCH($A162,Data[Dist],0),MATCH(F$6,Data[#Headers],0))</f>
        <v>1309555</v>
      </c>
      <c r="G162" s="22">
        <f>INDEX(Data[],MATCH($A162,Data[Dist],0),MATCH(G$6,Data[#Headers],0))</f>
        <v>1316500</v>
      </c>
      <c r="H162" s="22">
        <f>INDEX(Data[],MATCH($A162,Data[Dist],0),MATCH(H$6,Data[#Headers],0))-G162</f>
        <v>11848504</v>
      </c>
      <c r="I162" s="25"/>
      <c r="J162" s="22">
        <f>INDEX(Notes!$I$2:$N$11,MATCH(Notes!$B$2,Notes!$I$2:$I$11,0),4)*$C162</f>
        <v>1316500</v>
      </c>
      <c r="K162" s="22">
        <f>INDEX(Notes!$I$2:$N$11,MATCH(Notes!$B$2,Notes!$I$2:$I$11,0),5)*$D162</f>
        <v>0</v>
      </c>
      <c r="L162" s="22">
        <f>INDEX(Notes!$I$2:$N$11,MATCH(Notes!$B$2,Notes!$I$2:$I$11,0),6)*$E162</f>
        <v>0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1316500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345392</v>
      </c>
      <c r="D163" s="160">
        <f>INDEX(Data[],MATCH($A163,Data[Dist],0),MATCH(D$6,Data[#Headers],0))</f>
        <v>343119</v>
      </c>
      <c r="E163" s="160">
        <f>INDEX(Data[],MATCH($A163,Data[Dist],0),MATCH(E$6,Data[#Headers],0))</f>
        <v>343119</v>
      </c>
      <c r="F163" s="160">
        <f>INDEX(Data[],MATCH($A163,Data[Dist],0),MATCH(F$6,Data[#Headers],0))</f>
        <v>343118</v>
      </c>
      <c r="G163" s="22">
        <f>INDEX(Data[],MATCH($A163,Data[Dist],0),MATCH(G$6,Data[#Headers],0))</f>
        <v>345392</v>
      </c>
      <c r="H163" s="22">
        <f>INDEX(Data[],MATCH($A163,Data[Dist],0),MATCH(H$6,Data[#Headers],0))-G163</f>
        <v>3108531</v>
      </c>
      <c r="I163" s="25"/>
      <c r="J163" s="22">
        <f>INDEX(Notes!$I$2:$N$11,MATCH(Notes!$B$2,Notes!$I$2:$I$11,0),4)*$C163</f>
        <v>345392</v>
      </c>
      <c r="K163" s="22">
        <f>INDEX(Notes!$I$2:$N$11,MATCH(Notes!$B$2,Notes!$I$2:$I$11,0),5)*$D163</f>
        <v>0</v>
      </c>
      <c r="L163" s="22">
        <f>INDEX(Notes!$I$2:$N$11,MATCH(Notes!$B$2,Notes!$I$2:$I$11,0),6)*$E163</f>
        <v>0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345392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261317</v>
      </c>
      <c r="D164" s="160">
        <f>INDEX(Data[],MATCH($A164,Data[Dist],0),MATCH(D$6,Data[#Headers],0))</f>
        <v>260076</v>
      </c>
      <c r="E164" s="160">
        <f>INDEX(Data[],MATCH($A164,Data[Dist],0),MATCH(E$6,Data[#Headers],0))</f>
        <v>260075</v>
      </c>
      <c r="F164" s="160">
        <f>INDEX(Data[],MATCH($A164,Data[Dist],0),MATCH(F$6,Data[#Headers],0))</f>
        <v>260076</v>
      </c>
      <c r="G164" s="22">
        <f>INDEX(Data[],MATCH($A164,Data[Dist],0),MATCH(G$6,Data[#Headers],0))</f>
        <v>261317</v>
      </c>
      <c r="H164" s="22">
        <f>INDEX(Data[],MATCH($A164,Data[Dist],0),MATCH(H$6,Data[#Headers],0))-G164</f>
        <v>2351848</v>
      </c>
      <c r="I164" s="25"/>
      <c r="J164" s="22">
        <f>INDEX(Notes!$I$2:$N$11,MATCH(Notes!$B$2,Notes!$I$2:$I$11,0),4)*$C164</f>
        <v>261317</v>
      </c>
      <c r="K164" s="22">
        <f>INDEX(Notes!$I$2:$N$11,MATCH(Notes!$B$2,Notes!$I$2:$I$11,0),5)*$D164</f>
        <v>0</v>
      </c>
      <c r="L164" s="22">
        <f>INDEX(Notes!$I$2:$N$11,MATCH(Notes!$B$2,Notes!$I$2:$I$11,0),6)*$E164</f>
        <v>0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261317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171779</v>
      </c>
      <c r="D165" s="160">
        <f>INDEX(Data[],MATCH($A165,Data[Dist],0),MATCH(D$6,Data[#Headers],0))</f>
        <v>170679</v>
      </c>
      <c r="E165" s="160">
        <f>INDEX(Data[],MATCH($A165,Data[Dist],0),MATCH(E$6,Data[#Headers],0))</f>
        <v>170679</v>
      </c>
      <c r="F165" s="160">
        <f>INDEX(Data[],MATCH($A165,Data[Dist],0),MATCH(F$6,Data[#Headers],0))</f>
        <v>170678</v>
      </c>
      <c r="G165" s="22">
        <f>INDEX(Data[],MATCH($A165,Data[Dist],0),MATCH(G$6,Data[#Headers],0))</f>
        <v>171779</v>
      </c>
      <c r="H165" s="22">
        <f>INDEX(Data[],MATCH($A165,Data[Dist],0),MATCH(H$6,Data[#Headers],0))-G165</f>
        <v>1546009</v>
      </c>
      <c r="I165" s="25"/>
      <c r="J165" s="22">
        <f>INDEX(Notes!$I$2:$N$11,MATCH(Notes!$B$2,Notes!$I$2:$I$11,0),4)*$C165</f>
        <v>171779</v>
      </c>
      <c r="K165" s="22">
        <f>INDEX(Notes!$I$2:$N$11,MATCH(Notes!$B$2,Notes!$I$2:$I$11,0),5)*$D165</f>
        <v>0</v>
      </c>
      <c r="L165" s="22">
        <f>INDEX(Notes!$I$2:$N$11,MATCH(Notes!$B$2,Notes!$I$2:$I$11,0),6)*$E165</f>
        <v>0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171779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389986</v>
      </c>
      <c r="D166" s="160">
        <f>INDEX(Data[],MATCH($A166,Data[Dist],0),MATCH(D$6,Data[#Headers],0))</f>
        <v>387547</v>
      </c>
      <c r="E166" s="160">
        <f>INDEX(Data[],MATCH($A166,Data[Dist],0),MATCH(E$6,Data[#Headers],0))</f>
        <v>387546</v>
      </c>
      <c r="F166" s="160">
        <f>INDEX(Data[],MATCH($A166,Data[Dist],0),MATCH(F$6,Data[#Headers],0))</f>
        <v>387547</v>
      </c>
      <c r="G166" s="22">
        <f>INDEX(Data[],MATCH($A166,Data[Dist],0),MATCH(G$6,Data[#Headers],0))</f>
        <v>389986</v>
      </c>
      <c r="H166" s="22">
        <f>INDEX(Data[],MATCH($A166,Data[Dist],0),MATCH(H$6,Data[#Headers],0))-G166</f>
        <v>3509872</v>
      </c>
      <c r="I166" s="25"/>
      <c r="J166" s="22">
        <f>INDEX(Notes!$I$2:$N$11,MATCH(Notes!$B$2,Notes!$I$2:$I$11,0),4)*$C166</f>
        <v>389986</v>
      </c>
      <c r="K166" s="22">
        <f>INDEX(Notes!$I$2:$N$11,MATCH(Notes!$B$2,Notes!$I$2:$I$11,0),5)*$D166</f>
        <v>0</v>
      </c>
      <c r="L166" s="22">
        <f>INDEX(Notes!$I$2:$N$11,MATCH(Notes!$B$2,Notes!$I$2:$I$11,0),6)*$E166</f>
        <v>0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389986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339882</v>
      </c>
      <c r="D167" s="160">
        <f>INDEX(Data[],MATCH($A167,Data[Dist],0),MATCH(D$6,Data[#Headers],0))</f>
        <v>337636</v>
      </c>
      <c r="E167" s="160">
        <f>INDEX(Data[],MATCH($A167,Data[Dist],0),MATCH(E$6,Data[#Headers],0))</f>
        <v>337636</v>
      </c>
      <c r="F167" s="160">
        <f>INDEX(Data[],MATCH($A167,Data[Dist],0),MATCH(F$6,Data[#Headers],0))</f>
        <v>337634</v>
      </c>
      <c r="G167" s="22">
        <f>INDEX(Data[],MATCH($A167,Data[Dist],0),MATCH(G$6,Data[#Headers],0))</f>
        <v>339882</v>
      </c>
      <c r="H167" s="22">
        <f>INDEX(Data[],MATCH($A167,Data[Dist],0),MATCH(H$6,Data[#Headers],0))-G167</f>
        <v>3058933</v>
      </c>
      <c r="I167" s="25"/>
      <c r="J167" s="22">
        <f>INDEX(Notes!$I$2:$N$11,MATCH(Notes!$B$2,Notes!$I$2:$I$11,0),4)*$C167</f>
        <v>339882</v>
      </c>
      <c r="K167" s="22">
        <f>INDEX(Notes!$I$2:$N$11,MATCH(Notes!$B$2,Notes!$I$2:$I$11,0),5)*$D167</f>
        <v>0</v>
      </c>
      <c r="L167" s="22">
        <f>INDEX(Notes!$I$2:$N$11,MATCH(Notes!$B$2,Notes!$I$2:$I$11,0),6)*$E167</f>
        <v>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339882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1482423</v>
      </c>
      <c r="D168" s="160">
        <f>INDEX(Data[],MATCH($A168,Data[Dist],0),MATCH(D$6,Data[#Headers],0))</f>
        <v>1473572</v>
      </c>
      <c r="E168" s="160">
        <f>INDEX(Data[],MATCH($A168,Data[Dist],0),MATCH(E$6,Data[#Headers],0))</f>
        <v>1473571</v>
      </c>
      <c r="F168" s="160">
        <f>INDEX(Data[],MATCH($A168,Data[Dist],0),MATCH(F$6,Data[#Headers],0))</f>
        <v>1473572</v>
      </c>
      <c r="G168" s="22">
        <f>INDEX(Data[],MATCH($A168,Data[Dist],0),MATCH(G$6,Data[#Headers],0))</f>
        <v>1482423</v>
      </c>
      <c r="H168" s="22">
        <f>INDEX(Data[],MATCH($A168,Data[Dist],0),MATCH(H$6,Data[#Headers],0))-G168</f>
        <v>13341806</v>
      </c>
      <c r="I168" s="25"/>
      <c r="J168" s="22">
        <f>INDEX(Notes!$I$2:$N$11,MATCH(Notes!$B$2,Notes!$I$2:$I$11,0),4)*$C168</f>
        <v>1482423</v>
      </c>
      <c r="K168" s="22">
        <f>INDEX(Notes!$I$2:$N$11,MATCH(Notes!$B$2,Notes!$I$2:$I$11,0),5)*$D168</f>
        <v>0</v>
      </c>
      <c r="L168" s="22">
        <f>INDEX(Notes!$I$2:$N$11,MATCH(Notes!$B$2,Notes!$I$2:$I$11,0),6)*$E168</f>
        <v>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1482423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317406</v>
      </c>
      <c r="D169" s="160">
        <f>INDEX(Data[],MATCH($A169,Data[Dist],0),MATCH(D$6,Data[#Headers],0))</f>
        <v>315623</v>
      </c>
      <c r="E169" s="160">
        <f>INDEX(Data[],MATCH($A169,Data[Dist],0),MATCH(E$6,Data[#Headers],0))</f>
        <v>315624</v>
      </c>
      <c r="F169" s="160">
        <f>INDEX(Data[],MATCH($A169,Data[Dist],0),MATCH(F$6,Data[#Headers],0))</f>
        <v>315622</v>
      </c>
      <c r="G169" s="22">
        <f>INDEX(Data[],MATCH($A169,Data[Dist],0),MATCH(G$6,Data[#Headers],0))</f>
        <v>317406</v>
      </c>
      <c r="H169" s="22">
        <f>INDEX(Data[],MATCH($A169,Data[Dist],0),MATCH(H$6,Data[#Headers],0))-G169</f>
        <v>2856654</v>
      </c>
      <c r="I169" s="25"/>
      <c r="J169" s="22">
        <f>INDEX(Notes!$I$2:$N$11,MATCH(Notes!$B$2,Notes!$I$2:$I$11,0),4)*$C169</f>
        <v>317406</v>
      </c>
      <c r="K169" s="22">
        <f>INDEX(Notes!$I$2:$N$11,MATCH(Notes!$B$2,Notes!$I$2:$I$11,0),5)*$D169</f>
        <v>0</v>
      </c>
      <c r="L169" s="22">
        <f>INDEX(Notes!$I$2:$N$11,MATCH(Notes!$B$2,Notes!$I$2:$I$11,0),6)*$E169</f>
        <v>0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317406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1472579</v>
      </c>
      <c r="D170" s="160">
        <f>INDEX(Data[],MATCH($A170,Data[Dist],0),MATCH(D$6,Data[#Headers],0))</f>
        <v>1462179</v>
      </c>
      <c r="E170" s="160">
        <f>INDEX(Data[],MATCH($A170,Data[Dist],0),MATCH(E$6,Data[#Headers],0))</f>
        <v>1462179</v>
      </c>
      <c r="F170" s="160">
        <f>INDEX(Data[],MATCH($A170,Data[Dist],0),MATCH(F$6,Data[#Headers],0))</f>
        <v>1462178</v>
      </c>
      <c r="G170" s="22">
        <f>INDEX(Data[],MATCH($A170,Data[Dist],0),MATCH(G$6,Data[#Headers],0))</f>
        <v>1472579</v>
      </c>
      <c r="H170" s="22">
        <f>INDEX(Data[],MATCH($A170,Data[Dist],0),MATCH(H$6,Data[#Headers],0))-G170</f>
        <v>13253213</v>
      </c>
      <c r="I170" s="25"/>
      <c r="J170" s="22">
        <f>INDEX(Notes!$I$2:$N$11,MATCH(Notes!$B$2,Notes!$I$2:$I$11,0),4)*$C170</f>
        <v>1472579</v>
      </c>
      <c r="K170" s="22">
        <f>INDEX(Notes!$I$2:$N$11,MATCH(Notes!$B$2,Notes!$I$2:$I$11,0),5)*$D170</f>
        <v>0</v>
      </c>
      <c r="L170" s="22">
        <f>INDEX(Notes!$I$2:$N$11,MATCH(Notes!$B$2,Notes!$I$2:$I$11,0),6)*$E170</f>
        <v>0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1472579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456497</v>
      </c>
      <c r="D171" s="160">
        <f>INDEX(Data[],MATCH($A171,Data[Dist],0),MATCH(D$6,Data[#Headers],0))</f>
        <v>453655</v>
      </c>
      <c r="E171" s="160">
        <f>INDEX(Data[],MATCH($A171,Data[Dist],0),MATCH(E$6,Data[#Headers],0))</f>
        <v>453655</v>
      </c>
      <c r="F171" s="160">
        <f>INDEX(Data[],MATCH($A171,Data[Dist],0),MATCH(F$6,Data[#Headers],0))</f>
        <v>453654</v>
      </c>
      <c r="G171" s="22">
        <f>INDEX(Data[],MATCH($A171,Data[Dist],0),MATCH(G$6,Data[#Headers],0))</f>
        <v>456497</v>
      </c>
      <c r="H171" s="22">
        <f>INDEX(Data[],MATCH($A171,Data[Dist],0),MATCH(H$6,Data[#Headers],0))-G171</f>
        <v>4108475</v>
      </c>
      <c r="I171" s="25"/>
      <c r="J171" s="22">
        <f>INDEX(Notes!$I$2:$N$11,MATCH(Notes!$B$2,Notes!$I$2:$I$11,0),4)*$C171</f>
        <v>456497</v>
      </c>
      <c r="K171" s="22">
        <f>INDEX(Notes!$I$2:$N$11,MATCH(Notes!$B$2,Notes!$I$2:$I$11,0),5)*$D171</f>
        <v>0</v>
      </c>
      <c r="L171" s="22">
        <f>INDEX(Notes!$I$2:$N$11,MATCH(Notes!$B$2,Notes!$I$2:$I$11,0),6)*$E171</f>
        <v>0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456497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5229147</v>
      </c>
      <c r="D172" s="160">
        <f>INDEX(Data[],MATCH($A172,Data[Dist],0),MATCH(D$6,Data[#Headers],0))</f>
        <v>5199142</v>
      </c>
      <c r="E172" s="160">
        <f>INDEX(Data[],MATCH($A172,Data[Dist],0),MATCH(E$6,Data[#Headers],0))</f>
        <v>5199142</v>
      </c>
      <c r="F172" s="160">
        <f>INDEX(Data[],MATCH($A172,Data[Dist],0),MATCH(F$6,Data[#Headers],0))</f>
        <v>5199141</v>
      </c>
      <c r="G172" s="22">
        <f>INDEX(Data[],MATCH($A172,Data[Dist],0),MATCH(G$6,Data[#Headers],0))</f>
        <v>5229147</v>
      </c>
      <c r="H172" s="22">
        <f>INDEX(Data[],MATCH($A172,Data[Dist],0),MATCH(H$6,Data[#Headers],0))-G172</f>
        <v>47062327</v>
      </c>
      <c r="I172" s="25"/>
      <c r="J172" s="22">
        <f>INDEX(Notes!$I$2:$N$11,MATCH(Notes!$B$2,Notes!$I$2:$I$11,0),4)*$C172</f>
        <v>5229147</v>
      </c>
      <c r="K172" s="22">
        <f>INDEX(Notes!$I$2:$N$11,MATCH(Notes!$B$2,Notes!$I$2:$I$11,0),5)*$D172</f>
        <v>0</v>
      </c>
      <c r="L172" s="22">
        <f>INDEX(Notes!$I$2:$N$11,MATCH(Notes!$B$2,Notes!$I$2:$I$11,0),6)*$E172</f>
        <v>0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5229147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474206</v>
      </c>
      <c r="D173" s="160">
        <f>INDEX(Data[],MATCH($A173,Data[Dist],0),MATCH(D$6,Data[#Headers],0))</f>
        <v>471598</v>
      </c>
      <c r="E173" s="160">
        <f>INDEX(Data[],MATCH($A173,Data[Dist],0),MATCH(E$6,Data[#Headers],0))</f>
        <v>471598</v>
      </c>
      <c r="F173" s="160">
        <f>INDEX(Data[],MATCH($A173,Data[Dist],0),MATCH(F$6,Data[#Headers],0))</f>
        <v>471596</v>
      </c>
      <c r="G173" s="22">
        <f>INDEX(Data[],MATCH($A173,Data[Dist],0),MATCH(G$6,Data[#Headers],0))</f>
        <v>474206</v>
      </c>
      <c r="H173" s="22">
        <f>INDEX(Data[],MATCH($A173,Data[Dist],0),MATCH(H$6,Data[#Headers],0))-G173</f>
        <v>4267850</v>
      </c>
      <c r="I173" s="25"/>
      <c r="J173" s="22">
        <f>INDEX(Notes!$I$2:$N$11,MATCH(Notes!$B$2,Notes!$I$2:$I$11,0),4)*$C173</f>
        <v>474206</v>
      </c>
      <c r="K173" s="22">
        <f>INDEX(Notes!$I$2:$N$11,MATCH(Notes!$B$2,Notes!$I$2:$I$11,0),5)*$D173</f>
        <v>0</v>
      </c>
      <c r="L173" s="22">
        <f>INDEX(Notes!$I$2:$N$11,MATCH(Notes!$B$2,Notes!$I$2:$I$11,0),6)*$E173</f>
        <v>0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474206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382923</v>
      </c>
      <c r="D174" s="160">
        <f>INDEX(Data[],MATCH($A174,Data[Dist],0),MATCH(D$6,Data[#Headers],0))</f>
        <v>380649</v>
      </c>
      <c r="E174" s="160">
        <f>INDEX(Data[],MATCH($A174,Data[Dist],0),MATCH(E$6,Data[#Headers],0))</f>
        <v>380648</v>
      </c>
      <c r="F174" s="160">
        <f>INDEX(Data[],MATCH($A174,Data[Dist],0),MATCH(F$6,Data[#Headers],0))</f>
        <v>380649</v>
      </c>
      <c r="G174" s="22">
        <f>INDEX(Data[],MATCH($A174,Data[Dist],0),MATCH(G$6,Data[#Headers],0))</f>
        <v>382923</v>
      </c>
      <c r="H174" s="22">
        <f>INDEX(Data[],MATCH($A174,Data[Dist],0),MATCH(H$6,Data[#Headers],0))-G174</f>
        <v>3446311</v>
      </c>
      <c r="I174" s="25"/>
      <c r="J174" s="22">
        <f>INDEX(Notes!$I$2:$N$11,MATCH(Notes!$B$2,Notes!$I$2:$I$11,0),4)*$C174</f>
        <v>382923</v>
      </c>
      <c r="K174" s="22">
        <f>INDEX(Notes!$I$2:$N$11,MATCH(Notes!$B$2,Notes!$I$2:$I$11,0),5)*$D174</f>
        <v>0</v>
      </c>
      <c r="L174" s="22">
        <f>INDEX(Notes!$I$2:$N$11,MATCH(Notes!$B$2,Notes!$I$2:$I$11,0),6)*$E174</f>
        <v>0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382923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204656</v>
      </c>
      <c r="D175" s="160">
        <f>INDEX(Data[],MATCH($A175,Data[Dist],0),MATCH(D$6,Data[#Headers],0))</f>
        <v>203328</v>
      </c>
      <c r="E175" s="160">
        <f>INDEX(Data[],MATCH($A175,Data[Dist],0),MATCH(E$6,Data[#Headers],0))</f>
        <v>203328</v>
      </c>
      <c r="F175" s="160">
        <f>INDEX(Data[],MATCH($A175,Data[Dist],0),MATCH(F$6,Data[#Headers],0))</f>
        <v>203326</v>
      </c>
      <c r="G175" s="22">
        <f>INDEX(Data[],MATCH($A175,Data[Dist],0),MATCH(G$6,Data[#Headers],0))</f>
        <v>204656</v>
      </c>
      <c r="H175" s="22">
        <f>INDEX(Data[],MATCH($A175,Data[Dist],0),MATCH(H$6,Data[#Headers],0))-G175</f>
        <v>1841901</v>
      </c>
      <c r="I175" s="25"/>
      <c r="J175" s="22">
        <f>INDEX(Notes!$I$2:$N$11,MATCH(Notes!$B$2,Notes!$I$2:$I$11,0),4)*$C175</f>
        <v>204656</v>
      </c>
      <c r="K175" s="22">
        <f>INDEX(Notes!$I$2:$N$11,MATCH(Notes!$B$2,Notes!$I$2:$I$11,0),5)*$D175</f>
        <v>0</v>
      </c>
      <c r="L175" s="22">
        <f>INDEX(Notes!$I$2:$N$11,MATCH(Notes!$B$2,Notes!$I$2:$I$11,0),6)*$E175</f>
        <v>0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204656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462682</v>
      </c>
      <c r="D176" s="160">
        <f>INDEX(Data[],MATCH($A176,Data[Dist],0),MATCH(D$6,Data[#Headers],0))</f>
        <v>459940</v>
      </c>
      <c r="E176" s="160">
        <f>INDEX(Data[],MATCH($A176,Data[Dist],0),MATCH(E$6,Data[#Headers],0))</f>
        <v>459940</v>
      </c>
      <c r="F176" s="160">
        <f>INDEX(Data[],MATCH($A176,Data[Dist],0),MATCH(F$6,Data[#Headers],0))</f>
        <v>459939</v>
      </c>
      <c r="G176" s="22">
        <f>INDEX(Data[],MATCH($A176,Data[Dist],0),MATCH(G$6,Data[#Headers],0))</f>
        <v>462682</v>
      </c>
      <c r="H176" s="22">
        <f>INDEX(Data[],MATCH($A176,Data[Dist],0),MATCH(H$6,Data[#Headers],0))-G176</f>
        <v>4164134</v>
      </c>
      <c r="I176" s="25"/>
      <c r="J176" s="22">
        <f>INDEX(Notes!$I$2:$N$11,MATCH(Notes!$B$2,Notes!$I$2:$I$11,0),4)*$C176</f>
        <v>462682</v>
      </c>
      <c r="K176" s="22">
        <f>INDEX(Notes!$I$2:$N$11,MATCH(Notes!$B$2,Notes!$I$2:$I$11,0),5)*$D176</f>
        <v>0</v>
      </c>
      <c r="L176" s="22">
        <f>INDEX(Notes!$I$2:$N$11,MATCH(Notes!$B$2,Notes!$I$2:$I$11,0),6)*$E176</f>
        <v>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462682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28576</v>
      </c>
      <c r="D177" s="160">
        <f>INDEX(Data[],MATCH($A177,Data[Dist],0),MATCH(D$6,Data[#Headers],0))</f>
        <v>27983</v>
      </c>
      <c r="E177" s="160">
        <f>INDEX(Data[],MATCH($A177,Data[Dist],0),MATCH(E$6,Data[#Headers],0))</f>
        <v>27983</v>
      </c>
      <c r="F177" s="160">
        <f>INDEX(Data[],MATCH($A177,Data[Dist],0),MATCH(F$6,Data[#Headers],0))</f>
        <v>27981</v>
      </c>
      <c r="G177" s="22">
        <f>INDEX(Data[],MATCH($A177,Data[Dist],0),MATCH(G$6,Data[#Headers],0))</f>
        <v>28576</v>
      </c>
      <c r="H177" s="22">
        <f>INDEX(Data[],MATCH($A177,Data[Dist],0),MATCH(H$6,Data[#Headers],0))-G177</f>
        <v>257187</v>
      </c>
      <c r="I177" s="25"/>
      <c r="J177" s="22">
        <f>INDEX(Notes!$I$2:$N$11,MATCH(Notes!$B$2,Notes!$I$2:$I$11,0),4)*$C177</f>
        <v>28576</v>
      </c>
      <c r="K177" s="22">
        <f>INDEX(Notes!$I$2:$N$11,MATCH(Notes!$B$2,Notes!$I$2:$I$11,0),5)*$D177</f>
        <v>0</v>
      </c>
      <c r="L177" s="22">
        <f>INDEX(Notes!$I$2:$N$11,MATCH(Notes!$B$2,Notes!$I$2:$I$11,0),6)*$E177</f>
        <v>0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28576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278625</v>
      </c>
      <c r="D178" s="160">
        <f>INDEX(Data[],MATCH($A178,Data[Dist],0),MATCH(D$6,Data[#Headers],0))</f>
        <v>276840</v>
      </c>
      <c r="E178" s="160">
        <f>INDEX(Data[],MATCH($A178,Data[Dist],0),MATCH(E$6,Data[#Headers],0))</f>
        <v>276840</v>
      </c>
      <c r="F178" s="160">
        <f>INDEX(Data[],MATCH($A178,Data[Dist],0),MATCH(F$6,Data[#Headers],0))</f>
        <v>276839</v>
      </c>
      <c r="G178" s="22">
        <f>INDEX(Data[],MATCH($A178,Data[Dist],0),MATCH(G$6,Data[#Headers],0))</f>
        <v>278625</v>
      </c>
      <c r="H178" s="22">
        <f>INDEX(Data[],MATCH($A178,Data[Dist],0),MATCH(H$6,Data[#Headers],0))-G178</f>
        <v>2507622</v>
      </c>
      <c r="I178" s="25"/>
      <c r="J178" s="22">
        <f>INDEX(Notes!$I$2:$N$11,MATCH(Notes!$B$2,Notes!$I$2:$I$11,0),4)*$C178</f>
        <v>278625</v>
      </c>
      <c r="K178" s="22">
        <f>INDEX(Notes!$I$2:$N$11,MATCH(Notes!$B$2,Notes!$I$2:$I$11,0),5)*$D178</f>
        <v>0</v>
      </c>
      <c r="L178" s="22">
        <f>INDEX(Notes!$I$2:$N$11,MATCH(Notes!$B$2,Notes!$I$2:$I$11,0),6)*$E178</f>
        <v>0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278625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492275</v>
      </c>
      <c r="D179" s="160">
        <f>INDEX(Data[],MATCH($A179,Data[Dist],0),MATCH(D$6,Data[#Headers],0))</f>
        <v>489691</v>
      </c>
      <c r="E179" s="160">
        <f>INDEX(Data[],MATCH($A179,Data[Dist],0),MATCH(E$6,Data[#Headers],0))</f>
        <v>489691</v>
      </c>
      <c r="F179" s="160">
        <f>INDEX(Data[],MATCH($A179,Data[Dist],0),MATCH(F$6,Data[#Headers],0))</f>
        <v>489689</v>
      </c>
      <c r="G179" s="22">
        <f>INDEX(Data[],MATCH($A179,Data[Dist],0),MATCH(G$6,Data[#Headers],0))</f>
        <v>492275</v>
      </c>
      <c r="H179" s="22">
        <f>INDEX(Data[],MATCH($A179,Data[Dist],0),MATCH(H$6,Data[#Headers],0))-G179</f>
        <v>4430478</v>
      </c>
      <c r="I179" s="25"/>
      <c r="J179" s="22">
        <f>INDEX(Notes!$I$2:$N$11,MATCH(Notes!$B$2,Notes!$I$2:$I$11,0),4)*$C179</f>
        <v>492275</v>
      </c>
      <c r="K179" s="22">
        <f>INDEX(Notes!$I$2:$N$11,MATCH(Notes!$B$2,Notes!$I$2:$I$11,0),5)*$D179</f>
        <v>0</v>
      </c>
      <c r="L179" s="22">
        <f>INDEX(Notes!$I$2:$N$11,MATCH(Notes!$B$2,Notes!$I$2:$I$11,0),6)*$E179</f>
        <v>0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492275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306151</v>
      </c>
      <c r="D180" s="160">
        <f>INDEX(Data[],MATCH($A180,Data[Dist],0),MATCH(D$6,Data[#Headers],0))</f>
        <v>304065</v>
      </c>
      <c r="E180" s="160">
        <f>INDEX(Data[],MATCH($A180,Data[Dist],0),MATCH(E$6,Data[#Headers],0))</f>
        <v>304064</v>
      </c>
      <c r="F180" s="160">
        <f>INDEX(Data[],MATCH($A180,Data[Dist],0),MATCH(F$6,Data[#Headers],0))</f>
        <v>304065</v>
      </c>
      <c r="G180" s="22">
        <f>INDEX(Data[],MATCH($A180,Data[Dist],0),MATCH(G$6,Data[#Headers],0))</f>
        <v>306151</v>
      </c>
      <c r="H180" s="22">
        <f>INDEX(Data[],MATCH($A180,Data[Dist],0),MATCH(H$6,Data[#Headers],0))-G180</f>
        <v>2755360</v>
      </c>
      <c r="I180" s="25"/>
      <c r="J180" s="22">
        <f>INDEX(Notes!$I$2:$N$11,MATCH(Notes!$B$2,Notes!$I$2:$I$11,0),4)*$C180</f>
        <v>306151</v>
      </c>
      <c r="K180" s="22">
        <f>INDEX(Notes!$I$2:$N$11,MATCH(Notes!$B$2,Notes!$I$2:$I$11,0),5)*$D180</f>
        <v>0</v>
      </c>
      <c r="L180" s="22">
        <f>INDEX(Notes!$I$2:$N$11,MATCH(Notes!$B$2,Notes!$I$2:$I$11,0),6)*$E180</f>
        <v>0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306151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335258</v>
      </c>
      <c r="D181" s="160">
        <f>INDEX(Data[],MATCH($A181,Data[Dist],0),MATCH(D$6,Data[#Headers],0))</f>
        <v>332682</v>
      </c>
      <c r="E181" s="160">
        <f>INDEX(Data[],MATCH($A181,Data[Dist],0),MATCH(E$6,Data[#Headers],0))</f>
        <v>332683</v>
      </c>
      <c r="F181" s="160">
        <f>INDEX(Data[],MATCH($A181,Data[Dist],0),MATCH(F$6,Data[#Headers],0))</f>
        <v>332681</v>
      </c>
      <c r="G181" s="22">
        <f>INDEX(Data[],MATCH($A181,Data[Dist],0),MATCH(G$6,Data[#Headers],0))</f>
        <v>335258</v>
      </c>
      <c r="H181" s="22">
        <f>INDEX(Data[],MATCH($A181,Data[Dist],0),MATCH(H$6,Data[#Headers],0))-G181</f>
        <v>3017317</v>
      </c>
      <c r="I181" s="25"/>
      <c r="J181" s="22">
        <f>INDEX(Notes!$I$2:$N$11,MATCH(Notes!$B$2,Notes!$I$2:$I$11,0),4)*$C181</f>
        <v>335258</v>
      </c>
      <c r="K181" s="22">
        <f>INDEX(Notes!$I$2:$N$11,MATCH(Notes!$B$2,Notes!$I$2:$I$11,0),5)*$D181</f>
        <v>0</v>
      </c>
      <c r="L181" s="22">
        <f>INDEX(Notes!$I$2:$N$11,MATCH(Notes!$B$2,Notes!$I$2:$I$11,0),6)*$E181</f>
        <v>0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335258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326988</v>
      </c>
      <c r="D182" s="160">
        <f>INDEX(Data[],MATCH($A182,Data[Dist],0),MATCH(D$6,Data[#Headers],0))</f>
        <v>324566</v>
      </c>
      <c r="E182" s="160">
        <f>INDEX(Data[],MATCH($A182,Data[Dist],0),MATCH(E$6,Data[#Headers],0))</f>
        <v>324566</v>
      </c>
      <c r="F182" s="160">
        <f>INDEX(Data[],MATCH($A182,Data[Dist],0),MATCH(F$6,Data[#Headers],0))</f>
        <v>324565</v>
      </c>
      <c r="G182" s="22">
        <f>INDEX(Data[],MATCH($A182,Data[Dist],0),MATCH(G$6,Data[#Headers],0))</f>
        <v>326988</v>
      </c>
      <c r="H182" s="22">
        <f>INDEX(Data[],MATCH($A182,Data[Dist],0),MATCH(H$6,Data[#Headers],0))-G182</f>
        <v>2942889</v>
      </c>
      <c r="I182" s="25"/>
      <c r="J182" s="22">
        <f>INDEX(Notes!$I$2:$N$11,MATCH(Notes!$B$2,Notes!$I$2:$I$11,0),4)*$C182</f>
        <v>326988</v>
      </c>
      <c r="K182" s="22">
        <f>INDEX(Notes!$I$2:$N$11,MATCH(Notes!$B$2,Notes!$I$2:$I$11,0),5)*$D182</f>
        <v>0</v>
      </c>
      <c r="L182" s="22">
        <f>INDEX(Notes!$I$2:$N$11,MATCH(Notes!$B$2,Notes!$I$2:$I$11,0),6)*$E182</f>
        <v>0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326988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983547</v>
      </c>
      <c r="D183" s="160">
        <f>INDEX(Data[],MATCH($A183,Data[Dist],0),MATCH(D$6,Data[#Headers],0))</f>
        <v>978617</v>
      </c>
      <c r="E183" s="160">
        <f>INDEX(Data[],MATCH($A183,Data[Dist],0),MATCH(E$6,Data[#Headers],0))</f>
        <v>978617</v>
      </c>
      <c r="F183" s="160">
        <f>INDEX(Data[],MATCH($A183,Data[Dist],0),MATCH(F$6,Data[#Headers],0))</f>
        <v>978617</v>
      </c>
      <c r="G183" s="22">
        <f>INDEX(Data[],MATCH($A183,Data[Dist],0),MATCH(G$6,Data[#Headers],0))</f>
        <v>983547</v>
      </c>
      <c r="H183" s="22">
        <f>INDEX(Data[],MATCH($A183,Data[Dist],0),MATCH(H$6,Data[#Headers],0))-G183</f>
        <v>8851921</v>
      </c>
      <c r="I183" s="25"/>
      <c r="J183" s="22">
        <f>INDEX(Notes!$I$2:$N$11,MATCH(Notes!$B$2,Notes!$I$2:$I$11,0),4)*$C183</f>
        <v>983547</v>
      </c>
      <c r="K183" s="22">
        <f>INDEX(Notes!$I$2:$N$11,MATCH(Notes!$B$2,Notes!$I$2:$I$11,0),5)*$D183</f>
        <v>0</v>
      </c>
      <c r="L183" s="22">
        <f>INDEX(Notes!$I$2:$N$11,MATCH(Notes!$B$2,Notes!$I$2:$I$11,0),6)*$E183</f>
        <v>0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983547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367166</v>
      </c>
      <c r="D184" s="160">
        <f>INDEX(Data[],MATCH($A184,Data[Dist],0),MATCH(D$6,Data[#Headers],0))</f>
        <v>364484</v>
      </c>
      <c r="E184" s="160">
        <f>INDEX(Data[],MATCH($A184,Data[Dist],0),MATCH(E$6,Data[#Headers],0))</f>
        <v>364483</v>
      </c>
      <c r="F184" s="160">
        <f>INDEX(Data[],MATCH($A184,Data[Dist],0),MATCH(F$6,Data[#Headers],0))</f>
        <v>364484</v>
      </c>
      <c r="G184" s="22">
        <f>INDEX(Data[],MATCH($A184,Data[Dist],0),MATCH(G$6,Data[#Headers],0))</f>
        <v>367166</v>
      </c>
      <c r="H184" s="22">
        <f>INDEX(Data[],MATCH($A184,Data[Dist],0),MATCH(H$6,Data[#Headers],0))-G184</f>
        <v>3304494</v>
      </c>
      <c r="I184" s="25"/>
      <c r="J184" s="22">
        <f>INDEX(Notes!$I$2:$N$11,MATCH(Notes!$B$2,Notes!$I$2:$I$11,0),4)*$C184</f>
        <v>367166</v>
      </c>
      <c r="K184" s="22">
        <f>INDEX(Notes!$I$2:$N$11,MATCH(Notes!$B$2,Notes!$I$2:$I$11,0),5)*$D184</f>
        <v>0</v>
      </c>
      <c r="L184" s="22">
        <f>INDEX(Notes!$I$2:$N$11,MATCH(Notes!$B$2,Notes!$I$2:$I$11,0),6)*$E184</f>
        <v>0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367166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202418</v>
      </c>
      <c r="D185" s="160">
        <f>INDEX(Data[],MATCH($A185,Data[Dist],0),MATCH(D$6,Data[#Headers],0))</f>
        <v>200627</v>
      </c>
      <c r="E185" s="160">
        <f>INDEX(Data[],MATCH($A185,Data[Dist],0),MATCH(E$6,Data[#Headers],0))</f>
        <v>200628</v>
      </c>
      <c r="F185" s="160">
        <f>INDEX(Data[],MATCH($A185,Data[Dist],0),MATCH(F$6,Data[#Headers],0))</f>
        <v>200626</v>
      </c>
      <c r="G185" s="22">
        <f>INDEX(Data[],MATCH($A185,Data[Dist],0),MATCH(G$6,Data[#Headers],0))</f>
        <v>202418</v>
      </c>
      <c r="H185" s="22">
        <f>INDEX(Data[],MATCH($A185,Data[Dist],0),MATCH(H$6,Data[#Headers],0))-G185</f>
        <v>1821759</v>
      </c>
      <c r="I185" s="25"/>
      <c r="J185" s="22">
        <f>INDEX(Notes!$I$2:$N$11,MATCH(Notes!$B$2,Notes!$I$2:$I$11,0),4)*$C185</f>
        <v>202418</v>
      </c>
      <c r="K185" s="22">
        <f>INDEX(Notes!$I$2:$N$11,MATCH(Notes!$B$2,Notes!$I$2:$I$11,0),5)*$D185</f>
        <v>0</v>
      </c>
      <c r="L185" s="22">
        <f>INDEX(Notes!$I$2:$N$11,MATCH(Notes!$B$2,Notes!$I$2:$I$11,0),6)*$E185</f>
        <v>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202418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1451540</v>
      </c>
      <c r="D186" s="160">
        <f>INDEX(Data[],MATCH($A186,Data[Dist],0),MATCH(D$6,Data[#Headers],0))</f>
        <v>1444147</v>
      </c>
      <c r="E186" s="160">
        <f>INDEX(Data[],MATCH($A186,Data[Dist],0),MATCH(E$6,Data[#Headers],0))</f>
        <v>1444147</v>
      </c>
      <c r="F186" s="160">
        <f>INDEX(Data[],MATCH($A186,Data[Dist],0),MATCH(F$6,Data[#Headers],0))</f>
        <v>1444145</v>
      </c>
      <c r="G186" s="22">
        <f>INDEX(Data[],MATCH($A186,Data[Dist],0),MATCH(G$6,Data[#Headers],0))</f>
        <v>1451540</v>
      </c>
      <c r="H186" s="22">
        <f>INDEX(Data[],MATCH($A186,Data[Dist],0),MATCH(H$6,Data[#Headers],0))-G186</f>
        <v>13063857</v>
      </c>
      <c r="I186" s="25"/>
      <c r="J186" s="22">
        <f>INDEX(Notes!$I$2:$N$11,MATCH(Notes!$B$2,Notes!$I$2:$I$11,0),4)*$C186</f>
        <v>1451540</v>
      </c>
      <c r="K186" s="22">
        <f>INDEX(Notes!$I$2:$N$11,MATCH(Notes!$B$2,Notes!$I$2:$I$11,0),5)*$D186</f>
        <v>0</v>
      </c>
      <c r="L186" s="22">
        <f>INDEX(Notes!$I$2:$N$11,MATCH(Notes!$B$2,Notes!$I$2:$I$11,0),6)*$E186</f>
        <v>0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1451540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4406957</v>
      </c>
      <c r="D187" s="160">
        <f>INDEX(Data[],MATCH($A187,Data[Dist],0),MATCH(D$6,Data[#Headers],0))</f>
        <v>4386025</v>
      </c>
      <c r="E187" s="160">
        <f>INDEX(Data[],MATCH($A187,Data[Dist],0),MATCH(E$6,Data[#Headers],0))</f>
        <v>4386025</v>
      </c>
      <c r="F187" s="160">
        <f>INDEX(Data[],MATCH($A187,Data[Dist],0),MATCH(F$6,Data[#Headers],0))</f>
        <v>4386026</v>
      </c>
      <c r="G187" s="22">
        <f>INDEX(Data[],MATCH($A187,Data[Dist],0),MATCH(G$6,Data[#Headers],0))</f>
        <v>4406957</v>
      </c>
      <c r="H187" s="22">
        <f>INDEX(Data[],MATCH($A187,Data[Dist],0),MATCH(H$6,Data[#Headers],0))-G187</f>
        <v>39662616</v>
      </c>
      <c r="I187" s="25"/>
      <c r="J187" s="22">
        <f>INDEX(Notes!$I$2:$N$11,MATCH(Notes!$B$2,Notes!$I$2:$I$11,0),4)*$C187</f>
        <v>4406957</v>
      </c>
      <c r="K187" s="22">
        <f>INDEX(Notes!$I$2:$N$11,MATCH(Notes!$B$2,Notes!$I$2:$I$11,0),5)*$D187</f>
        <v>0</v>
      </c>
      <c r="L187" s="22">
        <f>INDEX(Notes!$I$2:$N$11,MATCH(Notes!$B$2,Notes!$I$2:$I$11,0),6)*$E187</f>
        <v>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4406957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313258</v>
      </c>
      <c r="D188" s="160">
        <f>INDEX(Data[],MATCH($A188,Data[Dist],0),MATCH(D$6,Data[#Headers],0))</f>
        <v>311251</v>
      </c>
      <c r="E188" s="160">
        <f>INDEX(Data[],MATCH($A188,Data[Dist],0),MATCH(E$6,Data[#Headers],0))</f>
        <v>311251</v>
      </c>
      <c r="F188" s="160">
        <f>INDEX(Data[],MATCH($A188,Data[Dist],0),MATCH(F$6,Data[#Headers],0))</f>
        <v>311249</v>
      </c>
      <c r="G188" s="22">
        <f>INDEX(Data[],MATCH($A188,Data[Dist],0),MATCH(G$6,Data[#Headers],0))</f>
        <v>313258</v>
      </c>
      <c r="H188" s="22">
        <f>INDEX(Data[],MATCH($A188,Data[Dist],0),MATCH(H$6,Data[#Headers],0))-G188</f>
        <v>2819321</v>
      </c>
      <c r="I188" s="25"/>
      <c r="J188" s="22">
        <f>INDEX(Notes!$I$2:$N$11,MATCH(Notes!$B$2,Notes!$I$2:$I$11,0),4)*$C188</f>
        <v>313258</v>
      </c>
      <c r="K188" s="22">
        <f>INDEX(Notes!$I$2:$N$11,MATCH(Notes!$B$2,Notes!$I$2:$I$11,0),5)*$D188</f>
        <v>0</v>
      </c>
      <c r="L188" s="22">
        <f>INDEX(Notes!$I$2:$N$11,MATCH(Notes!$B$2,Notes!$I$2:$I$11,0),6)*$E188</f>
        <v>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313258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2353883</v>
      </c>
      <c r="D189" s="160">
        <f>INDEX(Data[],MATCH($A189,Data[Dist],0),MATCH(D$6,Data[#Headers],0))</f>
        <v>2340408</v>
      </c>
      <c r="E189" s="160">
        <f>INDEX(Data[],MATCH($A189,Data[Dist],0),MATCH(E$6,Data[#Headers],0))</f>
        <v>2340407</v>
      </c>
      <c r="F189" s="160">
        <f>INDEX(Data[],MATCH($A189,Data[Dist],0),MATCH(F$6,Data[#Headers],0))</f>
        <v>2340408</v>
      </c>
      <c r="G189" s="22">
        <f>INDEX(Data[],MATCH($A189,Data[Dist],0),MATCH(G$6,Data[#Headers],0))</f>
        <v>2353883</v>
      </c>
      <c r="H189" s="22">
        <f>INDEX(Data[],MATCH($A189,Data[Dist],0),MATCH(H$6,Data[#Headers],0))-G189</f>
        <v>21184946</v>
      </c>
      <c r="I189" s="25"/>
      <c r="J189" s="22">
        <f>INDEX(Notes!$I$2:$N$11,MATCH(Notes!$B$2,Notes!$I$2:$I$11,0),4)*$C189</f>
        <v>2353883</v>
      </c>
      <c r="K189" s="22">
        <f>INDEX(Notes!$I$2:$N$11,MATCH(Notes!$B$2,Notes!$I$2:$I$11,0),5)*$D189</f>
        <v>0</v>
      </c>
      <c r="L189" s="22">
        <f>INDEX(Notes!$I$2:$N$11,MATCH(Notes!$B$2,Notes!$I$2:$I$11,0),6)*$E189</f>
        <v>0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2353883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954212</v>
      </c>
      <c r="D190" s="160">
        <f>INDEX(Data[],MATCH($A190,Data[Dist],0),MATCH(D$6,Data[#Headers],0))</f>
        <v>948136</v>
      </c>
      <c r="E190" s="160">
        <f>INDEX(Data[],MATCH($A190,Data[Dist],0),MATCH(E$6,Data[#Headers],0))</f>
        <v>948136</v>
      </c>
      <c r="F190" s="160">
        <f>INDEX(Data[],MATCH($A190,Data[Dist],0),MATCH(F$6,Data[#Headers],0))</f>
        <v>948135</v>
      </c>
      <c r="G190" s="22">
        <f>INDEX(Data[],MATCH($A190,Data[Dist],0),MATCH(G$6,Data[#Headers],0))</f>
        <v>954212</v>
      </c>
      <c r="H190" s="22">
        <f>INDEX(Data[],MATCH($A190,Data[Dist],0),MATCH(H$6,Data[#Headers],0))-G190</f>
        <v>8587908</v>
      </c>
      <c r="I190" s="25"/>
      <c r="J190" s="22">
        <f>INDEX(Notes!$I$2:$N$11,MATCH(Notes!$B$2,Notes!$I$2:$I$11,0),4)*$C190</f>
        <v>954212</v>
      </c>
      <c r="K190" s="22">
        <f>INDEX(Notes!$I$2:$N$11,MATCH(Notes!$B$2,Notes!$I$2:$I$11,0),5)*$D190</f>
        <v>0</v>
      </c>
      <c r="L190" s="22">
        <f>INDEX(Notes!$I$2:$N$11,MATCH(Notes!$B$2,Notes!$I$2:$I$11,0),6)*$E190</f>
        <v>0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954212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523414</v>
      </c>
      <c r="D191" s="160">
        <f>INDEX(Data[],MATCH($A191,Data[Dist],0),MATCH(D$6,Data[#Headers],0))</f>
        <v>520023</v>
      </c>
      <c r="E191" s="160">
        <f>INDEX(Data[],MATCH($A191,Data[Dist],0),MATCH(E$6,Data[#Headers],0))</f>
        <v>520024</v>
      </c>
      <c r="F191" s="160">
        <f>INDEX(Data[],MATCH($A191,Data[Dist],0),MATCH(F$6,Data[#Headers],0))</f>
        <v>520022</v>
      </c>
      <c r="G191" s="22">
        <f>INDEX(Data[],MATCH($A191,Data[Dist],0),MATCH(G$6,Data[#Headers],0))</f>
        <v>523414</v>
      </c>
      <c r="H191" s="22">
        <f>INDEX(Data[],MATCH($A191,Data[Dist],0),MATCH(H$6,Data[#Headers],0))-G191</f>
        <v>4710729</v>
      </c>
      <c r="I191" s="25"/>
      <c r="J191" s="22">
        <f>INDEX(Notes!$I$2:$N$11,MATCH(Notes!$B$2,Notes!$I$2:$I$11,0),4)*$C191</f>
        <v>523414</v>
      </c>
      <c r="K191" s="22">
        <f>INDEX(Notes!$I$2:$N$11,MATCH(Notes!$B$2,Notes!$I$2:$I$11,0),5)*$D191</f>
        <v>0</v>
      </c>
      <c r="L191" s="22">
        <f>INDEX(Notes!$I$2:$N$11,MATCH(Notes!$B$2,Notes!$I$2:$I$11,0),6)*$E191</f>
        <v>0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523414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252226</v>
      </c>
      <c r="D192" s="160">
        <f>INDEX(Data[],MATCH($A192,Data[Dist],0),MATCH(D$6,Data[#Headers],0))</f>
        <v>250959</v>
      </c>
      <c r="E192" s="160">
        <f>INDEX(Data[],MATCH($A192,Data[Dist],0),MATCH(E$6,Data[#Headers],0))</f>
        <v>250959</v>
      </c>
      <c r="F192" s="160">
        <f>INDEX(Data[],MATCH($A192,Data[Dist],0),MATCH(F$6,Data[#Headers],0))</f>
        <v>250960</v>
      </c>
      <c r="G192" s="22">
        <f>INDEX(Data[],MATCH($A192,Data[Dist],0),MATCH(G$6,Data[#Headers],0))</f>
        <v>252226</v>
      </c>
      <c r="H192" s="22">
        <f>INDEX(Data[],MATCH($A192,Data[Dist],0),MATCH(H$6,Data[#Headers],0))-G192</f>
        <v>2270034</v>
      </c>
      <c r="I192" s="25"/>
      <c r="J192" s="22">
        <f>INDEX(Notes!$I$2:$N$11,MATCH(Notes!$B$2,Notes!$I$2:$I$11,0),4)*$C192</f>
        <v>252226</v>
      </c>
      <c r="K192" s="22">
        <f>INDEX(Notes!$I$2:$N$11,MATCH(Notes!$B$2,Notes!$I$2:$I$11,0),5)*$D192</f>
        <v>0</v>
      </c>
      <c r="L192" s="22">
        <f>INDEX(Notes!$I$2:$N$11,MATCH(Notes!$B$2,Notes!$I$2:$I$11,0),6)*$E192</f>
        <v>0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252226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327097</v>
      </c>
      <c r="D193" s="160">
        <f>INDEX(Data[],MATCH($A193,Data[Dist],0),MATCH(D$6,Data[#Headers],0))</f>
        <v>325059</v>
      </c>
      <c r="E193" s="160">
        <f>INDEX(Data[],MATCH($A193,Data[Dist],0),MATCH(E$6,Data[#Headers],0))</f>
        <v>325060</v>
      </c>
      <c r="F193" s="160">
        <f>INDEX(Data[],MATCH($A193,Data[Dist],0),MATCH(F$6,Data[#Headers],0))</f>
        <v>325058</v>
      </c>
      <c r="G193" s="22">
        <f>INDEX(Data[],MATCH($A193,Data[Dist],0),MATCH(G$6,Data[#Headers],0))</f>
        <v>327097</v>
      </c>
      <c r="H193" s="22">
        <f>INDEX(Data[],MATCH($A193,Data[Dist],0),MATCH(H$6,Data[#Headers],0))-G193</f>
        <v>2943868</v>
      </c>
      <c r="I193" s="25"/>
      <c r="J193" s="22">
        <f>INDEX(Notes!$I$2:$N$11,MATCH(Notes!$B$2,Notes!$I$2:$I$11,0),4)*$C193</f>
        <v>327097</v>
      </c>
      <c r="K193" s="22">
        <f>INDEX(Notes!$I$2:$N$11,MATCH(Notes!$B$2,Notes!$I$2:$I$11,0),5)*$D193</f>
        <v>0</v>
      </c>
      <c r="L193" s="22">
        <f>INDEX(Notes!$I$2:$N$11,MATCH(Notes!$B$2,Notes!$I$2:$I$11,0),6)*$E193</f>
        <v>0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327097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812543</v>
      </c>
      <c r="D194" s="160">
        <f>INDEX(Data[],MATCH($A194,Data[Dist],0),MATCH(D$6,Data[#Headers],0))</f>
        <v>807560</v>
      </c>
      <c r="E194" s="160">
        <f>INDEX(Data[],MATCH($A194,Data[Dist],0),MATCH(E$6,Data[#Headers],0))</f>
        <v>807560</v>
      </c>
      <c r="F194" s="160">
        <f>INDEX(Data[],MATCH($A194,Data[Dist],0),MATCH(F$6,Data[#Headers],0))</f>
        <v>807559</v>
      </c>
      <c r="G194" s="22">
        <f>INDEX(Data[],MATCH($A194,Data[Dist],0),MATCH(G$6,Data[#Headers],0))</f>
        <v>812543</v>
      </c>
      <c r="H194" s="22">
        <f>INDEX(Data[],MATCH($A194,Data[Dist],0),MATCH(H$6,Data[#Headers],0))-G194</f>
        <v>7312882</v>
      </c>
      <c r="I194" s="25"/>
      <c r="J194" s="22">
        <f>INDEX(Notes!$I$2:$N$11,MATCH(Notes!$B$2,Notes!$I$2:$I$11,0),4)*$C194</f>
        <v>812543</v>
      </c>
      <c r="K194" s="22">
        <f>INDEX(Notes!$I$2:$N$11,MATCH(Notes!$B$2,Notes!$I$2:$I$11,0),5)*$D194</f>
        <v>0</v>
      </c>
      <c r="L194" s="22">
        <f>INDEX(Notes!$I$2:$N$11,MATCH(Notes!$B$2,Notes!$I$2:$I$11,0),6)*$E194</f>
        <v>0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812543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513338</v>
      </c>
      <c r="D195" s="160">
        <f>INDEX(Data[],MATCH($A195,Data[Dist],0),MATCH(D$6,Data[#Headers],0))</f>
        <v>510280</v>
      </c>
      <c r="E195" s="160">
        <f>INDEX(Data[],MATCH($A195,Data[Dist],0),MATCH(E$6,Data[#Headers],0))</f>
        <v>510280</v>
      </c>
      <c r="F195" s="160">
        <f>INDEX(Data[],MATCH($A195,Data[Dist],0),MATCH(F$6,Data[#Headers],0))</f>
        <v>510279</v>
      </c>
      <c r="G195" s="22">
        <f>INDEX(Data[],MATCH($A195,Data[Dist],0),MATCH(G$6,Data[#Headers],0))</f>
        <v>513338</v>
      </c>
      <c r="H195" s="22">
        <f>INDEX(Data[],MATCH($A195,Data[Dist],0),MATCH(H$6,Data[#Headers],0))-G195</f>
        <v>4620038</v>
      </c>
      <c r="I195" s="25"/>
      <c r="J195" s="22">
        <f>INDEX(Notes!$I$2:$N$11,MATCH(Notes!$B$2,Notes!$I$2:$I$11,0),4)*$C195</f>
        <v>513338</v>
      </c>
      <c r="K195" s="22">
        <f>INDEX(Notes!$I$2:$N$11,MATCH(Notes!$B$2,Notes!$I$2:$I$11,0),5)*$D195</f>
        <v>0</v>
      </c>
      <c r="L195" s="22">
        <f>INDEX(Notes!$I$2:$N$11,MATCH(Notes!$B$2,Notes!$I$2:$I$11,0),6)*$E195</f>
        <v>0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513338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557391</v>
      </c>
      <c r="D196" s="160">
        <f>INDEX(Data[],MATCH($A196,Data[Dist],0),MATCH(D$6,Data[#Headers],0))</f>
        <v>554213</v>
      </c>
      <c r="E196" s="160">
        <f>INDEX(Data[],MATCH($A196,Data[Dist],0),MATCH(E$6,Data[#Headers],0))</f>
        <v>554212</v>
      </c>
      <c r="F196" s="160">
        <f>INDEX(Data[],MATCH($A196,Data[Dist],0),MATCH(F$6,Data[#Headers],0))</f>
        <v>554213</v>
      </c>
      <c r="G196" s="22">
        <f>INDEX(Data[],MATCH($A196,Data[Dist],0),MATCH(G$6,Data[#Headers],0))</f>
        <v>557391</v>
      </c>
      <c r="H196" s="22">
        <f>INDEX(Data[],MATCH($A196,Data[Dist],0),MATCH(H$6,Data[#Headers],0))-G196</f>
        <v>5016517</v>
      </c>
      <c r="I196" s="25"/>
      <c r="J196" s="22">
        <f>INDEX(Notes!$I$2:$N$11,MATCH(Notes!$B$2,Notes!$I$2:$I$11,0),4)*$C196</f>
        <v>557391</v>
      </c>
      <c r="K196" s="22">
        <f>INDEX(Notes!$I$2:$N$11,MATCH(Notes!$B$2,Notes!$I$2:$I$11,0),5)*$D196</f>
        <v>0</v>
      </c>
      <c r="L196" s="22">
        <f>INDEX(Notes!$I$2:$N$11,MATCH(Notes!$B$2,Notes!$I$2:$I$11,0),6)*$E196</f>
        <v>0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557391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223179</v>
      </c>
      <c r="D197" s="160">
        <f>INDEX(Data[],MATCH($A197,Data[Dist],0),MATCH(D$6,Data[#Headers],0))</f>
        <v>221226</v>
      </c>
      <c r="E197" s="160">
        <f>INDEX(Data[],MATCH($A197,Data[Dist],0),MATCH(E$6,Data[#Headers],0))</f>
        <v>221226</v>
      </c>
      <c r="F197" s="160">
        <f>INDEX(Data[],MATCH($A197,Data[Dist],0),MATCH(F$6,Data[#Headers],0))</f>
        <v>221225</v>
      </c>
      <c r="G197" s="22">
        <f>INDEX(Data[],MATCH($A197,Data[Dist],0),MATCH(G$6,Data[#Headers],0))</f>
        <v>223179</v>
      </c>
      <c r="H197" s="22">
        <f>INDEX(Data[],MATCH($A197,Data[Dist],0),MATCH(H$6,Data[#Headers],0))-G197</f>
        <v>2008614</v>
      </c>
      <c r="I197" s="25"/>
      <c r="J197" s="22">
        <f>INDEX(Notes!$I$2:$N$11,MATCH(Notes!$B$2,Notes!$I$2:$I$11,0),4)*$C197</f>
        <v>223179</v>
      </c>
      <c r="K197" s="22">
        <f>INDEX(Notes!$I$2:$N$11,MATCH(Notes!$B$2,Notes!$I$2:$I$11,0),5)*$D197</f>
        <v>0</v>
      </c>
      <c r="L197" s="22">
        <f>INDEX(Notes!$I$2:$N$11,MATCH(Notes!$B$2,Notes!$I$2:$I$11,0),6)*$E197</f>
        <v>0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223179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625434</v>
      </c>
      <c r="D198" s="160">
        <f>INDEX(Data[],MATCH($A198,Data[Dist],0),MATCH(D$6,Data[#Headers],0))</f>
        <v>621643</v>
      </c>
      <c r="E198" s="160">
        <f>INDEX(Data[],MATCH($A198,Data[Dist],0),MATCH(E$6,Data[#Headers],0))</f>
        <v>621643</v>
      </c>
      <c r="F198" s="160">
        <f>INDEX(Data[],MATCH($A198,Data[Dist],0),MATCH(F$6,Data[#Headers],0))</f>
        <v>621643</v>
      </c>
      <c r="G198" s="22">
        <f>INDEX(Data[],MATCH($A198,Data[Dist],0),MATCH(G$6,Data[#Headers],0))</f>
        <v>625434</v>
      </c>
      <c r="H198" s="22">
        <f>INDEX(Data[],MATCH($A198,Data[Dist],0),MATCH(H$6,Data[#Headers],0))-G198</f>
        <v>5628906</v>
      </c>
      <c r="I198" s="25"/>
      <c r="J198" s="22">
        <f>INDEX(Notes!$I$2:$N$11,MATCH(Notes!$B$2,Notes!$I$2:$I$11,0),4)*$C198</f>
        <v>625434</v>
      </c>
      <c r="K198" s="22">
        <f>INDEX(Notes!$I$2:$N$11,MATCH(Notes!$B$2,Notes!$I$2:$I$11,0),5)*$D198</f>
        <v>0</v>
      </c>
      <c r="L198" s="22">
        <f>INDEX(Notes!$I$2:$N$11,MATCH(Notes!$B$2,Notes!$I$2:$I$11,0),6)*$E198</f>
        <v>0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625434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236365</v>
      </c>
      <c r="D199" s="160">
        <f>INDEX(Data[],MATCH($A199,Data[Dist],0),MATCH(D$6,Data[#Headers],0))</f>
        <v>235025</v>
      </c>
      <c r="E199" s="160">
        <f>INDEX(Data[],MATCH($A199,Data[Dist],0),MATCH(E$6,Data[#Headers],0))</f>
        <v>235024</v>
      </c>
      <c r="F199" s="160">
        <f>INDEX(Data[],MATCH($A199,Data[Dist],0),MATCH(F$6,Data[#Headers],0))</f>
        <v>235025</v>
      </c>
      <c r="G199" s="22">
        <f>INDEX(Data[],MATCH($A199,Data[Dist],0),MATCH(G$6,Data[#Headers],0))</f>
        <v>236365</v>
      </c>
      <c r="H199" s="22">
        <f>INDEX(Data[],MATCH($A199,Data[Dist],0),MATCH(H$6,Data[#Headers],0))-G199</f>
        <v>2127280</v>
      </c>
      <c r="I199" s="25"/>
      <c r="J199" s="22">
        <f>INDEX(Notes!$I$2:$N$11,MATCH(Notes!$B$2,Notes!$I$2:$I$11,0),4)*$C199</f>
        <v>236365</v>
      </c>
      <c r="K199" s="22">
        <f>INDEX(Notes!$I$2:$N$11,MATCH(Notes!$B$2,Notes!$I$2:$I$11,0),5)*$D199</f>
        <v>0</v>
      </c>
      <c r="L199" s="22">
        <f>INDEX(Notes!$I$2:$N$11,MATCH(Notes!$B$2,Notes!$I$2:$I$11,0),6)*$E199</f>
        <v>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236365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155831</v>
      </c>
      <c r="D200" s="160">
        <f>INDEX(Data[],MATCH($A200,Data[Dist],0),MATCH(D$6,Data[#Headers],0))</f>
        <v>154964</v>
      </c>
      <c r="E200" s="160">
        <f>INDEX(Data[],MATCH($A200,Data[Dist],0),MATCH(E$6,Data[#Headers],0))</f>
        <v>154963</v>
      </c>
      <c r="F200" s="160">
        <f>INDEX(Data[],MATCH($A200,Data[Dist],0),MATCH(F$6,Data[#Headers],0))</f>
        <v>154964</v>
      </c>
      <c r="G200" s="22">
        <f>INDEX(Data[],MATCH($A200,Data[Dist],0),MATCH(G$6,Data[#Headers],0))</f>
        <v>155831</v>
      </c>
      <c r="H200" s="22">
        <f>INDEX(Data[],MATCH($A200,Data[Dist],0),MATCH(H$6,Data[#Headers],0))-G200</f>
        <v>1402483</v>
      </c>
      <c r="I200" s="25"/>
      <c r="J200" s="22">
        <f>INDEX(Notes!$I$2:$N$11,MATCH(Notes!$B$2,Notes!$I$2:$I$11,0),4)*$C200</f>
        <v>155831</v>
      </c>
      <c r="K200" s="22">
        <f>INDEX(Notes!$I$2:$N$11,MATCH(Notes!$B$2,Notes!$I$2:$I$11,0),5)*$D200</f>
        <v>0</v>
      </c>
      <c r="L200" s="22">
        <f>INDEX(Notes!$I$2:$N$11,MATCH(Notes!$B$2,Notes!$I$2:$I$11,0),6)*$E200</f>
        <v>0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155831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INDEX($A$7:$H$333,MATCH($S200,$A$7:$A$333,0),3)-Q200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133174</v>
      </c>
      <c r="D201" s="160">
        <f>INDEX(Data[],MATCH($A201,Data[Dist],0),MATCH(D$6,Data[#Headers],0))</f>
        <v>132464</v>
      </c>
      <c r="E201" s="160">
        <f>INDEX(Data[],MATCH($A201,Data[Dist],0),MATCH(E$6,Data[#Headers],0))</f>
        <v>132464</v>
      </c>
      <c r="F201" s="160">
        <f>INDEX(Data[],MATCH($A201,Data[Dist],0),MATCH(F$6,Data[#Headers],0))</f>
        <v>132462</v>
      </c>
      <c r="G201" s="22">
        <f>INDEX(Data[],MATCH($A201,Data[Dist],0),MATCH(G$6,Data[#Headers],0))</f>
        <v>133174</v>
      </c>
      <c r="H201" s="22">
        <f>INDEX(Data[],MATCH($A201,Data[Dist],0),MATCH(H$6,Data[#Headers],0))-G201</f>
        <v>1198561</v>
      </c>
      <c r="I201" s="25"/>
      <c r="J201" s="22">
        <f>INDEX(Notes!$I$2:$N$11,MATCH(Notes!$B$2,Notes!$I$2:$I$11,0),4)*$C201</f>
        <v>133174</v>
      </c>
      <c r="K201" s="22">
        <f>INDEX(Notes!$I$2:$N$11,MATCH(Notes!$B$2,Notes!$I$2:$I$11,0),5)*$D201</f>
        <v>0</v>
      </c>
      <c r="L201" s="22">
        <f>INDEX(Notes!$I$2:$N$11,MATCH(Notes!$B$2,Notes!$I$2:$I$11,0),6)*$E201</f>
        <v>0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133174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120423</v>
      </c>
      <c r="D202" s="160">
        <f>INDEX(Data[],MATCH($A202,Data[Dist],0),MATCH(D$6,Data[#Headers],0))</f>
        <v>119689</v>
      </c>
      <c r="E202" s="160">
        <f>INDEX(Data[],MATCH($A202,Data[Dist],0),MATCH(E$6,Data[#Headers],0))</f>
        <v>119689</v>
      </c>
      <c r="F202" s="160">
        <f>INDEX(Data[],MATCH($A202,Data[Dist],0),MATCH(F$6,Data[#Headers],0))</f>
        <v>119687</v>
      </c>
      <c r="G202" s="22">
        <f>INDEX(Data[],MATCH($A202,Data[Dist],0),MATCH(G$6,Data[#Headers],0))</f>
        <v>120423</v>
      </c>
      <c r="H202" s="22">
        <f>INDEX(Data[],MATCH($A202,Data[Dist],0),MATCH(H$6,Data[#Headers],0))-G202</f>
        <v>1083803</v>
      </c>
      <c r="I202" s="25"/>
      <c r="J202" s="22">
        <f>INDEX(Notes!$I$2:$N$11,MATCH(Notes!$B$2,Notes!$I$2:$I$11,0),4)*$C202</f>
        <v>120423</v>
      </c>
      <c r="K202" s="22">
        <f>INDEX(Notes!$I$2:$N$11,MATCH(Notes!$B$2,Notes!$I$2:$I$11,0),5)*$D202</f>
        <v>0</v>
      </c>
      <c r="L202" s="22">
        <f>INDEX(Notes!$I$2:$N$11,MATCH(Notes!$B$2,Notes!$I$2:$I$11,0),6)*$E202</f>
        <v>0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120423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359441</v>
      </c>
      <c r="D203" s="160">
        <f>INDEX(Data[],MATCH($A203,Data[Dist],0),MATCH(D$6,Data[#Headers],0))</f>
        <v>357082</v>
      </c>
      <c r="E203" s="160">
        <f>INDEX(Data[],MATCH($A203,Data[Dist],0),MATCH(E$6,Data[#Headers],0))</f>
        <v>357082</v>
      </c>
      <c r="F203" s="160">
        <f>INDEX(Data[],MATCH($A203,Data[Dist],0),MATCH(F$6,Data[#Headers],0))</f>
        <v>357082</v>
      </c>
      <c r="G203" s="22">
        <f>INDEX(Data[],MATCH($A203,Data[Dist],0),MATCH(G$6,Data[#Headers],0))</f>
        <v>359441</v>
      </c>
      <c r="H203" s="22">
        <f>INDEX(Data[],MATCH($A203,Data[Dist],0),MATCH(H$6,Data[#Headers],0))-G203</f>
        <v>3234967</v>
      </c>
      <c r="I203" s="25"/>
      <c r="J203" s="22">
        <f>INDEX(Notes!$I$2:$N$11,MATCH(Notes!$B$2,Notes!$I$2:$I$11,0),4)*$C203</f>
        <v>359441</v>
      </c>
      <c r="K203" s="22">
        <f>INDEX(Notes!$I$2:$N$11,MATCH(Notes!$B$2,Notes!$I$2:$I$11,0),5)*$D203</f>
        <v>0</v>
      </c>
      <c r="L203" s="22">
        <f>INDEX(Notes!$I$2:$N$11,MATCH(Notes!$B$2,Notes!$I$2:$I$11,0),6)*$E203</f>
        <v>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359441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1285455</v>
      </c>
      <c r="D204" s="160">
        <f>INDEX(Data[],MATCH($A204,Data[Dist],0),MATCH(D$6,Data[#Headers],0))</f>
        <v>1278210</v>
      </c>
      <c r="E204" s="160">
        <f>INDEX(Data[],MATCH($A204,Data[Dist],0),MATCH(E$6,Data[#Headers],0))</f>
        <v>1278211</v>
      </c>
      <c r="F204" s="160">
        <f>INDEX(Data[],MATCH($A204,Data[Dist],0),MATCH(F$6,Data[#Headers],0))</f>
        <v>1278209</v>
      </c>
      <c r="G204" s="22">
        <f>INDEX(Data[],MATCH($A204,Data[Dist],0),MATCH(G$6,Data[#Headers],0))</f>
        <v>1285455</v>
      </c>
      <c r="H204" s="22">
        <f>INDEX(Data[],MATCH($A204,Data[Dist],0),MATCH(H$6,Data[#Headers],0))-G204</f>
        <v>11569096</v>
      </c>
      <c r="I204" s="25"/>
      <c r="J204" s="22">
        <f>INDEX(Notes!$I$2:$N$11,MATCH(Notes!$B$2,Notes!$I$2:$I$11,0),4)*$C204</f>
        <v>1285455</v>
      </c>
      <c r="K204" s="22">
        <f>INDEX(Notes!$I$2:$N$11,MATCH(Notes!$B$2,Notes!$I$2:$I$11,0),5)*$D204</f>
        <v>0</v>
      </c>
      <c r="L204" s="22">
        <f>INDEX(Notes!$I$2:$N$11,MATCH(Notes!$B$2,Notes!$I$2:$I$11,0),6)*$E204</f>
        <v>0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1285455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772105</v>
      </c>
      <c r="D205" s="160">
        <f>INDEX(Data[],MATCH($A205,Data[Dist],0),MATCH(D$6,Data[#Headers],0))</f>
        <v>767673</v>
      </c>
      <c r="E205" s="160">
        <f>INDEX(Data[],MATCH($A205,Data[Dist],0),MATCH(E$6,Data[#Headers],0))</f>
        <v>767672</v>
      </c>
      <c r="F205" s="160">
        <f>INDEX(Data[],MATCH($A205,Data[Dist],0),MATCH(F$6,Data[#Headers],0))</f>
        <v>767673</v>
      </c>
      <c r="G205" s="22">
        <f>INDEX(Data[],MATCH($A205,Data[Dist],0),MATCH(G$6,Data[#Headers],0))</f>
        <v>772105</v>
      </c>
      <c r="H205" s="22">
        <f>INDEX(Data[],MATCH($A205,Data[Dist],0),MATCH(H$6,Data[#Headers],0))-G205</f>
        <v>6948942</v>
      </c>
      <c r="I205" s="25"/>
      <c r="J205" s="22">
        <f>INDEX(Notes!$I$2:$N$11,MATCH(Notes!$B$2,Notes!$I$2:$I$11,0),4)*$C205</f>
        <v>772105</v>
      </c>
      <c r="K205" s="22">
        <f>INDEX(Notes!$I$2:$N$11,MATCH(Notes!$B$2,Notes!$I$2:$I$11,0),5)*$D205</f>
        <v>0</v>
      </c>
      <c r="L205" s="22">
        <f>INDEX(Notes!$I$2:$N$11,MATCH(Notes!$B$2,Notes!$I$2:$I$11,0),6)*$E205</f>
        <v>0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772105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170103</v>
      </c>
      <c r="D206" s="160">
        <f>INDEX(Data[],MATCH($A206,Data[Dist],0),MATCH(D$6,Data[#Headers],0))</f>
        <v>169213</v>
      </c>
      <c r="E206" s="160">
        <f>INDEX(Data[],MATCH($A206,Data[Dist],0),MATCH(E$6,Data[#Headers],0))</f>
        <v>169213</v>
      </c>
      <c r="F206" s="160">
        <f>INDEX(Data[],MATCH($A206,Data[Dist],0),MATCH(F$6,Data[#Headers],0))</f>
        <v>169213</v>
      </c>
      <c r="G206" s="22">
        <f>INDEX(Data[],MATCH($A206,Data[Dist],0),MATCH(G$6,Data[#Headers],0))</f>
        <v>170103</v>
      </c>
      <c r="H206" s="22">
        <f>INDEX(Data[],MATCH($A206,Data[Dist],0),MATCH(H$6,Data[#Headers],0))-G206</f>
        <v>1530929</v>
      </c>
      <c r="I206" s="25"/>
      <c r="J206" s="22">
        <f>INDEX(Notes!$I$2:$N$11,MATCH(Notes!$B$2,Notes!$I$2:$I$11,0),4)*$C206</f>
        <v>170103</v>
      </c>
      <c r="K206" s="22">
        <f>INDEX(Notes!$I$2:$N$11,MATCH(Notes!$B$2,Notes!$I$2:$I$11,0),5)*$D206</f>
        <v>0</v>
      </c>
      <c r="L206" s="22">
        <f>INDEX(Notes!$I$2:$N$11,MATCH(Notes!$B$2,Notes!$I$2:$I$11,0),6)*$E206</f>
        <v>0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170103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3442778</v>
      </c>
      <c r="D207" s="160">
        <f>INDEX(Data[],MATCH($A207,Data[Dist],0),MATCH(D$6,Data[#Headers],0))</f>
        <v>3424549</v>
      </c>
      <c r="E207" s="160">
        <f>INDEX(Data[],MATCH($A207,Data[Dist],0),MATCH(E$6,Data[#Headers],0))</f>
        <v>3424549</v>
      </c>
      <c r="F207" s="160">
        <f>INDEX(Data[],MATCH($A207,Data[Dist],0),MATCH(F$6,Data[#Headers],0))</f>
        <v>3424548</v>
      </c>
      <c r="G207" s="22">
        <f>INDEX(Data[],MATCH($A207,Data[Dist],0),MATCH(G$6,Data[#Headers],0))</f>
        <v>3442778</v>
      </c>
      <c r="H207" s="22">
        <f>INDEX(Data[],MATCH($A207,Data[Dist],0),MATCH(H$6,Data[#Headers],0))-G207</f>
        <v>30985000</v>
      </c>
      <c r="I207" s="25"/>
      <c r="J207" s="22">
        <f>INDEX(Notes!$I$2:$N$11,MATCH(Notes!$B$2,Notes!$I$2:$I$11,0),4)*$C207</f>
        <v>3442778</v>
      </c>
      <c r="K207" s="22">
        <f>INDEX(Notes!$I$2:$N$11,MATCH(Notes!$B$2,Notes!$I$2:$I$11,0),5)*$D207</f>
        <v>0</v>
      </c>
      <c r="L207" s="22">
        <f>INDEX(Notes!$I$2:$N$11,MATCH(Notes!$B$2,Notes!$I$2:$I$11,0),6)*$E207</f>
        <v>0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3442778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387500</v>
      </c>
      <c r="D208" s="160">
        <f>INDEX(Data[],MATCH($A208,Data[Dist],0),MATCH(D$6,Data[#Headers],0))</f>
        <v>385142</v>
      </c>
      <c r="E208" s="160">
        <f>INDEX(Data[],MATCH($A208,Data[Dist],0),MATCH(E$6,Data[#Headers],0))</f>
        <v>385142</v>
      </c>
      <c r="F208" s="160">
        <f>INDEX(Data[],MATCH($A208,Data[Dist],0),MATCH(F$6,Data[#Headers],0))</f>
        <v>385142</v>
      </c>
      <c r="G208" s="22">
        <f>INDEX(Data[],MATCH($A208,Data[Dist],0),MATCH(G$6,Data[#Headers],0))</f>
        <v>387500</v>
      </c>
      <c r="H208" s="22">
        <f>INDEX(Data[],MATCH($A208,Data[Dist],0),MATCH(H$6,Data[#Headers],0))-G208</f>
        <v>3487502</v>
      </c>
      <c r="I208" s="25"/>
      <c r="J208" s="22">
        <f>INDEX(Notes!$I$2:$N$11,MATCH(Notes!$B$2,Notes!$I$2:$I$11,0),4)*$C208</f>
        <v>387500</v>
      </c>
      <c r="K208" s="22">
        <f>INDEX(Notes!$I$2:$N$11,MATCH(Notes!$B$2,Notes!$I$2:$I$11,0),5)*$D208</f>
        <v>0</v>
      </c>
      <c r="L208" s="22">
        <f>INDEX(Notes!$I$2:$N$11,MATCH(Notes!$B$2,Notes!$I$2:$I$11,0),6)*$E208</f>
        <v>0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387500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967106</v>
      </c>
      <c r="D209" s="160">
        <f>INDEX(Data[],MATCH($A209,Data[Dist],0),MATCH(D$6,Data[#Headers],0))</f>
        <v>961547</v>
      </c>
      <c r="E209" s="160">
        <f>INDEX(Data[],MATCH($A209,Data[Dist],0),MATCH(E$6,Data[#Headers],0))</f>
        <v>961547</v>
      </c>
      <c r="F209" s="160">
        <f>INDEX(Data[],MATCH($A209,Data[Dist],0),MATCH(F$6,Data[#Headers],0))</f>
        <v>961546</v>
      </c>
      <c r="G209" s="22">
        <f>INDEX(Data[],MATCH($A209,Data[Dist],0),MATCH(G$6,Data[#Headers],0))</f>
        <v>967106</v>
      </c>
      <c r="H209" s="22">
        <f>INDEX(Data[],MATCH($A209,Data[Dist],0),MATCH(H$6,Data[#Headers],0))-G209</f>
        <v>8703956</v>
      </c>
      <c r="I209" s="25"/>
      <c r="J209" s="22">
        <f>INDEX(Notes!$I$2:$N$11,MATCH(Notes!$B$2,Notes!$I$2:$I$11,0),4)*$C209</f>
        <v>967106</v>
      </c>
      <c r="K209" s="22">
        <f>INDEX(Notes!$I$2:$N$11,MATCH(Notes!$B$2,Notes!$I$2:$I$11,0),5)*$D209</f>
        <v>0</v>
      </c>
      <c r="L209" s="22">
        <f>INDEX(Notes!$I$2:$N$11,MATCH(Notes!$B$2,Notes!$I$2:$I$11,0),6)*$E209</f>
        <v>0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967106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257203</v>
      </c>
      <c r="D210" s="160">
        <f>INDEX(Data[],MATCH($A210,Data[Dist],0),MATCH(D$6,Data[#Headers],0))</f>
        <v>255318</v>
      </c>
      <c r="E210" s="160">
        <f>INDEX(Data[],MATCH($A210,Data[Dist],0),MATCH(E$6,Data[#Headers],0))</f>
        <v>255317</v>
      </c>
      <c r="F210" s="160">
        <f>INDEX(Data[],MATCH($A210,Data[Dist],0),MATCH(F$6,Data[#Headers],0))</f>
        <v>255318</v>
      </c>
      <c r="G210" s="22">
        <f>INDEX(Data[],MATCH($A210,Data[Dist],0),MATCH(G$6,Data[#Headers],0))</f>
        <v>257203</v>
      </c>
      <c r="H210" s="22">
        <f>INDEX(Data[],MATCH($A210,Data[Dist],0),MATCH(H$6,Data[#Headers],0))-G210</f>
        <v>2314825</v>
      </c>
      <c r="I210" s="25"/>
      <c r="J210" s="22">
        <f>INDEX(Notes!$I$2:$N$11,MATCH(Notes!$B$2,Notes!$I$2:$I$11,0),4)*$C210</f>
        <v>257203</v>
      </c>
      <c r="K210" s="22">
        <f>INDEX(Notes!$I$2:$N$11,MATCH(Notes!$B$2,Notes!$I$2:$I$11,0),5)*$D210</f>
        <v>0</v>
      </c>
      <c r="L210" s="22">
        <f>INDEX(Notes!$I$2:$N$11,MATCH(Notes!$B$2,Notes!$I$2:$I$11,0),6)*$E210</f>
        <v>0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257203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526064</v>
      </c>
      <c r="D211" s="160">
        <f>INDEX(Data[],MATCH($A211,Data[Dist],0),MATCH(D$6,Data[#Headers],0))</f>
        <v>522414</v>
      </c>
      <c r="E211" s="160">
        <f>INDEX(Data[],MATCH($A211,Data[Dist],0),MATCH(E$6,Data[#Headers],0))</f>
        <v>522414</v>
      </c>
      <c r="F211" s="160">
        <f>INDEX(Data[],MATCH($A211,Data[Dist],0),MATCH(F$6,Data[#Headers],0))</f>
        <v>522413</v>
      </c>
      <c r="G211" s="22">
        <f>INDEX(Data[],MATCH($A211,Data[Dist],0),MATCH(G$6,Data[#Headers],0))</f>
        <v>526064</v>
      </c>
      <c r="H211" s="22">
        <f>INDEX(Data[],MATCH($A211,Data[Dist],0),MATCH(H$6,Data[#Headers],0))-G211</f>
        <v>4734580</v>
      </c>
      <c r="I211" s="25"/>
      <c r="J211" s="22">
        <f>INDEX(Notes!$I$2:$N$11,MATCH(Notes!$B$2,Notes!$I$2:$I$11,0),4)*$C211</f>
        <v>526064</v>
      </c>
      <c r="K211" s="22">
        <f>INDEX(Notes!$I$2:$N$11,MATCH(Notes!$B$2,Notes!$I$2:$I$11,0),5)*$D211</f>
        <v>0</v>
      </c>
      <c r="L211" s="22">
        <f>INDEX(Notes!$I$2:$N$11,MATCH(Notes!$B$2,Notes!$I$2:$I$11,0),6)*$E211</f>
        <v>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526064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407547</v>
      </c>
      <c r="D212" s="160">
        <f>INDEX(Data[],MATCH($A212,Data[Dist],0),MATCH(D$6,Data[#Headers],0))</f>
        <v>405437</v>
      </c>
      <c r="E212" s="160">
        <f>INDEX(Data[],MATCH($A212,Data[Dist],0),MATCH(E$6,Data[#Headers],0))</f>
        <v>405437</v>
      </c>
      <c r="F212" s="160">
        <f>INDEX(Data[],MATCH($A212,Data[Dist],0),MATCH(F$6,Data[#Headers],0))</f>
        <v>405436</v>
      </c>
      <c r="G212" s="22">
        <f>INDEX(Data[],MATCH($A212,Data[Dist],0),MATCH(G$6,Data[#Headers],0))</f>
        <v>407547</v>
      </c>
      <c r="H212" s="22">
        <f>INDEX(Data[],MATCH($A212,Data[Dist],0),MATCH(H$6,Data[#Headers],0))-G212</f>
        <v>3667923</v>
      </c>
      <c r="I212" s="25"/>
      <c r="J212" s="22">
        <f>INDEX(Notes!$I$2:$N$11,MATCH(Notes!$B$2,Notes!$I$2:$I$11,0),4)*$C212</f>
        <v>407547</v>
      </c>
      <c r="K212" s="22">
        <f>INDEX(Notes!$I$2:$N$11,MATCH(Notes!$B$2,Notes!$I$2:$I$11,0),5)*$D212</f>
        <v>0</v>
      </c>
      <c r="L212" s="22">
        <f>INDEX(Notes!$I$2:$N$11,MATCH(Notes!$B$2,Notes!$I$2:$I$11,0),6)*$E212</f>
        <v>0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407547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2228023</v>
      </c>
      <c r="D213" s="160">
        <f>INDEX(Data[],MATCH($A213,Data[Dist],0),MATCH(D$6,Data[#Headers],0))</f>
        <v>2216384</v>
      </c>
      <c r="E213" s="160">
        <f>INDEX(Data[],MATCH($A213,Data[Dist],0),MATCH(E$6,Data[#Headers],0))</f>
        <v>2216384</v>
      </c>
      <c r="F213" s="160">
        <f>INDEX(Data[],MATCH($A213,Data[Dist],0),MATCH(F$6,Data[#Headers],0))</f>
        <v>2216383</v>
      </c>
      <c r="G213" s="22">
        <f>INDEX(Data[],MATCH($A213,Data[Dist],0),MATCH(G$6,Data[#Headers],0))</f>
        <v>2228023</v>
      </c>
      <c r="H213" s="22">
        <f>INDEX(Data[],MATCH($A213,Data[Dist],0),MATCH(H$6,Data[#Headers],0))-G213</f>
        <v>20052205</v>
      </c>
      <c r="I213" s="25"/>
      <c r="J213" s="22">
        <f>INDEX(Notes!$I$2:$N$11,MATCH(Notes!$B$2,Notes!$I$2:$I$11,0),4)*$C213</f>
        <v>2228023</v>
      </c>
      <c r="K213" s="22">
        <f>INDEX(Notes!$I$2:$N$11,MATCH(Notes!$B$2,Notes!$I$2:$I$11,0),5)*$D213</f>
        <v>0</v>
      </c>
      <c r="L213" s="22">
        <f>INDEX(Notes!$I$2:$N$11,MATCH(Notes!$B$2,Notes!$I$2:$I$11,0),6)*$E213</f>
        <v>0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2228023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500097</v>
      </c>
      <c r="D214" s="160">
        <f>INDEX(Data[],MATCH($A214,Data[Dist],0),MATCH(D$6,Data[#Headers],0))</f>
        <v>496938</v>
      </c>
      <c r="E214" s="160">
        <f>INDEX(Data[],MATCH($A214,Data[Dist],0),MATCH(E$6,Data[#Headers],0))</f>
        <v>496939</v>
      </c>
      <c r="F214" s="160">
        <f>INDEX(Data[],MATCH($A214,Data[Dist],0),MATCH(F$6,Data[#Headers],0))</f>
        <v>496937</v>
      </c>
      <c r="G214" s="22">
        <f>INDEX(Data[],MATCH($A214,Data[Dist],0),MATCH(G$6,Data[#Headers],0))</f>
        <v>500097</v>
      </c>
      <c r="H214" s="22">
        <f>INDEX(Data[],MATCH($A214,Data[Dist],0),MATCH(H$6,Data[#Headers],0))-G214</f>
        <v>4500872</v>
      </c>
      <c r="I214" s="25"/>
      <c r="J214" s="22">
        <f>INDEX(Notes!$I$2:$N$11,MATCH(Notes!$B$2,Notes!$I$2:$I$11,0),4)*$C214</f>
        <v>500097</v>
      </c>
      <c r="K214" s="22">
        <f>INDEX(Notes!$I$2:$N$11,MATCH(Notes!$B$2,Notes!$I$2:$I$11,0),5)*$D214</f>
        <v>0</v>
      </c>
      <c r="L214" s="22">
        <f>INDEX(Notes!$I$2:$N$11,MATCH(Notes!$B$2,Notes!$I$2:$I$11,0),6)*$E214</f>
        <v>0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500097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345308</v>
      </c>
      <c r="D215" s="160">
        <f>INDEX(Data[],MATCH($A215,Data[Dist],0),MATCH(D$6,Data[#Headers],0))</f>
        <v>343272</v>
      </c>
      <c r="E215" s="160">
        <f>INDEX(Data[],MATCH($A215,Data[Dist],0),MATCH(E$6,Data[#Headers],0))</f>
        <v>343272</v>
      </c>
      <c r="F215" s="160">
        <f>INDEX(Data[],MATCH($A215,Data[Dist],0),MATCH(F$6,Data[#Headers],0))</f>
        <v>343272</v>
      </c>
      <c r="G215" s="22">
        <f>INDEX(Data[],MATCH($A215,Data[Dist],0),MATCH(G$6,Data[#Headers],0))</f>
        <v>345308</v>
      </c>
      <c r="H215" s="22">
        <f>INDEX(Data[],MATCH($A215,Data[Dist],0),MATCH(H$6,Data[#Headers],0))-G215</f>
        <v>3107775</v>
      </c>
      <c r="I215" s="25"/>
      <c r="J215" s="22">
        <f>INDEX(Notes!$I$2:$N$11,MATCH(Notes!$B$2,Notes!$I$2:$I$11,0),4)*$C215</f>
        <v>345308</v>
      </c>
      <c r="K215" s="22">
        <f>INDEX(Notes!$I$2:$N$11,MATCH(Notes!$B$2,Notes!$I$2:$I$11,0),5)*$D215</f>
        <v>0</v>
      </c>
      <c r="L215" s="22">
        <f>INDEX(Notes!$I$2:$N$11,MATCH(Notes!$B$2,Notes!$I$2:$I$11,0),6)*$E215</f>
        <v>0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345308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750079</v>
      </c>
      <c r="D216" s="160">
        <f>INDEX(Data[],MATCH($A216,Data[Dist],0),MATCH(D$6,Data[#Headers],0))</f>
        <v>745672</v>
      </c>
      <c r="E216" s="160">
        <f>INDEX(Data[],MATCH($A216,Data[Dist],0),MATCH(E$6,Data[#Headers],0))</f>
        <v>745672</v>
      </c>
      <c r="F216" s="160">
        <f>INDEX(Data[],MATCH($A216,Data[Dist],0),MATCH(F$6,Data[#Headers],0))</f>
        <v>745672</v>
      </c>
      <c r="G216" s="22">
        <f>INDEX(Data[],MATCH($A216,Data[Dist],0),MATCH(G$6,Data[#Headers],0))</f>
        <v>750079</v>
      </c>
      <c r="H216" s="22">
        <f>INDEX(Data[],MATCH($A216,Data[Dist],0),MATCH(H$6,Data[#Headers],0))-G216</f>
        <v>6750711</v>
      </c>
      <c r="I216" s="25"/>
      <c r="J216" s="22">
        <f>INDEX(Notes!$I$2:$N$11,MATCH(Notes!$B$2,Notes!$I$2:$I$11,0),4)*$C216</f>
        <v>750079</v>
      </c>
      <c r="K216" s="22">
        <f>INDEX(Notes!$I$2:$N$11,MATCH(Notes!$B$2,Notes!$I$2:$I$11,0),5)*$D216</f>
        <v>0</v>
      </c>
      <c r="L216" s="22">
        <f>INDEX(Notes!$I$2:$N$11,MATCH(Notes!$B$2,Notes!$I$2:$I$11,0),6)*$E216</f>
        <v>0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750079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307251</v>
      </c>
      <c r="D217" s="160">
        <f>INDEX(Data[],MATCH($A217,Data[Dist],0),MATCH(D$6,Data[#Headers],0))</f>
        <v>305278</v>
      </c>
      <c r="E217" s="160">
        <f>INDEX(Data[],MATCH($A217,Data[Dist],0),MATCH(E$6,Data[#Headers],0))</f>
        <v>305279</v>
      </c>
      <c r="F217" s="160">
        <f>INDEX(Data[],MATCH($A217,Data[Dist],0),MATCH(F$6,Data[#Headers],0))</f>
        <v>305277</v>
      </c>
      <c r="G217" s="22">
        <f>INDEX(Data[],MATCH($A217,Data[Dist],0),MATCH(G$6,Data[#Headers],0))</f>
        <v>307251</v>
      </c>
      <c r="H217" s="22">
        <f>INDEX(Data[],MATCH($A217,Data[Dist],0),MATCH(H$6,Data[#Headers],0))-G217</f>
        <v>2765257</v>
      </c>
      <c r="I217" s="25"/>
      <c r="J217" s="22">
        <f>INDEX(Notes!$I$2:$N$11,MATCH(Notes!$B$2,Notes!$I$2:$I$11,0),4)*$C217</f>
        <v>307251</v>
      </c>
      <c r="K217" s="22">
        <f>INDEX(Notes!$I$2:$N$11,MATCH(Notes!$B$2,Notes!$I$2:$I$11,0),5)*$D217</f>
        <v>0</v>
      </c>
      <c r="L217" s="22">
        <f>INDEX(Notes!$I$2:$N$11,MATCH(Notes!$B$2,Notes!$I$2:$I$11,0),6)*$E217</f>
        <v>0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307251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335953</v>
      </c>
      <c r="D218" s="160">
        <f>INDEX(Data[],MATCH($A218,Data[Dist],0),MATCH(D$6,Data[#Headers],0))</f>
        <v>333781</v>
      </c>
      <c r="E218" s="160">
        <f>INDEX(Data[],MATCH($A218,Data[Dist],0),MATCH(E$6,Data[#Headers],0))</f>
        <v>333781</v>
      </c>
      <c r="F218" s="160">
        <f>INDEX(Data[],MATCH($A218,Data[Dist],0),MATCH(F$6,Data[#Headers],0))</f>
        <v>333781</v>
      </c>
      <c r="G218" s="22">
        <f>INDEX(Data[],MATCH($A218,Data[Dist],0),MATCH(G$6,Data[#Headers],0))</f>
        <v>335953</v>
      </c>
      <c r="H218" s="22">
        <f>INDEX(Data[],MATCH($A218,Data[Dist],0),MATCH(H$6,Data[#Headers],0))-G218</f>
        <v>3023576</v>
      </c>
      <c r="I218" s="25"/>
      <c r="J218" s="22">
        <f>INDEX(Notes!$I$2:$N$11,MATCH(Notes!$B$2,Notes!$I$2:$I$11,0),4)*$C218</f>
        <v>335953</v>
      </c>
      <c r="K218" s="22">
        <f>INDEX(Notes!$I$2:$N$11,MATCH(Notes!$B$2,Notes!$I$2:$I$11,0),5)*$D218</f>
        <v>0</v>
      </c>
      <c r="L218" s="22">
        <f>INDEX(Notes!$I$2:$N$11,MATCH(Notes!$B$2,Notes!$I$2:$I$11,0),6)*$E218</f>
        <v>0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335953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99406</v>
      </c>
      <c r="D219" s="160">
        <f>INDEX(Data[],MATCH($A219,Data[Dist],0),MATCH(D$6,Data[#Headers],0))</f>
        <v>98394</v>
      </c>
      <c r="E219" s="160">
        <f>INDEX(Data[],MATCH($A219,Data[Dist],0),MATCH(E$6,Data[#Headers],0))</f>
        <v>98394</v>
      </c>
      <c r="F219" s="160">
        <f>INDEX(Data[],MATCH($A219,Data[Dist],0),MATCH(F$6,Data[#Headers],0))</f>
        <v>98393</v>
      </c>
      <c r="G219" s="22">
        <f>INDEX(Data[],MATCH($A219,Data[Dist],0),MATCH(G$6,Data[#Headers],0))</f>
        <v>99406</v>
      </c>
      <c r="H219" s="22">
        <f>INDEX(Data[],MATCH($A219,Data[Dist],0),MATCH(H$6,Data[#Headers],0))-G219</f>
        <v>894657</v>
      </c>
      <c r="I219" s="25"/>
      <c r="J219" s="22">
        <f>INDEX(Notes!$I$2:$N$11,MATCH(Notes!$B$2,Notes!$I$2:$I$11,0),4)*$C219</f>
        <v>99406</v>
      </c>
      <c r="K219" s="22">
        <f>INDEX(Notes!$I$2:$N$11,MATCH(Notes!$B$2,Notes!$I$2:$I$11,0),5)*$D219</f>
        <v>0</v>
      </c>
      <c r="L219" s="22">
        <f>INDEX(Notes!$I$2:$N$11,MATCH(Notes!$B$2,Notes!$I$2:$I$11,0),6)*$E219</f>
        <v>0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99406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1350854</v>
      </c>
      <c r="D220" s="160">
        <f>INDEX(Data[],MATCH($A220,Data[Dist],0),MATCH(D$6,Data[#Headers],0))</f>
        <v>1343151</v>
      </c>
      <c r="E220" s="160">
        <f>INDEX(Data[],MATCH($A220,Data[Dist],0),MATCH(E$6,Data[#Headers],0))</f>
        <v>1343150</v>
      </c>
      <c r="F220" s="160">
        <f>INDEX(Data[],MATCH($A220,Data[Dist],0),MATCH(F$6,Data[#Headers],0))</f>
        <v>1343151</v>
      </c>
      <c r="G220" s="22">
        <f>INDEX(Data[],MATCH($A220,Data[Dist],0),MATCH(G$6,Data[#Headers],0))</f>
        <v>1350854</v>
      </c>
      <c r="H220" s="22">
        <f>INDEX(Data[],MATCH($A220,Data[Dist],0),MATCH(H$6,Data[#Headers],0))-G220</f>
        <v>12157689</v>
      </c>
      <c r="I220" s="25"/>
      <c r="J220" s="22">
        <f>INDEX(Notes!$I$2:$N$11,MATCH(Notes!$B$2,Notes!$I$2:$I$11,0),4)*$C220</f>
        <v>1350854</v>
      </c>
      <c r="K220" s="22">
        <f>INDEX(Notes!$I$2:$N$11,MATCH(Notes!$B$2,Notes!$I$2:$I$11,0),5)*$D220</f>
        <v>0</v>
      </c>
      <c r="L220" s="22">
        <f>INDEX(Notes!$I$2:$N$11,MATCH(Notes!$B$2,Notes!$I$2:$I$11,0),6)*$E220</f>
        <v>0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1350854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1998260</v>
      </c>
      <c r="D221" s="160">
        <f>INDEX(Data[],MATCH($A221,Data[Dist],0),MATCH(D$6,Data[#Headers],0))</f>
        <v>1985937</v>
      </c>
      <c r="E221" s="160">
        <f>INDEX(Data[],MATCH($A221,Data[Dist],0),MATCH(E$6,Data[#Headers],0))</f>
        <v>1985938</v>
      </c>
      <c r="F221" s="160">
        <f>INDEX(Data[],MATCH($A221,Data[Dist],0),MATCH(F$6,Data[#Headers],0))</f>
        <v>1985936</v>
      </c>
      <c r="G221" s="22">
        <f>INDEX(Data[],MATCH($A221,Data[Dist],0),MATCH(G$6,Data[#Headers],0))</f>
        <v>1998260</v>
      </c>
      <c r="H221" s="22">
        <f>INDEX(Data[],MATCH($A221,Data[Dist],0),MATCH(H$6,Data[#Headers],0))-G221</f>
        <v>17984337</v>
      </c>
      <c r="I221" s="25"/>
      <c r="J221" s="22">
        <f>INDEX(Notes!$I$2:$N$11,MATCH(Notes!$B$2,Notes!$I$2:$I$11,0),4)*$C221</f>
        <v>1998260</v>
      </c>
      <c r="K221" s="22">
        <f>INDEX(Notes!$I$2:$N$11,MATCH(Notes!$B$2,Notes!$I$2:$I$11,0),5)*$D221</f>
        <v>0</v>
      </c>
      <c r="L221" s="22">
        <f>INDEX(Notes!$I$2:$N$11,MATCH(Notes!$B$2,Notes!$I$2:$I$11,0),6)*$E221</f>
        <v>0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1998260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274347</v>
      </c>
      <c r="D222" s="160">
        <f>INDEX(Data[],MATCH($A222,Data[Dist],0),MATCH(D$6,Data[#Headers],0))</f>
        <v>272546</v>
      </c>
      <c r="E222" s="160">
        <f>INDEX(Data[],MATCH($A222,Data[Dist],0),MATCH(E$6,Data[#Headers],0))</f>
        <v>272546</v>
      </c>
      <c r="F222" s="160">
        <f>INDEX(Data[],MATCH($A222,Data[Dist],0),MATCH(F$6,Data[#Headers],0))</f>
        <v>272546</v>
      </c>
      <c r="G222" s="22">
        <f>INDEX(Data[],MATCH($A222,Data[Dist],0),MATCH(G$6,Data[#Headers],0))</f>
        <v>274347</v>
      </c>
      <c r="H222" s="22">
        <f>INDEX(Data[],MATCH($A222,Data[Dist],0),MATCH(H$6,Data[#Headers],0))-G222</f>
        <v>2469125</v>
      </c>
      <c r="I222" s="25"/>
      <c r="J222" s="22">
        <f>INDEX(Notes!$I$2:$N$11,MATCH(Notes!$B$2,Notes!$I$2:$I$11,0),4)*$C222</f>
        <v>274347</v>
      </c>
      <c r="K222" s="22">
        <f>INDEX(Notes!$I$2:$N$11,MATCH(Notes!$B$2,Notes!$I$2:$I$11,0),5)*$D222</f>
        <v>0</v>
      </c>
      <c r="L222" s="22">
        <f>INDEX(Notes!$I$2:$N$11,MATCH(Notes!$B$2,Notes!$I$2:$I$11,0),6)*$E222</f>
        <v>0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274347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306798</v>
      </c>
      <c r="D223" s="160">
        <f>INDEX(Data[],MATCH($A223,Data[Dist],0),MATCH(D$6,Data[#Headers],0))</f>
        <v>304807</v>
      </c>
      <c r="E223" s="160">
        <f>INDEX(Data[],MATCH($A223,Data[Dist],0),MATCH(E$6,Data[#Headers],0))</f>
        <v>304807</v>
      </c>
      <c r="F223" s="160">
        <f>INDEX(Data[],MATCH($A223,Data[Dist],0),MATCH(F$6,Data[#Headers],0))</f>
        <v>304807</v>
      </c>
      <c r="G223" s="22">
        <f>INDEX(Data[],MATCH($A223,Data[Dist],0),MATCH(G$6,Data[#Headers],0))</f>
        <v>306798</v>
      </c>
      <c r="H223" s="22">
        <f>INDEX(Data[],MATCH($A223,Data[Dist],0),MATCH(H$6,Data[#Headers],0))-G223</f>
        <v>2761184</v>
      </c>
      <c r="I223" s="25"/>
      <c r="J223" s="22">
        <f>INDEX(Notes!$I$2:$N$11,MATCH(Notes!$B$2,Notes!$I$2:$I$11,0),4)*$C223</f>
        <v>306798</v>
      </c>
      <c r="K223" s="22">
        <f>INDEX(Notes!$I$2:$N$11,MATCH(Notes!$B$2,Notes!$I$2:$I$11,0),5)*$D223</f>
        <v>0</v>
      </c>
      <c r="L223" s="22">
        <f>INDEX(Notes!$I$2:$N$11,MATCH(Notes!$B$2,Notes!$I$2:$I$11,0),6)*$E223</f>
        <v>0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306798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2659033</v>
      </c>
      <c r="D224" s="160">
        <f>INDEX(Data[],MATCH($A224,Data[Dist],0),MATCH(D$6,Data[#Headers],0))</f>
        <v>2645769</v>
      </c>
      <c r="E224" s="160">
        <f>INDEX(Data[],MATCH($A224,Data[Dist],0),MATCH(E$6,Data[#Headers],0))</f>
        <v>2645769</v>
      </c>
      <c r="F224" s="160">
        <f>INDEX(Data[],MATCH($A224,Data[Dist],0),MATCH(F$6,Data[#Headers],0))</f>
        <v>2645768</v>
      </c>
      <c r="G224" s="22">
        <f>INDEX(Data[],MATCH($A224,Data[Dist],0),MATCH(G$6,Data[#Headers],0))</f>
        <v>2659033</v>
      </c>
      <c r="H224" s="22">
        <f>INDEX(Data[],MATCH($A224,Data[Dist],0),MATCH(H$6,Data[#Headers],0))-G224</f>
        <v>23931298</v>
      </c>
      <c r="I224" s="25"/>
      <c r="J224" s="22">
        <f>INDEX(Notes!$I$2:$N$11,MATCH(Notes!$B$2,Notes!$I$2:$I$11,0),4)*$C224</f>
        <v>2659033</v>
      </c>
      <c r="K224" s="22">
        <f>INDEX(Notes!$I$2:$N$11,MATCH(Notes!$B$2,Notes!$I$2:$I$11,0),5)*$D224</f>
        <v>0</v>
      </c>
      <c r="L224" s="22">
        <f>INDEX(Notes!$I$2:$N$11,MATCH(Notes!$B$2,Notes!$I$2:$I$11,0),6)*$E224</f>
        <v>0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2659033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416607</v>
      </c>
      <c r="D225" s="160">
        <f>INDEX(Data[],MATCH($A225,Data[Dist],0),MATCH(D$6,Data[#Headers],0))</f>
        <v>413859</v>
      </c>
      <c r="E225" s="160">
        <f>INDEX(Data[],MATCH($A225,Data[Dist],0),MATCH(E$6,Data[#Headers],0))</f>
        <v>413858</v>
      </c>
      <c r="F225" s="160">
        <f>INDEX(Data[],MATCH($A225,Data[Dist],0),MATCH(F$6,Data[#Headers],0))</f>
        <v>413859</v>
      </c>
      <c r="G225" s="22">
        <f>INDEX(Data[],MATCH($A225,Data[Dist],0),MATCH(G$6,Data[#Headers],0))</f>
        <v>416607</v>
      </c>
      <c r="H225" s="22">
        <f>INDEX(Data[],MATCH($A225,Data[Dist],0),MATCH(H$6,Data[#Headers],0))-G225</f>
        <v>3749462</v>
      </c>
      <c r="I225" s="25"/>
      <c r="J225" s="22">
        <f>INDEX(Notes!$I$2:$N$11,MATCH(Notes!$B$2,Notes!$I$2:$I$11,0),4)*$C225</f>
        <v>416607</v>
      </c>
      <c r="K225" s="22">
        <f>INDEX(Notes!$I$2:$N$11,MATCH(Notes!$B$2,Notes!$I$2:$I$11,0),5)*$D225</f>
        <v>0</v>
      </c>
      <c r="L225" s="22">
        <f>INDEX(Notes!$I$2:$N$11,MATCH(Notes!$B$2,Notes!$I$2:$I$11,0),6)*$E225</f>
        <v>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416607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540800</v>
      </c>
      <c r="D226" s="160">
        <f>INDEX(Data[],MATCH($A226,Data[Dist],0),MATCH(D$6,Data[#Headers],0))</f>
        <v>537139</v>
      </c>
      <c r="E226" s="160">
        <f>INDEX(Data[],MATCH($A226,Data[Dist],0),MATCH(E$6,Data[#Headers],0))</f>
        <v>537139</v>
      </c>
      <c r="F226" s="160">
        <f>INDEX(Data[],MATCH($A226,Data[Dist],0),MATCH(F$6,Data[#Headers],0))</f>
        <v>537137</v>
      </c>
      <c r="G226" s="22">
        <f>INDEX(Data[],MATCH($A226,Data[Dist],0),MATCH(G$6,Data[#Headers],0))</f>
        <v>540800</v>
      </c>
      <c r="H226" s="22">
        <f>INDEX(Data[],MATCH($A226,Data[Dist],0),MATCH(H$6,Data[#Headers],0))-G226</f>
        <v>4867202</v>
      </c>
      <c r="I226" s="25"/>
      <c r="J226" s="22">
        <f>INDEX(Notes!$I$2:$N$11,MATCH(Notes!$B$2,Notes!$I$2:$I$11,0),4)*$C226</f>
        <v>540800</v>
      </c>
      <c r="K226" s="22">
        <f>INDEX(Notes!$I$2:$N$11,MATCH(Notes!$B$2,Notes!$I$2:$I$11,0),5)*$D226</f>
        <v>0</v>
      </c>
      <c r="L226" s="22">
        <f>INDEX(Notes!$I$2:$N$11,MATCH(Notes!$B$2,Notes!$I$2:$I$11,0),6)*$E226</f>
        <v>0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540800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1080625</v>
      </c>
      <c r="D227" s="160">
        <f>INDEX(Data[],MATCH($A227,Data[Dist],0),MATCH(D$6,Data[#Headers],0))</f>
        <v>1075320</v>
      </c>
      <c r="E227" s="160">
        <f>INDEX(Data[],MATCH($A227,Data[Dist],0),MATCH(E$6,Data[#Headers],0))</f>
        <v>1075320</v>
      </c>
      <c r="F227" s="160">
        <f>INDEX(Data[],MATCH($A227,Data[Dist],0),MATCH(F$6,Data[#Headers],0))</f>
        <v>1075320</v>
      </c>
      <c r="G227" s="22">
        <f>INDEX(Data[],MATCH($A227,Data[Dist],0),MATCH(G$6,Data[#Headers],0))</f>
        <v>1080625</v>
      </c>
      <c r="H227" s="22">
        <f>INDEX(Data[],MATCH($A227,Data[Dist],0),MATCH(H$6,Data[#Headers],0))-G227</f>
        <v>9725629</v>
      </c>
      <c r="I227" s="25"/>
      <c r="J227" s="22">
        <f>INDEX(Notes!$I$2:$N$11,MATCH(Notes!$B$2,Notes!$I$2:$I$11,0),4)*$C227</f>
        <v>1080625</v>
      </c>
      <c r="K227" s="22">
        <f>INDEX(Notes!$I$2:$N$11,MATCH(Notes!$B$2,Notes!$I$2:$I$11,0),5)*$D227</f>
        <v>0</v>
      </c>
      <c r="L227" s="22">
        <f>INDEX(Notes!$I$2:$N$11,MATCH(Notes!$B$2,Notes!$I$2:$I$11,0),6)*$E227</f>
        <v>0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1080625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335862</v>
      </c>
      <c r="D228" s="160">
        <f>INDEX(Data[],MATCH($A228,Data[Dist],0),MATCH(D$6,Data[#Headers],0))</f>
        <v>333478</v>
      </c>
      <c r="E228" s="160">
        <f>INDEX(Data[],MATCH($A228,Data[Dist],0),MATCH(E$6,Data[#Headers],0))</f>
        <v>333479</v>
      </c>
      <c r="F228" s="160">
        <f>INDEX(Data[],MATCH($A228,Data[Dist],0),MATCH(F$6,Data[#Headers],0))</f>
        <v>333477</v>
      </c>
      <c r="G228" s="22">
        <f>INDEX(Data[],MATCH($A228,Data[Dist],0),MATCH(G$6,Data[#Headers],0))</f>
        <v>335862</v>
      </c>
      <c r="H228" s="22">
        <f>INDEX(Data[],MATCH($A228,Data[Dist],0),MATCH(H$6,Data[#Headers],0))-G228</f>
        <v>3022753</v>
      </c>
      <c r="I228" s="25"/>
      <c r="J228" s="22">
        <f>INDEX(Notes!$I$2:$N$11,MATCH(Notes!$B$2,Notes!$I$2:$I$11,0),4)*$C228</f>
        <v>335862</v>
      </c>
      <c r="K228" s="22">
        <f>INDEX(Notes!$I$2:$N$11,MATCH(Notes!$B$2,Notes!$I$2:$I$11,0),5)*$D228</f>
        <v>0</v>
      </c>
      <c r="L228" s="22">
        <f>INDEX(Notes!$I$2:$N$11,MATCH(Notes!$B$2,Notes!$I$2:$I$11,0),6)*$E228</f>
        <v>0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335862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58435</v>
      </c>
      <c r="D229" s="160">
        <f>INDEX(Data[],MATCH($A229,Data[Dist],0),MATCH(D$6,Data[#Headers],0))</f>
        <v>54304</v>
      </c>
      <c r="E229" s="160">
        <f>INDEX(Data[],MATCH($A229,Data[Dist],0),MATCH(E$6,Data[#Headers],0))</f>
        <v>54305</v>
      </c>
      <c r="F229" s="160">
        <f>INDEX(Data[],MATCH($A229,Data[Dist],0),MATCH(F$6,Data[#Headers],0))</f>
        <v>54303</v>
      </c>
      <c r="G229" s="22">
        <f>INDEX(Data[],MATCH($A229,Data[Dist],0),MATCH(G$6,Data[#Headers],0))</f>
        <v>58435</v>
      </c>
      <c r="H229" s="22">
        <f>INDEX(Data[],MATCH($A229,Data[Dist],0),MATCH(H$6,Data[#Headers],0))-G229</f>
        <v>525911</v>
      </c>
      <c r="I229" s="25"/>
      <c r="J229" s="22">
        <f>INDEX(Notes!$I$2:$N$11,MATCH(Notes!$B$2,Notes!$I$2:$I$11,0),4)*$C229</f>
        <v>58435</v>
      </c>
      <c r="K229" s="22">
        <f>INDEX(Notes!$I$2:$N$11,MATCH(Notes!$B$2,Notes!$I$2:$I$11,0),5)*$D229</f>
        <v>0</v>
      </c>
      <c r="L229" s="22">
        <f>INDEX(Notes!$I$2:$N$11,MATCH(Notes!$B$2,Notes!$I$2:$I$11,0),6)*$E229</f>
        <v>0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58435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141417</v>
      </c>
      <c r="D230" s="160">
        <f>INDEX(Data[],MATCH($A230,Data[Dist],0),MATCH(D$6,Data[#Headers],0))</f>
        <v>140570</v>
      </c>
      <c r="E230" s="160">
        <f>INDEX(Data[],MATCH($A230,Data[Dist],0),MATCH(E$6,Data[#Headers],0))</f>
        <v>140570</v>
      </c>
      <c r="F230" s="160">
        <f>INDEX(Data[],MATCH($A230,Data[Dist],0),MATCH(F$6,Data[#Headers],0))</f>
        <v>140569</v>
      </c>
      <c r="G230" s="22">
        <f>INDEX(Data[],MATCH($A230,Data[Dist],0),MATCH(G$6,Data[#Headers],0))</f>
        <v>141417</v>
      </c>
      <c r="H230" s="22">
        <f>INDEX(Data[],MATCH($A230,Data[Dist],0),MATCH(H$6,Data[#Headers],0))-G230</f>
        <v>1272753</v>
      </c>
      <c r="I230" s="25"/>
      <c r="J230" s="22">
        <f>INDEX(Notes!$I$2:$N$11,MATCH(Notes!$B$2,Notes!$I$2:$I$11,0),4)*$C230</f>
        <v>141417</v>
      </c>
      <c r="K230" s="22">
        <f>INDEX(Notes!$I$2:$N$11,MATCH(Notes!$B$2,Notes!$I$2:$I$11,0),5)*$D230</f>
        <v>0</v>
      </c>
      <c r="L230" s="22">
        <f>INDEX(Notes!$I$2:$N$11,MATCH(Notes!$B$2,Notes!$I$2:$I$11,0),6)*$E230</f>
        <v>0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141417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84708</v>
      </c>
      <c r="D231" s="160">
        <f>INDEX(Data[],MATCH($A231,Data[Dist],0),MATCH(D$6,Data[#Headers],0))</f>
        <v>84008</v>
      </c>
      <c r="E231" s="160">
        <f>INDEX(Data[],MATCH($A231,Data[Dist],0),MATCH(E$6,Data[#Headers],0))</f>
        <v>84008</v>
      </c>
      <c r="F231" s="160">
        <f>INDEX(Data[],MATCH($A231,Data[Dist],0),MATCH(F$6,Data[#Headers],0))</f>
        <v>84007</v>
      </c>
      <c r="G231" s="22">
        <f>INDEX(Data[],MATCH($A231,Data[Dist],0),MATCH(G$6,Data[#Headers],0))</f>
        <v>84708</v>
      </c>
      <c r="H231" s="22">
        <f>INDEX(Data[],MATCH($A231,Data[Dist],0),MATCH(H$6,Data[#Headers],0))-G231</f>
        <v>762373</v>
      </c>
      <c r="I231" s="25"/>
      <c r="J231" s="22">
        <f>INDEX(Notes!$I$2:$N$11,MATCH(Notes!$B$2,Notes!$I$2:$I$11,0),4)*$C231</f>
        <v>84708</v>
      </c>
      <c r="K231" s="22">
        <f>INDEX(Notes!$I$2:$N$11,MATCH(Notes!$B$2,Notes!$I$2:$I$11,0),5)*$D231</f>
        <v>0</v>
      </c>
      <c r="L231" s="22">
        <f>INDEX(Notes!$I$2:$N$11,MATCH(Notes!$B$2,Notes!$I$2:$I$11,0),6)*$E231</f>
        <v>0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84708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577403</v>
      </c>
      <c r="D232" s="160">
        <f>INDEX(Data[],MATCH($A232,Data[Dist],0),MATCH(D$6,Data[#Headers],0))</f>
        <v>573831</v>
      </c>
      <c r="E232" s="160">
        <f>INDEX(Data[],MATCH($A232,Data[Dist],0),MATCH(E$6,Data[#Headers],0))</f>
        <v>573830</v>
      </c>
      <c r="F232" s="160">
        <f>INDEX(Data[],MATCH($A232,Data[Dist],0),MATCH(F$6,Data[#Headers],0))</f>
        <v>573831</v>
      </c>
      <c r="G232" s="22">
        <f>INDEX(Data[],MATCH($A232,Data[Dist],0),MATCH(G$6,Data[#Headers],0))</f>
        <v>577403</v>
      </c>
      <c r="H232" s="22">
        <f>INDEX(Data[],MATCH($A232,Data[Dist],0),MATCH(H$6,Data[#Headers],0))-G232</f>
        <v>5196622</v>
      </c>
      <c r="I232" s="25"/>
      <c r="J232" s="22">
        <f>INDEX(Notes!$I$2:$N$11,MATCH(Notes!$B$2,Notes!$I$2:$I$11,0),4)*$C232</f>
        <v>577403</v>
      </c>
      <c r="K232" s="22">
        <f>INDEX(Notes!$I$2:$N$11,MATCH(Notes!$B$2,Notes!$I$2:$I$11,0),5)*$D232</f>
        <v>0</v>
      </c>
      <c r="L232" s="22">
        <f>INDEX(Notes!$I$2:$N$11,MATCH(Notes!$B$2,Notes!$I$2:$I$11,0),6)*$E232</f>
        <v>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577403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1600965</v>
      </c>
      <c r="D233" s="160">
        <f>INDEX(Data[],MATCH($A233,Data[Dist],0),MATCH(D$6,Data[#Headers],0))</f>
        <v>1592221</v>
      </c>
      <c r="E233" s="160">
        <f>INDEX(Data[],MATCH($A233,Data[Dist],0),MATCH(E$6,Data[#Headers],0))</f>
        <v>1592221</v>
      </c>
      <c r="F233" s="160">
        <f>INDEX(Data[],MATCH($A233,Data[Dist],0),MATCH(F$6,Data[#Headers],0))</f>
        <v>1592219</v>
      </c>
      <c r="G233" s="22">
        <f>INDEX(Data[],MATCH($A233,Data[Dist],0),MATCH(G$6,Data[#Headers],0))</f>
        <v>1600965</v>
      </c>
      <c r="H233" s="22">
        <f>INDEX(Data[],MATCH($A233,Data[Dist],0),MATCH(H$6,Data[#Headers],0))-G233</f>
        <v>14408681</v>
      </c>
      <c r="I233" s="25"/>
      <c r="J233" s="22">
        <f>INDEX(Notes!$I$2:$N$11,MATCH(Notes!$B$2,Notes!$I$2:$I$11,0),4)*$C233</f>
        <v>1600965</v>
      </c>
      <c r="K233" s="22">
        <f>INDEX(Notes!$I$2:$N$11,MATCH(Notes!$B$2,Notes!$I$2:$I$11,0),5)*$D233</f>
        <v>0</v>
      </c>
      <c r="L233" s="22">
        <f>INDEX(Notes!$I$2:$N$11,MATCH(Notes!$B$2,Notes!$I$2:$I$11,0),6)*$E233</f>
        <v>0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1600965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4130151</v>
      </c>
      <c r="D234" s="160">
        <f>INDEX(Data[],MATCH($A234,Data[Dist],0),MATCH(D$6,Data[#Headers],0))</f>
        <v>4110863</v>
      </c>
      <c r="E234" s="160">
        <f>INDEX(Data[],MATCH($A234,Data[Dist],0),MATCH(E$6,Data[#Headers],0))</f>
        <v>4110864</v>
      </c>
      <c r="F234" s="160">
        <f>INDEX(Data[],MATCH($A234,Data[Dist],0),MATCH(F$6,Data[#Headers],0))</f>
        <v>4110862</v>
      </c>
      <c r="G234" s="22">
        <f>INDEX(Data[],MATCH($A234,Data[Dist],0),MATCH(G$6,Data[#Headers],0))</f>
        <v>4130151</v>
      </c>
      <c r="H234" s="22">
        <f>INDEX(Data[],MATCH($A234,Data[Dist],0),MATCH(H$6,Data[#Headers],0))-G234</f>
        <v>37171355</v>
      </c>
      <c r="I234" s="25"/>
      <c r="J234" s="22">
        <f>INDEX(Notes!$I$2:$N$11,MATCH(Notes!$B$2,Notes!$I$2:$I$11,0),4)*$C234</f>
        <v>4130151</v>
      </c>
      <c r="K234" s="22">
        <f>INDEX(Notes!$I$2:$N$11,MATCH(Notes!$B$2,Notes!$I$2:$I$11,0),5)*$D234</f>
        <v>0</v>
      </c>
      <c r="L234" s="22">
        <f>INDEX(Notes!$I$2:$N$11,MATCH(Notes!$B$2,Notes!$I$2:$I$11,0),6)*$E234</f>
        <v>0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4130151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366777</v>
      </c>
      <c r="D235" s="160">
        <f>INDEX(Data[],MATCH($A235,Data[Dist],0),MATCH(D$6,Data[#Headers],0))</f>
        <v>364059</v>
      </c>
      <c r="E235" s="160">
        <f>INDEX(Data[],MATCH($A235,Data[Dist],0),MATCH(E$6,Data[#Headers],0))</f>
        <v>364058</v>
      </c>
      <c r="F235" s="160">
        <f>INDEX(Data[],MATCH($A235,Data[Dist],0),MATCH(F$6,Data[#Headers],0))</f>
        <v>364059</v>
      </c>
      <c r="G235" s="22">
        <f>INDEX(Data[],MATCH($A235,Data[Dist],0),MATCH(G$6,Data[#Headers],0))</f>
        <v>366777</v>
      </c>
      <c r="H235" s="22">
        <f>INDEX(Data[],MATCH($A235,Data[Dist],0),MATCH(H$6,Data[#Headers],0))-G235</f>
        <v>3300991</v>
      </c>
      <c r="I235" s="25"/>
      <c r="J235" s="22">
        <f>INDEX(Notes!$I$2:$N$11,MATCH(Notes!$B$2,Notes!$I$2:$I$11,0),4)*$C235</f>
        <v>366777</v>
      </c>
      <c r="K235" s="22">
        <f>INDEX(Notes!$I$2:$N$11,MATCH(Notes!$B$2,Notes!$I$2:$I$11,0),5)*$D235</f>
        <v>0</v>
      </c>
      <c r="L235" s="22">
        <f>INDEX(Notes!$I$2:$N$11,MATCH(Notes!$B$2,Notes!$I$2:$I$11,0),6)*$E235</f>
        <v>0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366777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94101</v>
      </c>
      <c r="D236" s="160">
        <f>INDEX(Data[],MATCH($A236,Data[Dist],0),MATCH(D$6,Data[#Headers],0))</f>
        <v>93376</v>
      </c>
      <c r="E236" s="160">
        <f>INDEX(Data[],MATCH($A236,Data[Dist],0),MATCH(E$6,Data[#Headers],0))</f>
        <v>93376</v>
      </c>
      <c r="F236" s="160">
        <f>INDEX(Data[],MATCH($A236,Data[Dist],0),MATCH(F$6,Data[#Headers],0))</f>
        <v>93374</v>
      </c>
      <c r="G236" s="22">
        <f>INDEX(Data[],MATCH($A236,Data[Dist],0),MATCH(G$6,Data[#Headers],0))</f>
        <v>94101</v>
      </c>
      <c r="H236" s="22">
        <f>INDEX(Data[],MATCH($A236,Data[Dist],0),MATCH(H$6,Data[#Headers],0))-G236</f>
        <v>846904</v>
      </c>
      <c r="I236" s="25"/>
      <c r="J236" s="22">
        <f>INDEX(Notes!$I$2:$N$11,MATCH(Notes!$B$2,Notes!$I$2:$I$11,0),4)*$C236</f>
        <v>94101</v>
      </c>
      <c r="K236" s="22">
        <f>INDEX(Notes!$I$2:$N$11,MATCH(Notes!$B$2,Notes!$I$2:$I$11,0),5)*$D236</f>
        <v>0</v>
      </c>
      <c r="L236" s="22">
        <f>INDEX(Notes!$I$2:$N$11,MATCH(Notes!$B$2,Notes!$I$2:$I$11,0),6)*$E236</f>
        <v>0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94101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176848</v>
      </c>
      <c r="D237" s="160">
        <f>INDEX(Data[],MATCH($A237,Data[Dist],0),MATCH(D$6,Data[#Headers],0))</f>
        <v>174683</v>
      </c>
      <c r="E237" s="160">
        <f>INDEX(Data[],MATCH($A237,Data[Dist],0),MATCH(E$6,Data[#Headers],0))</f>
        <v>174682</v>
      </c>
      <c r="F237" s="160">
        <f>INDEX(Data[],MATCH($A237,Data[Dist],0),MATCH(F$6,Data[#Headers],0))</f>
        <v>174683</v>
      </c>
      <c r="G237" s="22">
        <f>INDEX(Data[],MATCH($A237,Data[Dist],0),MATCH(G$6,Data[#Headers],0))</f>
        <v>176848</v>
      </c>
      <c r="H237" s="22">
        <f>INDEX(Data[],MATCH($A237,Data[Dist],0),MATCH(H$6,Data[#Headers],0))-G237</f>
        <v>1591630</v>
      </c>
      <c r="I237" s="25"/>
      <c r="J237" s="22">
        <f>INDEX(Notes!$I$2:$N$11,MATCH(Notes!$B$2,Notes!$I$2:$I$11,0),4)*$C237</f>
        <v>176848</v>
      </c>
      <c r="K237" s="22">
        <f>INDEX(Notes!$I$2:$N$11,MATCH(Notes!$B$2,Notes!$I$2:$I$11,0),5)*$D237</f>
        <v>0</v>
      </c>
      <c r="L237" s="22">
        <f>INDEX(Notes!$I$2:$N$11,MATCH(Notes!$B$2,Notes!$I$2:$I$11,0),6)*$E237</f>
        <v>0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176848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339629</v>
      </c>
      <c r="D238" s="160">
        <f>INDEX(Data[],MATCH($A238,Data[Dist],0),MATCH(D$6,Data[#Headers],0))</f>
        <v>337352</v>
      </c>
      <c r="E238" s="160">
        <f>INDEX(Data[],MATCH($A238,Data[Dist],0),MATCH(E$6,Data[#Headers],0))</f>
        <v>337352</v>
      </c>
      <c r="F238" s="160">
        <f>INDEX(Data[],MATCH($A238,Data[Dist],0),MATCH(F$6,Data[#Headers],0))</f>
        <v>337351</v>
      </c>
      <c r="G238" s="22">
        <f>INDEX(Data[],MATCH($A238,Data[Dist],0),MATCH(G$6,Data[#Headers],0))</f>
        <v>339629</v>
      </c>
      <c r="H238" s="22">
        <f>INDEX(Data[],MATCH($A238,Data[Dist],0),MATCH(H$6,Data[#Headers],0))-G238</f>
        <v>3056663</v>
      </c>
      <c r="I238" s="25"/>
      <c r="J238" s="22">
        <f>INDEX(Notes!$I$2:$N$11,MATCH(Notes!$B$2,Notes!$I$2:$I$11,0),4)*$C238</f>
        <v>339629</v>
      </c>
      <c r="K238" s="22">
        <f>INDEX(Notes!$I$2:$N$11,MATCH(Notes!$B$2,Notes!$I$2:$I$11,0),5)*$D238</f>
        <v>0</v>
      </c>
      <c r="L238" s="22">
        <f>INDEX(Notes!$I$2:$N$11,MATCH(Notes!$B$2,Notes!$I$2:$I$11,0),6)*$E238</f>
        <v>0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339629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1328935</v>
      </c>
      <c r="D239" s="160">
        <f>INDEX(Data[],MATCH($A239,Data[Dist],0),MATCH(D$6,Data[#Headers],0))</f>
        <v>1320327</v>
      </c>
      <c r="E239" s="160">
        <f>INDEX(Data[],MATCH($A239,Data[Dist],0),MATCH(E$6,Data[#Headers],0))</f>
        <v>1320327</v>
      </c>
      <c r="F239" s="160">
        <f>INDEX(Data[],MATCH($A239,Data[Dist],0),MATCH(F$6,Data[#Headers],0))</f>
        <v>1320326</v>
      </c>
      <c r="G239" s="22">
        <f>INDEX(Data[],MATCH($A239,Data[Dist],0),MATCH(G$6,Data[#Headers],0))</f>
        <v>1328935</v>
      </c>
      <c r="H239" s="22">
        <f>INDEX(Data[],MATCH($A239,Data[Dist],0),MATCH(H$6,Data[#Headers],0))-G239</f>
        <v>11960411</v>
      </c>
      <c r="I239" s="25"/>
      <c r="J239" s="22">
        <f>INDEX(Notes!$I$2:$N$11,MATCH(Notes!$B$2,Notes!$I$2:$I$11,0),4)*$C239</f>
        <v>1328935</v>
      </c>
      <c r="K239" s="22">
        <f>INDEX(Notes!$I$2:$N$11,MATCH(Notes!$B$2,Notes!$I$2:$I$11,0),5)*$D239</f>
        <v>0</v>
      </c>
      <c r="L239" s="22">
        <f>INDEX(Notes!$I$2:$N$11,MATCH(Notes!$B$2,Notes!$I$2:$I$11,0),6)*$E239</f>
        <v>0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1328935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1518339</v>
      </c>
      <c r="D240" s="160">
        <f>INDEX(Data[],MATCH($A240,Data[Dist],0),MATCH(D$6,Data[#Headers],0))</f>
        <v>1511090</v>
      </c>
      <c r="E240" s="160">
        <f>INDEX(Data[],MATCH($A240,Data[Dist],0),MATCH(E$6,Data[#Headers],0))</f>
        <v>1511090</v>
      </c>
      <c r="F240" s="160">
        <f>INDEX(Data[],MATCH($A240,Data[Dist],0),MATCH(F$6,Data[#Headers],0))</f>
        <v>1511089</v>
      </c>
      <c r="G240" s="22">
        <f>INDEX(Data[],MATCH($A240,Data[Dist],0),MATCH(G$6,Data[#Headers],0))</f>
        <v>1518339</v>
      </c>
      <c r="H240" s="22">
        <f>INDEX(Data[],MATCH($A240,Data[Dist],0),MATCH(H$6,Data[#Headers],0))-G240</f>
        <v>13665046</v>
      </c>
      <c r="I240" s="25"/>
      <c r="J240" s="22">
        <f>INDEX(Notes!$I$2:$N$11,MATCH(Notes!$B$2,Notes!$I$2:$I$11,0),4)*$C240</f>
        <v>1518339</v>
      </c>
      <c r="K240" s="22">
        <f>INDEX(Notes!$I$2:$N$11,MATCH(Notes!$B$2,Notes!$I$2:$I$11,0),5)*$D240</f>
        <v>0</v>
      </c>
      <c r="L240" s="22">
        <f>INDEX(Notes!$I$2:$N$11,MATCH(Notes!$B$2,Notes!$I$2:$I$11,0),6)*$E240</f>
        <v>0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1518339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3462873</v>
      </c>
      <c r="D241" s="160">
        <f>INDEX(Data[],MATCH($A241,Data[Dist],0),MATCH(D$6,Data[#Headers],0))</f>
        <v>3441401</v>
      </c>
      <c r="E241" s="160">
        <f>INDEX(Data[],MATCH($A241,Data[Dist],0),MATCH(E$6,Data[#Headers],0))</f>
        <v>3441401</v>
      </c>
      <c r="F241" s="160">
        <f>INDEX(Data[],MATCH($A241,Data[Dist],0),MATCH(F$6,Data[#Headers],0))</f>
        <v>3441399</v>
      </c>
      <c r="G241" s="22">
        <f>INDEX(Data[],MATCH($A241,Data[Dist],0),MATCH(G$6,Data[#Headers],0))</f>
        <v>3462873</v>
      </c>
      <c r="H241" s="22">
        <f>INDEX(Data[],MATCH($A241,Data[Dist],0),MATCH(H$6,Data[#Headers],0))-G241</f>
        <v>31165853</v>
      </c>
      <c r="I241" s="25"/>
      <c r="J241" s="22">
        <f>INDEX(Notes!$I$2:$N$11,MATCH(Notes!$B$2,Notes!$I$2:$I$11,0),4)*$C241</f>
        <v>3462873</v>
      </c>
      <c r="K241" s="22">
        <f>INDEX(Notes!$I$2:$N$11,MATCH(Notes!$B$2,Notes!$I$2:$I$11,0),5)*$D241</f>
        <v>0</v>
      </c>
      <c r="L241" s="22">
        <f>INDEX(Notes!$I$2:$N$11,MATCH(Notes!$B$2,Notes!$I$2:$I$11,0),6)*$E241</f>
        <v>0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3462873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510088</v>
      </c>
      <c r="D242" s="160">
        <f>INDEX(Data[],MATCH($A242,Data[Dist],0),MATCH(D$6,Data[#Headers],0))</f>
        <v>507414</v>
      </c>
      <c r="E242" s="160">
        <f>INDEX(Data[],MATCH($A242,Data[Dist],0),MATCH(E$6,Data[#Headers],0))</f>
        <v>507414</v>
      </c>
      <c r="F242" s="160">
        <f>INDEX(Data[],MATCH($A242,Data[Dist],0),MATCH(F$6,Data[#Headers],0))</f>
        <v>507413</v>
      </c>
      <c r="G242" s="22">
        <f>INDEX(Data[],MATCH($A242,Data[Dist],0),MATCH(G$6,Data[#Headers],0))</f>
        <v>510088</v>
      </c>
      <c r="H242" s="22">
        <f>INDEX(Data[],MATCH($A242,Data[Dist],0),MATCH(H$6,Data[#Headers],0))-G242</f>
        <v>4590790</v>
      </c>
      <c r="I242" s="25"/>
      <c r="J242" s="22">
        <f>INDEX(Notes!$I$2:$N$11,MATCH(Notes!$B$2,Notes!$I$2:$I$11,0),4)*$C242</f>
        <v>510088</v>
      </c>
      <c r="K242" s="22">
        <f>INDEX(Notes!$I$2:$N$11,MATCH(Notes!$B$2,Notes!$I$2:$I$11,0),5)*$D242</f>
        <v>0</v>
      </c>
      <c r="L242" s="22">
        <f>INDEX(Notes!$I$2:$N$11,MATCH(Notes!$B$2,Notes!$I$2:$I$11,0),6)*$E242</f>
        <v>0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510088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260625</v>
      </c>
      <c r="D243" s="160">
        <f>INDEX(Data[],MATCH($A243,Data[Dist],0),MATCH(D$6,Data[#Headers],0))</f>
        <v>257967</v>
      </c>
      <c r="E243" s="160">
        <f>INDEX(Data[],MATCH($A243,Data[Dist],0),MATCH(E$6,Data[#Headers],0))</f>
        <v>257967</v>
      </c>
      <c r="F243" s="160">
        <f>INDEX(Data[],MATCH($A243,Data[Dist],0),MATCH(F$6,Data[#Headers],0))</f>
        <v>257966</v>
      </c>
      <c r="G243" s="22">
        <f>INDEX(Data[],MATCH($A243,Data[Dist],0),MATCH(G$6,Data[#Headers],0))</f>
        <v>260625</v>
      </c>
      <c r="H243" s="22">
        <f>INDEX(Data[],MATCH($A243,Data[Dist],0),MATCH(H$6,Data[#Headers],0))-G243</f>
        <v>2345629</v>
      </c>
      <c r="I243" s="25"/>
      <c r="J243" s="22">
        <f>INDEX(Notes!$I$2:$N$11,MATCH(Notes!$B$2,Notes!$I$2:$I$11,0),4)*$C243</f>
        <v>260625</v>
      </c>
      <c r="K243" s="22">
        <f>INDEX(Notes!$I$2:$N$11,MATCH(Notes!$B$2,Notes!$I$2:$I$11,0),5)*$D243</f>
        <v>0</v>
      </c>
      <c r="L243" s="22">
        <f>INDEX(Notes!$I$2:$N$11,MATCH(Notes!$B$2,Notes!$I$2:$I$11,0),6)*$E243</f>
        <v>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260625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538983</v>
      </c>
      <c r="D244" s="160">
        <f>INDEX(Data[],MATCH($A244,Data[Dist],0),MATCH(D$6,Data[#Headers],0))</f>
        <v>536308</v>
      </c>
      <c r="E244" s="160">
        <f>INDEX(Data[],MATCH($A244,Data[Dist],0),MATCH(E$6,Data[#Headers],0))</f>
        <v>536309</v>
      </c>
      <c r="F244" s="160">
        <f>INDEX(Data[],MATCH($A244,Data[Dist],0),MATCH(F$6,Data[#Headers],0))</f>
        <v>536307</v>
      </c>
      <c r="G244" s="22">
        <f>INDEX(Data[],MATCH($A244,Data[Dist],0),MATCH(G$6,Data[#Headers],0))</f>
        <v>538983</v>
      </c>
      <c r="H244" s="22">
        <f>INDEX(Data[],MATCH($A244,Data[Dist],0),MATCH(H$6,Data[#Headers],0))-G244</f>
        <v>4850847</v>
      </c>
      <c r="I244" s="25"/>
      <c r="J244" s="22">
        <f>INDEX(Notes!$I$2:$N$11,MATCH(Notes!$B$2,Notes!$I$2:$I$11,0),4)*$C244</f>
        <v>538983</v>
      </c>
      <c r="K244" s="22">
        <f>INDEX(Notes!$I$2:$N$11,MATCH(Notes!$B$2,Notes!$I$2:$I$11,0),5)*$D244</f>
        <v>0</v>
      </c>
      <c r="L244" s="22">
        <f>INDEX(Notes!$I$2:$N$11,MATCH(Notes!$B$2,Notes!$I$2:$I$11,0),6)*$E244</f>
        <v>0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538983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701720</v>
      </c>
      <c r="D245" s="160">
        <f>INDEX(Data[],MATCH($A245,Data[Dist],0),MATCH(D$6,Data[#Headers],0))</f>
        <v>697670</v>
      </c>
      <c r="E245" s="160">
        <f>INDEX(Data[],MATCH($A245,Data[Dist],0),MATCH(E$6,Data[#Headers],0))</f>
        <v>697670</v>
      </c>
      <c r="F245" s="160">
        <f>INDEX(Data[],MATCH($A245,Data[Dist],0),MATCH(F$6,Data[#Headers],0))</f>
        <v>697668</v>
      </c>
      <c r="G245" s="22">
        <f>INDEX(Data[],MATCH($A245,Data[Dist],0),MATCH(G$6,Data[#Headers],0))</f>
        <v>701720</v>
      </c>
      <c r="H245" s="22">
        <f>INDEX(Data[],MATCH($A245,Data[Dist],0),MATCH(H$6,Data[#Headers],0))-G245</f>
        <v>6315475</v>
      </c>
      <c r="I245" s="25"/>
      <c r="J245" s="22">
        <f>INDEX(Notes!$I$2:$N$11,MATCH(Notes!$B$2,Notes!$I$2:$I$11,0),4)*$C245</f>
        <v>701720</v>
      </c>
      <c r="K245" s="22">
        <f>INDEX(Notes!$I$2:$N$11,MATCH(Notes!$B$2,Notes!$I$2:$I$11,0),5)*$D245</f>
        <v>0</v>
      </c>
      <c r="L245" s="22">
        <f>INDEX(Notes!$I$2:$N$11,MATCH(Notes!$B$2,Notes!$I$2:$I$11,0),6)*$E245</f>
        <v>0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701720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262287</v>
      </c>
      <c r="D246" s="160">
        <f>INDEX(Data[],MATCH($A246,Data[Dist],0),MATCH(D$6,Data[#Headers],0))</f>
        <v>260016</v>
      </c>
      <c r="E246" s="160">
        <f>INDEX(Data[],MATCH($A246,Data[Dist],0),MATCH(E$6,Data[#Headers],0))</f>
        <v>260016</v>
      </c>
      <c r="F246" s="160">
        <f>INDEX(Data[],MATCH($A246,Data[Dist],0),MATCH(F$6,Data[#Headers],0))</f>
        <v>260015</v>
      </c>
      <c r="G246" s="22">
        <f>INDEX(Data[],MATCH($A246,Data[Dist],0),MATCH(G$6,Data[#Headers],0))</f>
        <v>262287</v>
      </c>
      <c r="H246" s="22">
        <f>INDEX(Data[],MATCH($A246,Data[Dist],0),MATCH(H$6,Data[#Headers],0))-G246</f>
        <v>2360581</v>
      </c>
      <c r="I246" s="25"/>
      <c r="J246" s="22">
        <f>INDEX(Notes!$I$2:$N$11,MATCH(Notes!$B$2,Notes!$I$2:$I$11,0),4)*$C246</f>
        <v>262287</v>
      </c>
      <c r="K246" s="22">
        <f>INDEX(Notes!$I$2:$N$11,MATCH(Notes!$B$2,Notes!$I$2:$I$11,0),5)*$D246</f>
        <v>0</v>
      </c>
      <c r="L246" s="22">
        <f>INDEX(Notes!$I$2:$N$11,MATCH(Notes!$B$2,Notes!$I$2:$I$11,0),6)*$E246</f>
        <v>0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262287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760333</v>
      </c>
      <c r="D247" s="160">
        <f>INDEX(Data[],MATCH($A247,Data[Dist],0),MATCH(D$6,Data[#Headers],0))</f>
        <v>756085</v>
      </c>
      <c r="E247" s="160">
        <f>INDEX(Data[],MATCH($A247,Data[Dist],0),MATCH(E$6,Data[#Headers],0))</f>
        <v>756085</v>
      </c>
      <c r="F247" s="160">
        <f>INDEX(Data[],MATCH($A247,Data[Dist],0),MATCH(F$6,Data[#Headers],0))</f>
        <v>756085</v>
      </c>
      <c r="G247" s="22">
        <f>INDEX(Data[],MATCH($A247,Data[Dist],0),MATCH(G$6,Data[#Headers],0))</f>
        <v>760333</v>
      </c>
      <c r="H247" s="22">
        <f>INDEX(Data[],MATCH($A247,Data[Dist],0),MATCH(H$6,Data[#Headers],0))-G247</f>
        <v>6842999</v>
      </c>
      <c r="I247" s="25"/>
      <c r="J247" s="22">
        <f>INDEX(Notes!$I$2:$N$11,MATCH(Notes!$B$2,Notes!$I$2:$I$11,0),4)*$C247</f>
        <v>760333</v>
      </c>
      <c r="K247" s="22">
        <f>INDEX(Notes!$I$2:$N$11,MATCH(Notes!$B$2,Notes!$I$2:$I$11,0),5)*$D247</f>
        <v>0</v>
      </c>
      <c r="L247" s="22">
        <f>INDEX(Notes!$I$2:$N$11,MATCH(Notes!$B$2,Notes!$I$2:$I$11,0),6)*$E247</f>
        <v>0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760333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140663</v>
      </c>
      <c r="D248" s="160">
        <f>INDEX(Data[],MATCH($A248,Data[Dist],0),MATCH(D$6,Data[#Headers],0))</f>
        <v>139356</v>
      </c>
      <c r="E248" s="160">
        <f>INDEX(Data[],MATCH($A248,Data[Dist],0),MATCH(E$6,Data[#Headers],0))</f>
        <v>139356</v>
      </c>
      <c r="F248" s="160">
        <f>INDEX(Data[],MATCH($A248,Data[Dist],0),MATCH(F$6,Data[#Headers],0))</f>
        <v>139355</v>
      </c>
      <c r="G248" s="22">
        <f>INDEX(Data[],MATCH($A248,Data[Dist],0),MATCH(G$6,Data[#Headers],0))</f>
        <v>140663</v>
      </c>
      <c r="H248" s="22">
        <f>INDEX(Data[],MATCH($A248,Data[Dist],0),MATCH(H$6,Data[#Headers],0))-G248</f>
        <v>1265963</v>
      </c>
      <c r="I248" s="25"/>
      <c r="J248" s="22">
        <f>INDEX(Notes!$I$2:$N$11,MATCH(Notes!$B$2,Notes!$I$2:$I$11,0),4)*$C248</f>
        <v>140663</v>
      </c>
      <c r="K248" s="22">
        <f>INDEX(Notes!$I$2:$N$11,MATCH(Notes!$B$2,Notes!$I$2:$I$11,0),5)*$D248</f>
        <v>0</v>
      </c>
      <c r="L248" s="22">
        <f>INDEX(Notes!$I$2:$N$11,MATCH(Notes!$B$2,Notes!$I$2:$I$11,0),6)*$E248</f>
        <v>0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140663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148331</v>
      </c>
      <c r="D249" s="160">
        <f>INDEX(Data[],MATCH($A249,Data[Dist],0),MATCH(D$6,Data[#Headers],0))</f>
        <v>147015</v>
      </c>
      <c r="E249" s="160">
        <f>INDEX(Data[],MATCH($A249,Data[Dist],0),MATCH(E$6,Data[#Headers],0))</f>
        <v>147016</v>
      </c>
      <c r="F249" s="160">
        <f>INDEX(Data[],MATCH($A249,Data[Dist],0),MATCH(F$6,Data[#Headers],0))</f>
        <v>147014</v>
      </c>
      <c r="G249" s="22">
        <f>INDEX(Data[],MATCH($A249,Data[Dist],0),MATCH(G$6,Data[#Headers],0))</f>
        <v>148331</v>
      </c>
      <c r="H249" s="22">
        <f>INDEX(Data[],MATCH($A249,Data[Dist],0),MATCH(H$6,Data[#Headers],0))-G249</f>
        <v>1334983</v>
      </c>
      <c r="I249" s="25"/>
      <c r="J249" s="22">
        <f>INDEX(Notes!$I$2:$N$11,MATCH(Notes!$B$2,Notes!$I$2:$I$11,0),4)*$C249</f>
        <v>148331</v>
      </c>
      <c r="K249" s="22">
        <f>INDEX(Notes!$I$2:$N$11,MATCH(Notes!$B$2,Notes!$I$2:$I$11,0),5)*$D249</f>
        <v>0</v>
      </c>
      <c r="L249" s="22">
        <f>INDEX(Notes!$I$2:$N$11,MATCH(Notes!$B$2,Notes!$I$2:$I$11,0),6)*$E249</f>
        <v>0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148331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595876</v>
      </c>
      <c r="D250" s="160">
        <f>INDEX(Data[],MATCH($A250,Data[Dist],0),MATCH(D$6,Data[#Headers],0))</f>
        <v>592495</v>
      </c>
      <c r="E250" s="160">
        <f>INDEX(Data[],MATCH($A250,Data[Dist],0),MATCH(E$6,Data[#Headers],0))</f>
        <v>592495</v>
      </c>
      <c r="F250" s="160">
        <f>INDEX(Data[],MATCH($A250,Data[Dist],0),MATCH(F$6,Data[#Headers],0))</f>
        <v>592496</v>
      </c>
      <c r="G250" s="22">
        <f>INDEX(Data[],MATCH($A250,Data[Dist],0),MATCH(G$6,Data[#Headers],0))</f>
        <v>595876</v>
      </c>
      <c r="H250" s="22">
        <f>INDEX(Data[],MATCH($A250,Data[Dist],0),MATCH(H$6,Data[#Headers],0))-G250</f>
        <v>5362882</v>
      </c>
      <c r="I250" s="25"/>
      <c r="J250" s="22">
        <f>INDEX(Notes!$I$2:$N$11,MATCH(Notes!$B$2,Notes!$I$2:$I$11,0),4)*$C250</f>
        <v>595876</v>
      </c>
      <c r="K250" s="22">
        <f>INDEX(Notes!$I$2:$N$11,MATCH(Notes!$B$2,Notes!$I$2:$I$11,0),5)*$D250</f>
        <v>0</v>
      </c>
      <c r="L250" s="22">
        <f>INDEX(Notes!$I$2:$N$11,MATCH(Notes!$B$2,Notes!$I$2:$I$11,0),6)*$E250</f>
        <v>0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595876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647874</v>
      </c>
      <c r="D251" s="160">
        <f>INDEX(Data[],MATCH($A251,Data[Dist],0),MATCH(D$6,Data[#Headers],0))</f>
        <v>643967</v>
      </c>
      <c r="E251" s="160">
        <f>INDEX(Data[],MATCH($A251,Data[Dist],0),MATCH(E$6,Data[#Headers],0))</f>
        <v>643968</v>
      </c>
      <c r="F251" s="160">
        <f>INDEX(Data[],MATCH($A251,Data[Dist],0),MATCH(F$6,Data[#Headers],0))</f>
        <v>643966</v>
      </c>
      <c r="G251" s="22">
        <f>INDEX(Data[],MATCH($A251,Data[Dist],0),MATCH(G$6,Data[#Headers],0))</f>
        <v>647874</v>
      </c>
      <c r="H251" s="22">
        <f>INDEX(Data[],MATCH($A251,Data[Dist],0),MATCH(H$6,Data[#Headers],0))-G251</f>
        <v>5830868</v>
      </c>
      <c r="I251" s="25"/>
      <c r="J251" s="22">
        <f>INDEX(Notes!$I$2:$N$11,MATCH(Notes!$B$2,Notes!$I$2:$I$11,0),4)*$C251</f>
        <v>647874</v>
      </c>
      <c r="K251" s="22">
        <f>INDEX(Notes!$I$2:$N$11,MATCH(Notes!$B$2,Notes!$I$2:$I$11,0),5)*$D251</f>
        <v>0</v>
      </c>
      <c r="L251" s="22">
        <f>INDEX(Notes!$I$2:$N$11,MATCH(Notes!$B$2,Notes!$I$2:$I$11,0),6)*$E251</f>
        <v>0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647874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241921</v>
      </c>
      <c r="D252" s="160">
        <f>INDEX(Data[],MATCH($A252,Data[Dist],0),MATCH(D$6,Data[#Headers],0))</f>
        <v>240362</v>
      </c>
      <c r="E252" s="160">
        <f>INDEX(Data[],MATCH($A252,Data[Dist],0),MATCH(E$6,Data[#Headers],0))</f>
        <v>240362</v>
      </c>
      <c r="F252" s="160">
        <f>INDEX(Data[],MATCH($A252,Data[Dist],0),MATCH(F$6,Data[#Headers],0))</f>
        <v>240361</v>
      </c>
      <c r="G252" s="22">
        <f>INDEX(Data[],MATCH($A252,Data[Dist],0),MATCH(G$6,Data[#Headers],0))</f>
        <v>241921</v>
      </c>
      <c r="H252" s="22">
        <f>INDEX(Data[],MATCH($A252,Data[Dist],0),MATCH(H$6,Data[#Headers],0))-G252</f>
        <v>2177293</v>
      </c>
      <c r="I252" s="25"/>
      <c r="J252" s="22">
        <f>INDEX(Notes!$I$2:$N$11,MATCH(Notes!$B$2,Notes!$I$2:$I$11,0),4)*$C252</f>
        <v>241921</v>
      </c>
      <c r="K252" s="22">
        <f>INDEX(Notes!$I$2:$N$11,MATCH(Notes!$B$2,Notes!$I$2:$I$11,0),5)*$D252</f>
        <v>0</v>
      </c>
      <c r="L252" s="22">
        <f>INDEX(Notes!$I$2:$N$11,MATCH(Notes!$B$2,Notes!$I$2:$I$11,0),6)*$E252</f>
        <v>0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241921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125564</v>
      </c>
      <c r="D253" s="160">
        <f>INDEX(Data[],MATCH($A253,Data[Dist],0),MATCH(D$6,Data[#Headers],0))</f>
        <v>124773</v>
      </c>
      <c r="E253" s="160">
        <f>INDEX(Data[],MATCH($A253,Data[Dist],0),MATCH(E$6,Data[#Headers],0))</f>
        <v>124773</v>
      </c>
      <c r="F253" s="160">
        <f>INDEX(Data[],MATCH($A253,Data[Dist],0),MATCH(F$6,Data[#Headers],0))</f>
        <v>124771</v>
      </c>
      <c r="G253" s="22">
        <f>INDEX(Data[],MATCH($A253,Data[Dist],0),MATCH(G$6,Data[#Headers],0))</f>
        <v>125564</v>
      </c>
      <c r="H253" s="22">
        <f>INDEX(Data[],MATCH($A253,Data[Dist],0),MATCH(H$6,Data[#Headers],0))-G253</f>
        <v>1130079</v>
      </c>
      <c r="I253" s="25"/>
      <c r="J253" s="22">
        <f>INDEX(Notes!$I$2:$N$11,MATCH(Notes!$B$2,Notes!$I$2:$I$11,0),4)*$C253</f>
        <v>125564</v>
      </c>
      <c r="K253" s="22">
        <f>INDEX(Notes!$I$2:$N$11,MATCH(Notes!$B$2,Notes!$I$2:$I$11,0),5)*$D253</f>
        <v>0</v>
      </c>
      <c r="L253" s="22">
        <f>INDEX(Notes!$I$2:$N$11,MATCH(Notes!$B$2,Notes!$I$2:$I$11,0),6)*$E253</f>
        <v>0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125564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300726</v>
      </c>
      <c r="D254" s="160">
        <f>INDEX(Data[],MATCH($A254,Data[Dist],0),MATCH(D$6,Data[#Headers],0))</f>
        <v>298504</v>
      </c>
      <c r="E254" s="160">
        <f>INDEX(Data[],MATCH($A254,Data[Dist],0),MATCH(E$6,Data[#Headers],0))</f>
        <v>298504</v>
      </c>
      <c r="F254" s="160">
        <f>INDEX(Data[],MATCH($A254,Data[Dist],0),MATCH(F$6,Data[#Headers],0))</f>
        <v>298504</v>
      </c>
      <c r="G254" s="22">
        <f>INDEX(Data[],MATCH($A254,Data[Dist],0),MATCH(G$6,Data[#Headers],0))</f>
        <v>300726</v>
      </c>
      <c r="H254" s="22">
        <f>INDEX(Data[],MATCH($A254,Data[Dist],0),MATCH(H$6,Data[#Headers],0))-G254</f>
        <v>2706530</v>
      </c>
      <c r="I254" s="25"/>
      <c r="J254" s="22">
        <f>INDEX(Notes!$I$2:$N$11,MATCH(Notes!$B$2,Notes!$I$2:$I$11,0),4)*$C254</f>
        <v>300726</v>
      </c>
      <c r="K254" s="22">
        <f>INDEX(Notes!$I$2:$N$11,MATCH(Notes!$B$2,Notes!$I$2:$I$11,0),5)*$D254</f>
        <v>0</v>
      </c>
      <c r="L254" s="22">
        <f>INDEX(Notes!$I$2:$N$11,MATCH(Notes!$B$2,Notes!$I$2:$I$11,0),6)*$E254</f>
        <v>0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300726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334256</v>
      </c>
      <c r="D255" s="160">
        <f>INDEX(Data[],MATCH($A255,Data[Dist],0),MATCH(D$6,Data[#Headers],0))</f>
        <v>330031</v>
      </c>
      <c r="E255" s="160">
        <f>INDEX(Data[],MATCH($A255,Data[Dist],0),MATCH(E$6,Data[#Headers],0))</f>
        <v>330031</v>
      </c>
      <c r="F255" s="160">
        <f>INDEX(Data[],MATCH($A255,Data[Dist],0),MATCH(F$6,Data[#Headers],0))</f>
        <v>330030</v>
      </c>
      <c r="G255" s="22">
        <f>INDEX(Data[],MATCH($A255,Data[Dist],0),MATCH(G$6,Data[#Headers],0))</f>
        <v>334256</v>
      </c>
      <c r="H255" s="22">
        <f>INDEX(Data[],MATCH($A255,Data[Dist],0),MATCH(H$6,Data[#Headers],0))-G255</f>
        <v>3008305</v>
      </c>
      <c r="I255" s="25"/>
      <c r="J255" s="22">
        <f>INDEX(Notes!$I$2:$N$11,MATCH(Notes!$B$2,Notes!$I$2:$I$11,0),4)*$C255</f>
        <v>334256</v>
      </c>
      <c r="K255" s="22">
        <f>INDEX(Notes!$I$2:$N$11,MATCH(Notes!$B$2,Notes!$I$2:$I$11,0),5)*$D255</f>
        <v>0</v>
      </c>
      <c r="L255" s="22">
        <f>INDEX(Notes!$I$2:$N$11,MATCH(Notes!$B$2,Notes!$I$2:$I$11,0),6)*$E255</f>
        <v>0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334256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204189</v>
      </c>
      <c r="D256" s="160">
        <f>INDEX(Data[],MATCH($A256,Data[Dist],0),MATCH(D$6,Data[#Headers],0))</f>
        <v>202716</v>
      </c>
      <c r="E256" s="160">
        <f>INDEX(Data[],MATCH($A256,Data[Dist],0),MATCH(E$6,Data[#Headers],0))</f>
        <v>202717</v>
      </c>
      <c r="F256" s="160">
        <f>INDEX(Data[],MATCH($A256,Data[Dist],0),MATCH(F$6,Data[#Headers],0))</f>
        <v>202715</v>
      </c>
      <c r="G256" s="22">
        <f>INDEX(Data[],MATCH($A256,Data[Dist],0),MATCH(G$6,Data[#Headers],0))</f>
        <v>204189</v>
      </c>
      <c r="H256" s="22">
        <f>INDEX(Data[],MATCH($A256,Data[Dist],0),MATCH(H$6,Data[#Headers],0))-G256</f>
        <v>1837701</v>
      </c>
      <c r="I256" s="25"/>
      <c r="J256" s="22">
        <f>INDEX(Notes!$I$2:$N$11,MATCH(Notes!$B$2,Notes!$I$2:$I$11,0),4)*$C256</f>
        <v>204189</v>
      </c>
      <c r="K256" s="22">
        <f>INDEX(Notes!$I$2:$N$11,MATCH(Notes!$B$2,Notes!$I$2:$I$11,0),5)*$D256</f>
        <v>0</v>
      </c>
      <c r="L256" s="22">
        <f>INDEX(Notes!$I$2:$N$11,MATCH(Notes!$B$2,Notes!$I$2:$I$11,0),6)*$E256</f>
        <v>0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204189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102842</v>
      </c>
      <c r="D257" s="160">
        <f>INDEX(Data[],MATCH($A257,Data[Dist],0),MATCH(D$6,Data[#Headers],0))</f>
        <v>101947</v>
      </c>
      <c r="E257" s="160">
        <f>INDEX(Data[],MATCH($A257,Data[Dist],0),MATCH(E$6,Data[#Headers],0))</f>
        <v>101947</v>
      </c>
      <c r="F257" s="160">
        <f>INDEX(Data[],MATCH($A257,Data[Dist],0),MATCH(F$6,Data[#Headers],0))</f>
        <v>101946</v>
      </c>
      <c r="G257" s="22">
        <f>INDEX(Data[],MATCH($A257,Data[Dist],0),MATCH(G$6,Data[#Headers],0))</f>
        <v>102842</v>
      </c>
      <c r="H257" s="22">
        <f>INDEX(Data[],MATCH($A257,Data[Dist],0),MATCH(H$6,Data[#Headers],0))-G257</f>
        <v>925575</v>
      </c>
      <c r="I257" s="25"/>
      <c r="J257" s="22">
        <f>INDEX(Notes!$I$2:$N$11,MATCH(Notes!$B$2,Notes!$I$2:$I$11,0),4)*$C257</f>
        <v>102842</v>
      </c>
      <c r="K257" s="22">
        <f>INDEX(Notes!$I$2:$N$11,MATCH(Notes!$B$2,Notes!$I$2:$I$11,0),5)*$D257</f>
        <v>0</v>
      </c>
      <c r="L257" s="22">
        <f>INDEX(Notes!$I$2:$N$11,MATCH(Notes!$B$2,Notes!$I$2:$I$11,0),6)*$E257</f>
        <v>0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102842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839218</v>
      </c>
      <c r="D258" s="160">
        <f>INDEX(Data[],MATCH($A258,Data[Dist],0),MATCH(D$6,Data[#Headers],0))</f>
        <v>833645</v>
      </c>
      <c r="E258" s="160">
        <f>INDEX(Data[],MATCH($A258,Data[Dist],0),MATCH(E$6,Data[#Headers],0))</f>
        <v>833645</v>
      </c>
      <c r="F258" s="160">
        <f>INDEX(Data[],MATCH($A258,Data[Dist],0),MATCH(F$6,Data[#Headers],0))</f>
        <v>833645</v>
      </c>
      <c r="G258" s="22">
        <f>INDEX(Data[],MATCH($A258,Data[Dist],0),MATCH(G$6,Data[#Headers],0))</f>
        <v>839218</v>
      </c>
      <c r="H258" s="22">
        <f>INDEX(Data[],MATCH($A258,Data[Dist],0),MATCH(H$6,Data[#Headers],0))-G258</f>
        <v>7552962</v>
      </c>
      <c r="I258" s="25"/>
      <c r="J258" s="22">
        <f>INDEX(Notes!$I$2:$N$11,MATCH(Notes!$B$2,Notes!$I$2:$I$11,0),4)*$C258</f>
        <v>839218</v>
      </c>
      <c r="K258" s="22">
        <f>INDEX(Notes!$I$2:$N$11,MATCH(Notes!$B$2,Notes!$I$2:$I$11,0),5)*$D258</f>
        <v>0</v>
      </c>
      <c r="L258" s="22">
        <f>INDEX(Notes!$I$2:$N$11,MATCH(Notes!$B$2,Notes!$I$2:$I$11,0),6)*$E258</f>
        <v>0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839218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160586</v>
      </c>
      <c r="D259" s="160">
        <f>INDEX(Data[],MATCH($A259,Data[Dist],0),MATCH(D$6,Data[#Headers],0))</f>
        <v>159578</v>
      </c>
      <c r="E259" s="160">
        <f>INDEX(Data[],MATCH($A259,Data[Dist],0),MATCH(E$6,Data[#Headers],0))</f>
        <v>159579</v>
      </c>
      <c r="F259" s="160">
        <f>INDEX(Data[],MATCH($A259,Data[Dist],0),MATCH(F$6,Data[#Headers],0))</f>
        <v>159577</v>
      </c>
      <c r="G259" s="22">
        <f>INDEX(Data[],MATCH($A259,Data[Dist],0),MATCH(G$6,Data[#Headers],0))</f>
        <v>160586</v>
      </c>
      <c r="H259" s="22">
        <f>INDEX(Data[],MATCH($A259,Data[Dist],0),MATCH(H$6,Data[#Headers],0))-G259</f>
        <v>1445276</v>
      </c>
      <c r="I259" s="25"/>
      <c r="J259" s="22">
        <f>INDEX(Notes!$I$2:$N$11,MATCH(Notes!$B$2,Notes!$I$2:$I$11,0),4)*$C259</f>
        <v>160586</v>
      </c>
      <c r="K259" s="22">
        <f>INDEX(Notes!$I$2:$N$11,MATCH(Notes!$B$2,Notes!$I$2:$I$11,0),5)*$D259</f>
        <v>0</v>
      </c>
      <c r="L259" s="22">
        <f>INDEX(Notes!$I$2:$N$11,MATCH(Notes!$B$2,Notes!$I$2:$I$11,0),6)*$E259</f>
        <v>0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160586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448827</v>
      </c>
      <c r="D260" s="160">
        <f>INDEX(Data[],MATCH($A260,Data[Dist],0),MATCH(D$6,Data[#Headers],0))</f>
        <v>445858</v>
      </c>
      <c r="E260" s="160">
        <f>INDEX(Data[],MATCH($A260,Data[Dist],0),MATCH(E$6,Data[#Headers],0))</f>
        <v>445858</v>
      </c>
      <c r="F260" s="160">
        <f>INDEX(Data[],MATCH($A260,Data[Dist],0),MATCH(F$6,Data[#Headers],0))</f>
        <v>445857</v>
      </c>
      <c r="G260" s="22">
        <f>INDEX(Data[],MATCH($A260,Data[Dist],0),MATCH(G$6,Data[#Headers],0))</f>
        <v>448827</v>
      </c>
      <c r="H260" s="22">
        <f>INDEX(Data[],MATCH($A260,Data[Dist],0),MATCH(H$6,Data[#Headers],0))-G260</f>
        <v>4039441</v>
      </c>
      <c r="I260" s="25"/>
      <c r="J260" s="22">
        <f>INDEX(Notes!$I$2:$N$11,MATCH(Notes!$B$2,Notes!$I$2:$I$11,0),4)*$C260</f>
        <v>448827</v>
      </c>
      <c r="K260" s="22">
        <f>INDEX(Notes!$I$2:$N$11,MATCH(Notes!$B$2,Notes!$I$2:$I$11,0),5)*$D260</f>
        <v>0</v>
      </c>
      <c r="L260" s="22">
        <f>INDEX(Notes!$I$2:$N$11,MATCH(Notes!$B$2,Notes!$I$2:$I$11,0),6)*$E260</f>
        <v>0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448827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774844</v>
      </c>
      <c r="D261" s="160">
        <f>INDEX(Data[],MATCH($A261,Data[Dist],0),MATCH(D$6,Data[#Headers],0))</f>
        <v>770424</v>
      </c>
      <c r="E261" s="160">
        <f>INDEX(Data[],MATCH($A261,Data[Dist],0),MATCH(E$6,Data[#Headers],0))</f>
        <v>770424</v>
      </c>
      <c r="F261" s="160">
        <f>INDEX(Data[],MATCH($A261,Data[Dist],0),MATCH(F$6,Data[#Headers],0))</f>
        <v>770425</v>
      </c>
      <c r="G261" s="22">
        <f>INDEX(Data[],MATCH($A261,Data[Dist],0),MATCH(G$6,Data[#Headers],0))</f>
        <v>774844</v>
      </c>
      <c r="H261" s="22">
        <f>INDEX(Data[],MATCH($A261,Data[Dist],0),MATCH(H$6,Data[#Headers],0))-G261</f>
        <v>6973595</v>
      </c>
      <c r="I261" s="25"/>
      <c r="J261" s="22">
        <f>INDEX(Notes!$I$2:$N$11,MATCH(Notes!$B$2,Notes!$I$2:$I$11,0),4)*$C261</f>
        <v>774844</v>
      </c>
      <c r="K261" s="22">
        <f>INDEX(Notes!$I$2:$N$11,MATCH(Notes!$B$2,Notes!$I$2:$I$11,0),5)*$D261</f>
        <v>0</v>
      </c>
      <c r="L261" s="22">
        <f>INDEX(Notes!$I$2:$N$11,MATCH(Notes!$B$2,Notes!$I$2:$I$11,0),6)*$E261</f>
        <v>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774844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705465</v>
      </c>
      <c r="D262" s="160">
        <f>INDEX(Data[],MATCH($A262,Data[Dist],0),MATCH(D$6,Data[#Headers],0))</f>
        <v>701360</v>
      </c>
      <c r="E262" s="160">
        <f>INDEX(Data[],MATCH($A262,Data[Dist],0),MATCH(E$6,Data[#Headers],0))</f>
        <v>701360</v>
      </c>
      <c r="F262" s="160">
        <f>INDEX(Data[],MATCH($A262,Data[Dist],0),MATCH(F$6,Data[#Headers],0))</f>
        <v>701358</v>
      </c>
      <c r="G262" s="22">
        <f>INDEX(Data[],MATCH($A262,Data[Dist],0),MATCH(G$6,Data[#Headers],0))</f>
        <v>705465</v>
      </c>
      <c r="H262" s="22">
        <f>INDEX(Data[],MATCH($A262,Data[Dist],0),MATCH(H$6,Data[#Headers],0))-G262</f>
        <v>6349188</v>
      </c>
      <c r="I262" s="25"/>
      <c r="J262" s="22">
        <f>INDEX(Notes!$I$2:$N$11,MATCH(Notes!$B$2,Notes!$I$2:$I$11,0),4)*$C262</f>
        <v>705465</v>
      </c>
      <c r="K262" s="22">
        <f>INDEX(Notes!$I$2:$N$11,MATCH(Notes!$B$2,Notes!$I$2:$I$11,0),5)*$D262</f>
        <v>0</v>
      </c>
      <c r="L262" s="22">
        <f>INDEX(Notes!$I$2:$N$11,MATCH(Notes!$B$2,Notes!$I$2:$I$11,0),6)*$E262</f>
        <v>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705465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445761</v>
      </c>
      <c r="D263" s="160">
        <f>INDEX(Data[],MATCH($A263,Data[Dist],0),MATCH(D$6,Data[#Headers],0))</f>
        <v>442950</v>
      </c>
      <c r="E263" s="160">
        <f>INDEX(Data[],MATCH($A263,Data[Dist],0),MATCH(E$6,Data[#Headers],0))</f>
        <v>442950</v>
      </c>
      <c r="F263" s="160">
        <f>INDEX(Data[],MATCH($A263,Data[Dist],0),MATCH(F$6,Data[#Headers],0))</f>
        <v>442948</v>
      </c>
      <c r="G263" s="22">
        <f>INDEX(Data[],MATCH($A263,Data[Dist],0),MATCH(G$6,Data[#Headers],0))</f>
        <v>445761</v>
      </c>
      <c r="H263" s="22">
        <f>INDEX(Data[],MATCH($A263,Data[Dist],0),MATCH(H$6,Data[#Headers],0))-G263</f>
        <v>4011846</v>
      </c>
      <c r="I263" s="25"/>
      <c r="J263" s="22">
        <f>INDEX(Notes!$I$2:$N$11,MATCH(Notes!$B$2,Notes!$I$2:$I$11,0),4)*$C263</f>
        <v>445761</v>
      </c>
      <c r="K263" s="22">
        <f>INDEX(Notes!$I$2:$N$11,MATCH(Notes!$B$2,Notes!$I$2:$I$11,0),5)*$D263</f>
        <v>0</v>
      </c>
      <c r="L263" s="22">
        <f>INDEX(Notes!$I$2:$N$11,MATCH(Notes!$B$2,Notes!$I$2:$I$11,0),6)*$E263</f>
        <v>0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445761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247438</v>
      </c>
      <c r="D264" s="160">
        <f>INDEX(Data[],MATCH($A264,Data[Dist],0),MATCH(D$6,Data[#Headers],0))</f>
        <v>245970</v>
      </c>
      <c r="E264" s="160">
        <f>INDEX(Data[],MATCH($A264,Data[Dist],0),MATCH(E$6,Data[#Headers],0))</f>
        <v>245970</v>
      </c>
      <c r="F264" s="160">
        <f>INDEX(Data[],MATCH($A264,Data[Dist],0),MATCH(F$6,Data[#Headers],0))</f>
        <v>245969</v>
      </c>
      <c r="G264" s="22">
        <f>INDEX(Data[],MATCH($A264,Data[Dist],0),MATCH(G$6,Data[#Headers],0))</f>
        <v>247438</v>
      </c>
      <c r="H264" s="22">
        <f>INDEX(Data[],MATCH($A264,Data[Dist],0),MATCH(H$6,Data[#Headers],0))-G264</f>
        <v>2226941</v>
      </c>
      <c r="I264" s="25"/>
      <c r="J264" s="22">
        <f>INDEX(Notes!$I$2:$N$11,MATCH(Notes!$B$2,Notes!$I$2:$I$11,0),4)*$C264</f>
        <v>247438</v>
      </c>
      <c r="K264" s="22">
        <f>INDEX(Notes!$I$2:$N$11,MATCH(Notes!$B$2,Notes!$I$2:$I$11,0),5)*$D264</f>
        <v>0</v>
      </c>
      <c r="L264" s="22">
        <f>INDEX(Notes!$I$2:$N$11,MATCH(Notes!$B$2,Notes!$I$2:$I$11,0),6)*$E264</f>
        <v>0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247438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INDEX($A$7:$H$333,MATCH($S264,$A$7:$A$333,0),3)-Q264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373373</v>
      </c>
      <c r="D265" s="160">
        <f>INDEX(Data[],MATCH($A265,Data[Dist],0),MATCH(D$6,Data[#Headers],0))</f>
        <v>371240</v>
      </c>
      <c r="E265" s="160">
        <f>INDEX(Data[],MATCH($A265,Data[Dist],0),MATCH(E$6,Data[#Headers],0))</f>
        <v>371241</v>
      </c>
      <c r="F265" s="160">
        <f>INDEX(Data[],MATCH($A265,Data[Dist],0),MATCH(F$6,Data[#Headers],0))</f>
        <v>371239</v>
      </c>
      <c r="G265" s="22">
        <f>INDEX(Data[],MATCH($A265,Data[Dist],0),MATCH(G$6,Data[#Headers],0))</f>
        <v>373373</v>
      </c>
      <c r="H265" s="22">
        <f>INDEX(Data[],MATCH($A265,Data[Dist],0),MATCH(H$6,Data[#Headers],0))-G265</f>
        <v>3360355</v>
      </c>
      <c r="I265" s="25"/>
      <c r="J265" s="22">
        <f>INDEX(Notes!$I$2:$N$11,MATCH(Notes!$B$2,Notes!$I$2:$I$11,0),4)*$C265</f>
        <v>373373</v>
      </c>
      <c r="K265" s="22">
        <f>INDEX(Notes!$I$2:$N$11,MATCH(Notes!$B$2,Notes!$I$2:$I$11,0),5)*$D265</f>
        <v>0</v>
      </c>
      <c r="L265" s="22">
        <f>INDEX(Notes!$I$2:$N$11,MATCH(Notes!$B$2,Notes!$I$2:$I$11,0),6)*$E265</f>
        <v>0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373373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1043419</v>
      </c>
      <c r="D266" s="160">
        <f>INDEX(Data[],MATCH($A266,Data[Dist],0),MATCH(D$6,Data[#Headers],0))</f>
        <v>1037566</v>
      </c>
      <c r="E266" s="160">
        <f>INDEX(Data[],MATCH($A266,Data[Dist],0),MATCH(E$6,Data[#Headers],0))</f>
        <v>1037566</v>
      </c>
      <c r="F266" s="160">
        <f>INDEX(Data[],MATCH($A266,Data[Dist],0),MATCH(F$6,Data[#Headers],0))</f>
        <v>1037565</v>
      </c>
      <c r="G266" s="22">
        <f>INDEX(Data[],MATCH($A266,Data[Dist],0),MATCH(G$6,Data[#Headers],0))</f>
        <v>1043419</v>
      </c>
      <c r="H266" s="22">
        <f>INDEX(Data[],MATCH($A266,Data[Dist],0),MATCH(H$6,Data[#Headers],0))-G266</f>
        <v>9390772</v>
      </c>
      <c r="I266" s="25"/>
      <c r="J266" s="22">
        <f>INDEX(Notes!$I$2:$N$11,MATCH(Notes!$B$2,Notes!$I$2:$I$11,0),4)*$C266</f>
        <v>1043419</v>
      </c>
      <c r="K266" s="22">
        <f>INDEX(Notes!$I$2:$N$11,MATCH(Notes!$B$2,Notes!$I$2:$I$11,0),5)*$D266</f>
        <v>0</v>
      </c>
      <c r="L266" s="22">
        <f>INDEX(Notes!$I$2:$N$11,MATCH(Notes!$B$2,Notes!$I$2:$I$11,0),6)*$E266</f>
        <v>0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1043419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12615709</v>
      </c>
      <c r="D267" s="160">
        <f>INDEX(Data[],MATCH($A267,Data[Dist],0),MATCH(D$6,Data[#Headers],0))</f>
        <v>12556845</v>
      </c>
      <c r="E267" s="160">
        <f>INDEX(Data[],MATCH($A267,Data[Dist],0),MATCH(E$6,Data[#Headers],0))</f>
        <v>12556845</v>
      </c>
      <c r="F267" s="160">
        <f>INDEX(Data[],MATCH($A267,Data[Dist],0),MATCH(F$6,Data[#Headers],0))</f>
        <v>12556844</v>
      </c>
      <c r="G267" s="22">
        <f>INDEX(Data[],MATCH($A267,Data[Dist],0),MATCH(G$6,Data[#Headers],0))</f>
        <v>12615709</v>
      </c>
      <c r="H267" s="22">
        <f>INDEX(Data[],MATCH($A267,Data[Dist],0),MATCH(H$6,Data[#Headers],0))-G267</f>
        <v>113541378</v>
      </c>
      <c r="I267" s="25"/>
      <c r="J267" s="22">
        <f>INDEX(Notes!$I$2:$N$11,MATCH(Notes!$B$2,Notes!$I$2:$I$11,0),4)*$C267</f>
        <v>12615709</v>
      </c>
      <c r="K267" s="22">
        <f>INDEX(Notes!$I$2:$N$11,MATCH(Notes!$B$2,Notes!$I$2:$I$11,0),5)*$D267</f>
        <v>0</v>
      </c>
      <c r="L267" s="22">
        <f>INDEX(Notes!$I$2:$N$11,MATCH(Notes!$B$2,Notes!$I$2:$I$11,0),6)*$E267</f>
        <v>0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12615709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248706</v>
      </c>
      <c r="D268" s="160">
        <f>INDEX(Data[],MATCH($A268,Data[Dist],0),MATCH(D$6,Data[#Headers],0))</f>
        <v>247004</v>
      </c>
      <c r="E268" s="160">
        <f>INDEX(Data[],MATCH($A268,Data[Dist],0),MATCH(E$6,Data[#Headers],0))</f>
        <v>247004</v>
      </c>
      <c r="F268" s="160">
        <f>INDEX(Data[],MATCH($A268,Data[Dist],0),MATCH(F$6,Data[#Headers],0))</f>
        <v>247005</v>
      </c>
      <c r="G268" s="22">
        <f>INDEX(Data[],MATCH($A268,Data[Dist],0),MATCH(G$6,Data[#Headers],0))</f>
        <v>248706</v>
      </c>
      <c r="H268" s="22">
        <f>INDEX(Data[],MATCH($A268,Data[Dist],0),MATCH(H$6,Data[#Headers],0))-G268</f>
        <v>2238357</v>
      </c>
      <c r="I268" s="25"/>
      <c r="J268" s="22">
        <f>INDEX(Notes!$I$2:$N$11,MATCH(Notes!$B$2,Notes!$I$2:$I$11,0),4)*$C268</f>
        <v>248706</v>
      </c>
      <c r="K268" s="22">
        <f>INDEX(Notes!$I$2:$N$11,MATCH(Notes!$B$2,Notes!$I$2:$I$11,0),5)*$D268</f>
        <v>0</v>
      </c>
      <c r="L268" s="22">
        <f>INDEX(Notes!$I$2:$N$11,MATCH(Notes!$B$2,Notes!$I$2:$I$11,0),6)*$E268</f>
        <v>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248706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475938</v>
      </c>
      <c r="D269" s="160">
        <f>INDEX(Data[],MATCH($A269,Data[Dist],0),MATCH(D$6,Data[#Headers],0))</f>
        <v>472393</v>
      </c>
      <c r="E269" s="160">
        <f>INDEX(Data[],MATCH($A269,Data[Dist],0),MATCH(E$6,Data[#Headers],0))</f>
        <v>472393</v>
      </c>
      <c r="F269" s="160">
        <f>INDEX(Data[],MATCH($A269,Data[Dist],0),MATCH(F$6,Data[#Headers],0))</f>
        <v>472392</v>
      </c>
      <c r="G269" s="22">
        <f>INDEX(Data[],MATCH($A269,Data[Dist],0),MATCH(G$6,Data[#Headers],0))</f>
        <v>475938</v>
      </c>
      <c r="H269" s="22">
        <f>INDEX(Data[],MATCH($A269,Data[Dist],0),MATCH(H$6,Data[#Headers],0))-G269</f>
        <v>4283445</v>
      </c>
      <c r="I269" s="25"/>
      <c r="J269" s="22">
        <f>INDEX(Notes!$I$2:$N$11,MATCH(Notes!$B$2,Notes!$I$2:$I$11,0),4)*$C269</f>
        <v>475938</v>
      </c>
      <c r="K269" s="22">
        <f>INDEX(Notes!$I$2:$N$11,MATCH(Notes!$B$2,Notes!$I$2:$I$11,0),5)*$D269</f>
        <v>0</v>
      </c>
      <c r="L269" s="22">
        <f>INDEX(Notes!$I$2:$N$11,MATCH(Notes!$B$2,Notes!$I$2:$I$11,0),6)*$E269</f>
        <v>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475938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889600</v>
      </c>
      <c r="D270" s="160">
        <f>INDEX(Data[],MATCH($A270,Data[Dist],0),MATCH(D$6,Data[#Headers],0))</f>
        <v>883939</v>
      </c>
      <c r="E270" s="160">
        <f>INDEX(Data[],MATCH($A270,Data[Dist],0),MATCH(E$6,Data[#Headers],0))</f>
        <v>883939</v>
      </c>
      <c r="F270" s="160">
        <f>INDEX(Data[],MATCH($A270,Data[Dist],0),MATCH(F$6,Data[#Headers],0))</f>
        <v>883939</v>
      </c>
      <c r="G270" s="22">
        <f>INDEX(Data[],MATCH($A270,Data[Dist],0),MATCH(G$6,Data[#Headers],0))</f>
        <v>889600</v>
      </c>
      <c r="H270" s="22">
        <f>INDEX(Data[],MATCH($A270,Data[Dist],0),MATCH(H$6,Data[#Headers],0))-G270</f>
        <v>8006397</v>
      </c>
      <c r="I270" s="25"/>
      <c r="J270" s="22">
        <f>INDEX(Notes!$I$2:$N$11,MATCH(Notes!$B$2,Notes!$I$2:$I$11,0),4)*$C270</f>
        <v>889600</v>
      </c>
      <c r="K270" s="22">
        <f>INDEX(Notes!$I$2:$N$11,MATCH(Notes!$B$2,Notes!$I$2:$I$11,0),5)*$D270</f>
        <v>0</v>
      </c>
      <c r="L270" s="22">
        <f>INDEX(Notes!$I$2:$N$11,MATCH(Notes!$B$2,Notes!$I$2:$I$11,0),6)*$E270</f>
        <v>0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889600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391785</v>
      </c>
      <c r="D271" s="160">
        <f>INDEX(Data[],MATCH($A271,Data[Dist],0),MATCH(D$6,Data[#Headers],0))</f>
        <v>389680</v>
      </c>
      <c r="E271" s="160">
        <f>INDEX(Data[],MATCH($A271,Data[Dist],0),MATCH(E$6,Data[#Headers],0))</f>
        <v>389680</v>
      </c>
      <c r="F271" s="160">
        <f>INDEX(Data[],MATCH($A271,Data[Dist],0),MATCH(F$6,Data[#Headers],0))</f>
        <v>389681</v>
      </c>
      <c r="G271" s="22">
        <f>INDEX(Data[],MATCH($A271,Data[Dist],0),MATCH(G$6,Data[#Headers],0))</f>
        <v>391785</v>
      </c>
      <c r="H271" s="22">
        <f>INDEX(Data[],MATCH($A271,Data[Dist],0),MATCH(H$6,Data[#Headers],0))-G271</f>
        <v>3526061</v>
      </c>
      <c r="I271" s="25"/>
      <c r="J271" s="22">
        <f>INDEX(Notes!$I$2:$N$11,MATCH(Notes!$B$2,Notes!$I$2:$I$11,0),4)*$C271</f>
        <v>391785</v>
      </c>
      <c r="K271" s="22">
        <f>INDEX(Notes!$I$2:$N$11,MATCH(Notes!$B$2,Notes!$I$2:$I$11,0),5)*$D271</f>
        <v>0</v>
      </c>
      <c r="L271" s="22">
        <f>INDEX(Notes!$I$2:$N$11,MATCH(Notes!$B$2,Notes!$I$2:$I$11,0),6)*$E271</f>
        <v>0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391785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355325</v>
      </c>
      <c r="D272" s="160">
        <f>INDEX(Data[],MATCH($A272,Data[Dist],0),MATCH(D$6,Data[#Headers],0))</f>
        <v>352825</v>
      </c>
      <c r="E272" s="160">
        <f>INDEX(Data[],MATCH($A272,Data[Dist],0),MATCH(E$6,Data[#Headers],0))</f>
        <v>352825</v>
      </c>
      <c r="F272" s="160">
        <f>INDEX(Data[],MATCH($A272,Data[Dist],0),MATCH(F$6,Data[#Headers],0))</f>
        <v>352824</v>
      </c>
      <c r="G272" s="22">
        <f>INDEX(Data[],MATCH($A272,Data[Dist],0),MATCH(G$6,Data[#Headers],0))</f>
        <v>355325</v>
      </c>
      <c r="H272" s="22">
        <f>INDEX(Data[],MATCH($A272,Data[Dist],0),MATCH(H$6,Data[#Headers],0))-G272</f>
        <v>3197920</v>
      </c>
      <c r="I272" s="25"/>
      <c r="J272" s="22">
        <f>INDEX(Notes!$I$2:$N$11,MATCH(Notes!$B$2,Notes!$I$2:$I$11,0),4)*$C272</f>
        <v>355325</v>
      </c>
      <c r="K272" s="22">
        <f>INDEX(Notes!$I$2:$N$11,MATCH(Notes!$B$2,Notes!$I$2:$I$11,0),5)*$D272</f>
        <v>0</v>
      </c>
      <c r="L272" s="22">
        <f>INDEX(Notes!$I$2:$N$11,MATCH(Notes!$B$2,Notes!$I$2:$I$11,0),6)*$E272</f>
        <v>0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355325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287309</v>
      </c>
      <c r="D273" s="160">
        <f>INDEX(Data[],MATCH($A273,Data[Dist],0),MATCH(D$6,Data[#Headers],0))</f>
        <v>285230</v>
      </c>
      <c r="E273" s="160">
        <f>INDEX(Data[],MATCH($A273,Data[Dist],0),MATCH(E$6,Data[#Headers],0))</f>
        <v>285230</v>
      </c>
      <c r="F273" s="160">
        <f>INDEX(Data[],MATCH($A273,Data[Dist],0),MATCH(F$6,Data[#Headers],0))</f>
        <v>285228</v>
      </c>
      <c r="G273" s="22">
        <f>INDEX(Data[],MATCH($A273,Data[Dist],0),MATCH(G$6,Data[#Headers],0))</f>
        <v>287309</v>
      </c>
      <c r="H273" s="22">
        <f>INDEX(Data[],MATCH($A273,Data[Dist],0),MATCH(H$6,Data[#Headers],0))-G273</f>
        <v>2585780</v>
      </c>
      <c r="I273" s="25"/>
      <c r="J273" s="22">
        <f>INDEX(Notes!$I$2:$N$11,MATCH(Notes!$B$2,Notes!$I$2:$I$11,0),4)*$C273</f>
        <v>287309</v>
      </c>
      <c r="K273" s="22">
        <f>INDEX(Notes!$I$2:$N$11,MATCH(Notes!$B$2,Notes!$I$2:$I$11,0),5)*$D273</f>
        <v>0</v>
      </c>
      <c r="L273" s="22">
        <f>INDEX(Notes!$I$2:$N$11,MATCH(Notes!$B$2,Notes!$I$2:$I$11,0),6)*$E273</f>
        <v>0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287309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131041</v>
      </c>
      <c r="D274" s="160">
        <f>INDEX(Data[],MATCH($A274,Data[Dist],0),MATCH(D$6,Data[#Headers],0))</f>
        <v>130237</v>
      </c>
      <c r="E274" s="160">
        <f>INDEX(Data[],MATCH($A274,Data[Dist],0),MATCH(E$6,Data[#Headers],0))</f>
        <v>130237</v>
      </c>
      <c r="F274" s="160">
        <f>INDEX(Data[],MATCH($A274,Data[Dist],0),MATCH(F$6,Data[#Headers],0))</f>
        <v>130236</v>
      </c>
      <c r="G274" s="22">
        <f>INDEX(Data[],MATCH($A274,Data[Dist],0),MATCH(G$6,Data[#Headers],0))</f>
        <v>131041</v>
      </c>
      <c r="H274" s="22">
        <f>INDEX(Data[],MATCH($A274,Data[Dist],0),MATCH(H$6,Data[#Headers],0))-G274</f>
        <v>1179368</v>
      </c>
      <c r="I274" s="25"/>
      <c r="J274" s="22">
        <f>INDEX(Notes!$I$2:$N$11,MATCH(Notes!$B$2,Notes!$I$2:$I$11,0),4)*$C274</f>
        <v>131041</v>
      </c>
      <c r="K274" s="22">
        <f>INDEX(Notes!$I$2:$N$11,MATCH(Notes!$B$2,Notes!$I$2:$I$11,0),5)*$D274</f>
        <v>0</v>
      </c>
      <c r="L274" s="22">
        <f>INDEX(Notes!$I$2:$N$11,MATCH(Notes!$B$2,Notes!$I$2:$I$11,0),6)*$E274</f>
        <v>0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131041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1166011</v>
      </c>
      <c r="D275" s="160">
        <f>INDEX(Data[],MATCH($A275,Data[Dist],0),MATCH(D$6,Data[#Headers],0))</f>
        <v>1160256</v>
      </c>
      <c r="E275" s="160">
        <f>INDEX(Data[],MATCH($A275,Data[Dist],0),MATCH(E$6,Data[#Headers],0))</f>
        <v>1160257</v>
      </c>
      <c r="F275" s="160">
        <f>INDEX(Data[],MATCH($A275,Data[Dist],0),MATCH(F$6,Data[#Headers],0))</f>
        <v>1160255</v>
      </c>
      <c r="G275" s="22">
        <f>INDEX(Data[],MATCH($A275,Data[Dist],0),MATCH(G$6,Data[#Headers],0))</f>
        <v>1166011</v>
      </c>
      <c r="H275" s="22">
        <f>INDEX(Data[],MATCH($A275,Data[Dist],0),MATCH(H$6,Data[#Headers],0))-G275</f>
        <v>10494094</v>
      </c>
      <c r="I275" s="25"/>
      <c r="J275" s="22">
        <f>INDEX(Notes!$I$2:$N$11,MATCH(Notes!$B$2,Notes!$I$2:$I$11,0),4)*$C275</f>
        <v>1166011</v>
      </c>
      <c r="K275" s="22">
        <f>INDEX(Notes!$I$2:$N$11,MATCH(Notes!$B$2,Notes!$I$2:$I$11,0),5)*$D275</f>
        <v>0</v>
      </c>
      <c r="L275" s="22">
        <f>INDEX(Notes!$I$2:$N$11,MATCH(Notes!$B$2,Notes!$I$2:$I$11,0),6)*$E275</f>
        <v>0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1166011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344859</v>
      </c>
      <c r="D276" s="160">
        <f>INDEX(Data[],MATCH($A276,Data[Dist],0),MATCH(D$6,Data[#Headers],0))</f>
        <v>342851</v>
      </c>
      <c r="E276" s="160">
        <f>INDEX(Data[],MATCH($A276,Data[Dist],0),MATCH(E$6,Data[#Headers],0))</f>
        <v>342851</v>
      </c>
      <c r="F276" s="160">
        <f>INDEX(Data[],MATCH($A276,Data[Dist],0),MATCH(F$6,Data[#Headers],0))</f>
        <v>342849</v>
      </c>
      <c r="G276" s="22">
        <f>INDEX(Data[],MATCH($A276,Data[Dist],0),MATCH(G$6,Data[#Headers],0))</f>
        <v>344859</v>
      </c>
      <c r="H276" s="22">
        <f>INDEX(Data[],MATCH($A276,Data[Dist],0),MATCH(H$6,Data[#Headers],0))-G276</f>
        <v>3103729</v>
      </c>
      <c r="I276" s="25"/>
      <c r="J276" s="22">
        <f>INDEX(Notes!$I$2:$N$11,MATCH(Notes!$B$2,Notes!$I$2:$I$11,0),4)*$C276</f>
        <v>344859</v>
      </c>
      <c r="K276" s="22">
        <f>INDEX(Notes!$I$2:$N$11,MATCH(Notes!$B$2,Notes!$I$2:$I$11,0),5)*$D276</f>
        <v>0</v>
      </c>
      <c r="L276" s="22">
        <f>INDEX(Notes!$I$2:$N$11,MATCH(Notes!$B$2,Notes!$I$2:$I$11,0),6)*$E276</f>
        <v>0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344859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5099050</v>
      </c>
      <c r="D277" s="160">
        <f>INDEX(Data[],MATCH($A277,Data[Dist],0),MATCH(D$6,Data[#Headers],0))</f>
        <v>5071242</v>
      </c>
      <c r="E277" s="160">
        <f>INDEX(Data[],MATCH($A277,Data[Dist],0),MATCH(E$6,Data[#Headers],0))</f>
        <v>5071242</v>
      </c>
      <c r="F277" s="160">
        <f>INDEX(Data[],MATCH($A277,Data[Dist],0),MATCH(F$6,Data[#Headers],0))</f>
        <v>5071240</v>
      </c>
      <c r="G277" s="22">
        <f>INDEX(Data[],MATCH($A277,Data[Dist],0),MATCH(G$6,Data[#Headers],0))</f>
        <v>5099050</v>
      </c>
      <c r="H277" s="22">
        <f>INDEX(Data[],MATCH($A277,Data[Dist],0),MATCH(H$6,Data[#Headers],0))-G277</f>
        <v>45891447</v>
      </c>
      <c r="I277" s="25"/>
      <c r="J277" s="22">
        <f>INDEX(Notes!$I$2:$N$11,MATCH(Notes!$B$2,Notes!$I$2:$I$11,0),4)*$C277</f>
        <v>5099050</v>
      </c>
      <c r="K277" s="22">
        <f>INDEX(Notes!$I$2:$N$11,MATCH(Notes!$B$2,Notes!$I$2:$I$11,0),5)*$D277</f>
        <v>0</v>
      </c>
      <c r="L277" s="22">
        <f>INDEX(Notes!$I$2:$N$11,MATCH(Notes!$B$2,Notes!$I$2:$I$11,0),6)*$E277</f>
        <v>0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5099050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1486563</v>
      </c>
      <c r="D278" s="160">
        <f>INDEX(Data[],MATCH($A278,Data[Dist],0),MATCH(D$6,Data[#Headers],0))</f>
        <v>1478635</v>
      </c>
      <c r="E278" s="160">
        <f>INDEX(Data[],MATCH($A278,Data[Dist],0),MATCH(E$6,Data[#Headers],0))</f>
        <v>1478635</v>
      </c>
      <c r="F278" s="160">
        <f>INDEX(Data[],MATCH($A278,Data[Dist],0),MATCH(F$6,Data[#Headers],0))</f>
        <v>1478635</v>
      </c>
      <c r="G278" s="22">
        <f>INDEX(Data[],MATCH($A278,Data[Dist],0),MATCH(G$6,Data[#Headers],0))</f>
        <v>1486563</v>
      </c>
      <c r="H278" s="22">
        <f>INDEX(Data[],MATCH($A278,Data[Dist],0),MATCH(H$6,Data[#Headers],0))-G278</f>
        <v>13379063</v>
      </c>
      <c r="I278" s="25"/>
      <c r="J278" s="22">
        <f>INDEX(Notes!$I$2:$N$11,MATCH(Notes!$B$2,Notes!$I$2:$I$11,0),4)*$C278</f>
        <v>1486563</v>
      </c>
      <c r="K278" s="22">
        <f>INDEX(Notes!$I$2:$N$11,MATCH(Notes!$B$2,Notes!$I$2:$I$11,0),5)*$D278</f>
        <v>0</v>
      </c>
      <c r="L278" s="22">
        <f>INDEX(Notes!$I$2:$N$11,MATCH(Notes!$B$2,Notes!$I$2:$I$11,0),6)*$E278</f>
        <v>0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1486563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269592</v>
      </c>
      <c r="D279" s="160">
        <f>INDEX(Data[],MATCH($A279,Data[Dist],0),MATCH(D$6,Data[#Headers],0))</f>
        <v>265056</v>
      </c>
      <c r="E279" s="160">
        <f>INDEX(Data[],MATCH($A279,Data[Dist],0),MATCH(E$6,Data[#Headers],0))</f>
        <v>265056</v>
      </c>
      <c r="F279" s="160">
        <f>INDEX(Data[],MATCH($A279,Data[Dist],0),MATCH(F$6,Data[#Headers],0))</f>
        <v>265054</v>
      </c>
      <c r="G279" s="22">
        <f>INDEX(Data[],MATCH($A279,Data[Dist],0),MATCH(G$6,Data[#Headers],0))</f>
        <v>269592</v>
      </c>
      <c r="H279" s="22">
        <f>INDEX(Data[],MATCH($A279,Data[Dist],0),MATCH(H$6,Data[#Headers],0))-G279</f>
        <v>2426329</v>
      </c>
      <c r="I279" s="25"/>
      <c r="J279" s="22">
        <f>INDEX(Notes!$I$2:$N$11,MATCH(Notes!$B$2,Notes!$I$2:$I$11,0),4)*$C279</f>
        <v>269592</v>
      </c>
      <c r="K279" s="22">
        <f>INDEX(Notes!$I$2:$N$11,MATCH(Notes!$B$2,Notes!$I$2:$I$11,0),5)*$D279</f>
        <v>0</v>
      </c>
      <c r="L279" s="22">
        <f>INDEX(Notes!$I$2:$N$11,MATCH(Notes!$B$2,Notes!$I$2:$I$11,0),6)*$E279</f>
        <v>0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269592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273344</v>
      </c>
      <c r="D280" s="160">
        <f>INDEX(Data[],MATCH($A280,Data[Dist],0),MATCH(D$6,Data[#Headers],0))</f>
        <v>271757</v>
      </c>
      <c r="E280" s="160">
        <f>INDEX(Data[],MATCH($A280,Data[Dist],0),MATCH(E$6,Data[#Headers],0))</f>
        <v>271756</v>
      </c>
      <c r="F280" s="160">
        <f>INDEX(Data[],MATCH($A280,Data[Dist],0),MATCH(F$6,Data[#Headers],0))</f>
        <v>271757</v>
      </c>
      <c r="G280" s="22">
        <f>INDEX(Data[],MATCH($A280,Data[Dist],0),MATCH(G$6,Data[#Headers],0))</f>
        <v>273344</v>
      </c>
      <c r="H280" s="22">
        <f>INDEX(Data[],MATCH($A280,Data[Dist],0),MATCH(H$6,Data[#Headers],0))-G280</f>
        <v>2460099</v>
      </c>
      <c r="I280" s="25"/>
      <c r="J280" s="22">
        <f>INDEX(Notes!$I$2:$N$11,MATCH(Notes!$B$2,Notes!$I$2:$I$11,0),4)*$C280</f>
        <v>273344</v>
      </c>
      <c r="K280" s="22">
        <f>INDEX(Notes!$I$2:$N$11,MATCH(Notes!$B$2,Notes!$I$2:$I$11,0),5)*$D280</f>
        <v>0</v>
      </c>
      <c r="L280" s="22">
        <f>INDEX(Notes!$I$2:$N$11,MATCH(Notes!$B$2,Notes!$I$2:$I$11,0),6)*$E280</f>
        <v>0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273344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145319</v>
      </c>
      <c r="D281" s="160">
        <f>INDEX(Data[],MATCH($A281,Data[Dist],0),MATCH(D$6,Data[#Headers],0))</f>
        <v>144550</v>
      </c>
      <c r="E281" s="160">
        <f>INDEX(Data[],MATCH($A281,Data[Dist],0),MATCH(E$6,Data[#Headers],0))</f>
        <v>144550</v>
      </c>
      <c r="F281" s="160">
        <f>INDEX(Data[],MATCH($A281,Data[Dist],0),MATCH(F$6,Data[#Headers],0))</f>
        <v>144548</v>
      </c>
      <c r="G281" s="22">
        <f>INDEX(Data[],MATCH($A281,Data[Dist],0),MATCH(G$6,Data[#Headers],0))</f>
        <v>145319</v>
      </c>
      <c r="H281" s="22">
        <f>INDEX(Data[],MATCH($A281,Data[Dist],0),MATCH(H$6,Data[#Headers],0))-G281</f>
        <v>1307875</v>
      </c>
      <c r="I281" s="25"/>
      <c r="J281" s="22">
        <f>INDEX(Notes!$I$2:$N$11,MATCH(Notes!$B$2,Notes!$I$2:$I$11,0),4)*$C281</f>
        <v>145319</v>
      </c>
      <c r="K281" s="22">
        <f>INDEX(Notes!$I$2:$N$11,MATCH(Notes!$B$2,Notes!$I$2:$I$11,0),5)*$D281</f>
        <v>0</v>
      </c>
      <c r="L281" s="22">
        <f>INDEX(Notes!$I$2:$N$11,MATCH(Notes!$B$2,Notes!$I$2:$I$11,0),6)*$E281</f>
        <v>0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145319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410867</v>
      </c>
      <c r="D282" s="160">
        <f>INDEX(Data[],MATCH($A282,Data[Dist],0),MATCH(D$6,Data[#Headers],0))</f>
        <v>408473</v>
      </c>
      <c r="E282" s="160">
        <f>INDEX(Data[],MATCH($A282,Data[Dist],0),MATCH(E$6,Data[#Headers],0))</f>
        <v>408473</v>
      </c>
      <c r="F282" s="160">
        <f>INDEX(Data[],MATCH($A282,Data[Dist],0),MATCH(F$6,Data[#Headers],0))</f>
        <v>408471</v>
      </c>
      <c r="G282" s="22">
        <f>INDEX(Data[],MATCH($A282,Data[Dist],0),MATCH(G$6,Data[#Headers],0))</f>
        <v>410867</v>
      </c>
      <c r="H282" s="22">
        <f>INDEX(Data[],MATCH($A282,Data[Dist],0),MATCH(H$6,Data[#Headers],0))-G282</f>
        <v>3697798</v>
      </c>
      <c r="I282" s="25"/>
      <c r="J282" s="22">
        <f>INDEX(Notes!$I$2:$N$11,MATCH(Notes!$B$2,Notes!$I$2:$I$11,0),4)*$C282</f>
        <v>410867</v>
      </c>
      <c r="K282" s="22">
        <f>INDEX(Notes!$I$2:$N$11,MATCH(Notes!$B$2,Notes!$I$2:$I$11,0),5)*$D282</f>
        <v>0</v>
      </c>
      <c r="L282" s="22">
        <f>INDEX(Notes!$I$2:$N$11,MATCH(Notes!$B$2,Notes!$I$2:$I$11,0),6)*$E282</f>
        <v>0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410867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2186486</v>
      </c>
      <c r="D283" s="160">
        <f>INDEX(Data[],MATCH($A283,Data[Dist],0),MATCH(D$6,Data[#Headers],0))</f>
        <v>2176311</v>
      </c>
      <c r="E283" s="160">
        <f>INDEX(Data[],MATCH($A283,Data[Dist],0),MATCH(E$6,Data[#Headers],0))</f>
        <v>2176311</v>
      </c>
      <c r="F283" s="160">
        <f>INDEX(Data[],MATCH($A283,Data[Dist],0),MATCH(F$6,Data[#Headers],0))</f>
        <v>2176310</v>
      </c>
      <c r="G283" s="22">
        <f>INDEX(Data[],MATCH($A283,Data[Dist],0),MATCH(G$6,Data[#Headers],0))</f>
        <v>2186486</v>
      </c>
      <c r="H283" s="22">
        <f>INDEX(Data[],MATCH($A283,Data[Dist],0),MATCH(H$6,Data[#Headers],0))-G283</f>
        <v>19678374</v>
      </c>
      <c r="I283" s="25"/>
      <c r="J283" s="22">
        <f>INDEX(Notes!$I$2:$N$11,MATCH(Notes!$B$2,Notes!$I$2:$I$11,0),4)*$C283</f>
        <v>2186486</v>
      </c>
      <c r="K283" s="22">
        <f>INDEX(Notes!$I$2:$N$11,MATCH(Notes!$B$2,Notes!$I$2:$I$11,0),5)*$D283</f>
        <v>0</v>
      </c>
      <c r="L283" s="22">
        <f>INDEX(Notes!$I$2:$N$11,MATCH(Notes!$B$2,Notes!$I$2:$I$11,0),6)*$E283</f>
        <v>0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2186486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79209</v>
      </c>
      <c r="D284" s="160">
        <f>INDEX(Data[],MATCH($A284,Data[Dist],0),MATCH(D$6,Data[#Headers],0))</f>
        <v>78709</v>
      </c>
      <c r="E284" s="160">
        <f>INDEX(Data[],MATCH($A284,Data[Dist],0),MATCH(E$6,Data[#Headers],0))</f>
        <v>78709</v>
      </c>
      <c r="F284" s="160">
        <f>INDEX(Data[],MATCH($A284,Data[Dist],0),MATCH(F$6,Data[#Headers],0))</f>
        <v>78709</v>
      </c>
      <c r="G284" s="22">
        <f>INDEX(Data[],MATCH($A284,Data[Dist],0),MATCH(G$6,Data[#Headers],0))</f>
        <v>79209</v>
      </c>
      <c r="H284" s="22">
        <f>INDEX(Data[],MATCH($A284,Data[Dist],0),MATCH(H$6,Data[#Headers],0))-G284</f>
        <v>712883</v>
      </c>
      <c r="I284" s="25"/>
      <c r="J284" s="22">
        <f>INDEX(Notes!$I$2:$N$11,MATCH(Notes!$B$2,Notes!$I$2:$I$11,0),4)*$C284</f>
        <v>79209</v>
      </c>
      <c r="K284" s="22">
        <f>INDEX(Notes!$I$2:$N$11,MATCH(Notes!$B$2,Notes!$I$2:$I$11,0),5)*$D284</f>
        <v>0</v>
      </c>
      <c r="L284" s="22">
        <f>INDEX(Notes!$I$2:$N$11,MATCH(Notes!$B$2,Notes!$I$2:$I$11,0),6)*$E284</f>
        <v>0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79209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534962</v>
      </c>
      <c r="D285" s="160">
        <f>INDEX(Data[],MATCH($A285,Data[Dist],0),MATCH(D$6,Data[#Headers],0))</f>
        <v>531261</v>
      </c>
      <c r="E285" s="160">
        <f>INDEX(Data[],MATCH($A285,Data[Dist],0),MATCH(E$6,Data[#Headers],0))</f>
        <v>531261</v>
      </c>
      <c r="F285" s="160">
        <f>INDEX(Data[],MATCH($A285,Data[Dist],0),MATCH(F$6,Data[#Headers],0))</f>
        <v>531261</v>
      </c>
      <c r="G285" s="22">
        <f>INDEX(Data[],MATCH($A285,Data[Dist],0),MATCH(G$6,Data[#Headers],0))</f>
        <v>534962</v>
      </c>
      <c r="H285" s="22">
        <f>INDEX(Data[],MATCH($A285,Data[Dist],0),MATCH(H$6,Data[#Headers],0))-G285</f>
        <v>4814654</v>
      </c>
      <c r="I285" s="25"/>
      <c r="J285" s="22">
        <f>INDEX(Notes!$I$2:$N$11,MATCH(Notes!$B$2,Notes!$I$2:$I$11,0),4)*$C285</f>
        <v>534962</v>
      </c>
      <c r="K285" s="22">
        <f>INDEX(Notes!$I$2:$N$11,MATCH(Notes!$B$2,Notes!$I$2:$I$11,0),5)*$D285</f>
        <v>0</v>
      </c>
      <c r="L285" s="22">
        <f>INDEX(Notes!$I$2:$N$11,MATCH(Notes!$B$2,Notes!$I$2:$I$11,0),6)*$E285</f>
        <v>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534962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506593</v>
      </c>
      <c r="D286" s="160">
        <f>INDEX(Data[],MATCH($A286,Data[Dist],0),MATCH(D$6,Data[#Headers],0))</f>
        <v>503462</v>
      </c>
      <c r="E286" s="160">
        <f>INDEX(Data[],MATCH($A286,Data[Dist],0),MATCH(E$6,Data[#Headers],0))</f>
        <v>503462</v>
      </c>
      <c r="F286" s="160">
        <f>INDEX(Data[],MATCH($A286,Data[Dist],0),MATCH(F$6,Data[#Headers],0))</f>
        <v>503461</v>
      </c>
      <c r="G286" s="22">
        <f>INDEX(Data[],MATCH($A286,Data[Dist],0),MATCH(G$6,Data[#Headers],0))</f>
        <v>506593</v>
      </c>
      <c r="H286" s="22">
        <f>INDEX(Data[],MATCH($A286,Data[Dist],0),MATCH(H$6,Data[#Headers],0))-G286</f>
        <v>4559337</v>
      </c>
      <c r="I286" s="25"/>
      <c r="J286" s="22">
        <f>INDEX(Notes!$I$2:$N$11,MATCH(Notes!$B$2,Notes!$I$2:$I$11,0),4)*$C286</f>
        <v>506593</v>
      </c>
      <c r="K286" s="22">
        <f>INDEX(Notes!$I$2:$N$11,MATCH(Notes!$B$2,Notes!$I$2:$I$11,0),5)*$D286</f>
        <v>0</v>
      </c>
      <c r="L286" s="22">
        <f>INDEX(Notes!$I$2:$N$11,MATCH(Notes!$B$2,Notes!$I$2:$I$11,0),6)*$E286</f>
        <v>0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506593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572980</v>
      </c>
      <c r="D287" s="160">
        <f>INDEX(Data[],MATCH($A287,Data[Dist],0),MATCH(D$6,Data[#Headers],0))</f>
        <v>569621</v>
      </c>
      <c r="E287" s="160">
        <f>INDEX(Data[],MATCH($A287,Data[Dist],0),MATCH(E$6,Data[#Headers],0))</f>
        <v>569621</v>
      </c>
      <c r="F287" s="160">
        <f>INDEX(Data[],MATCH($A287,Data[Dist],0),MATCH(F$6,Data[#Headers],0))</f>
        <v>569620</v>
      </c>
      <c r="G287" s="22">
        <f>INDEX(Data[],MATCH($A287,Data[Dist],0),MATCH(G$6,Data[#Headers],0))</f>
        <v>572980</v>
      </c>
      <c r="H287" s="22">
        <f>INDEX(Data[],MATCH($A287,Data[Dist],0),MATCH(H$6,Data[#Headers],0))-G287</f>
        <v>5156820</v>
      </c>
      <c r="I287" s="25"/>
      <c r="J287" s="22">
        <f>INDEX(Notes!$I$2:$N$11,MATCH(Notes!$B$2,Notes!$I$2:$I$11,0),4)*$C287</f>
        <v>572980</v>
      </c>
      <c r="K287" s="22">
        <f>INDEX(Notes!$I$2:$N$11,MATCH(Notes!$B$2,Notes!$I$2:$I$11,0),5)*$D287</f>
        <v>0</v>
      </c>
      <c r="L287" s="22">
        <f>INDEX(Notes!$I$2:$N$11,MATCH(Notes!$B$2,Notes!$I$2:$I$11,0),6)*$E287</f>
        <v>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572980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344968</v>
      </c>
      <c r="D288" s="160">
        <f>INDEX(Data[],MATCH($A288,Data[Dist],0),MATCH(D$6,Data[#Headers],0))</f>
        <v>342628</v>
      </c>
      <c r="E288" s="160">
        <f>INDEX(Data[],MATCH($A288,Data[Dist],0),MATCH(E$6,Data[#Headers],0))</f>
        <v>342627</v>
      </c>
      <c r="F288" s="160">
        <f>INDEX(Data[],MATCH($A288,Data[Dist],0),MATCH(F$6,Data[#Headers],0))</f>
        <v>342628</v>
      </c>
      <c r="G288" s="22">
        <f>INDEX(Data[],MATCH($A288,Data[Dist],0),MATCH(G$6,Data[#Headers],0))</f>
        <v>344968</v>
      </c>
      <c r="H288" s="22">
        <f>INDEX(Data[],MATCH($A288,Data[Dist],0),MATCH(H$6,Data[#Headers],0))-G288</f>
        <v>3104712</v>
      </c>
      <c r="I288" s="25"/>
      <c r="J288" s="22">
        <f>INDEX(Notes!$I$2:$N$11,MATCH(Notes!$B$2,Notes!$I$2:$I$11,0),4)*$C288</f>
        <v>344968</v>
      </c>
      <c r="K288" s="22">
        <f>INDEX(Notes!$I$2:$N$11,MATCH(Notes!$B$2,Notes!$I$2:$I$11,0),5)*$D288</f>
        <v>0</v>
      </c>
      <c r="L288" s="22">
        <f>INDEX(Notes!$I$2:$N$11,MATCH(Notes!$B$2,Notes!$I$2:$I$11,0),6)*$E288</f>
        <v>0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344968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451020</v>
      </c>
      <c r="D289" s="160">
        <f>INDEX(Data[],MATCH($A289,Data[Dist],0),MATCH(D$6,Data[#Headers],0))</f>
        <v>448379</v>
      </c>
      <c r="E289" s="160">
        <f>INDEX(Data[],MATCH($A289,Data[Dist],0),MATCH(E$6,Data[#Headers],0))</f>
        <v>448379</v>
      </c>
      <c r="F289" s="160">
        <f>INDEX(Data[],MATCH($A289,Data[Dist],0),MATCH(F$6,Data[#Headers],0))</f>
        <v>448378</v>
      </c>
      <c r="G289" s="22">
        <f>INDEX(Data[],MATCH($A289,Data[Dist],0),MATCH(G$6,Data[#Headers],0))</f>
        <v>451020</v>
      </c>
      <c r="H289" s="22">
        <f>INDEX(Data[],MATCH($A289,Data[Dist],0),MATCH(H$6,Data[#Headers],0))-G289</f>
        <v>4059179</v>
      </c>
      <c r="I289" s="25"/>
      <c r="J289" s="22">
        <f>INDEX(Notes!$I$2:$N$11,MATCH(Notes!$B$2,Notes!$I$2:$I$11,0),4)*$C289</f>
        <v>451020</v>
      </c>
      <c r="K289" s="22">
        <f>INDEX(Notes!$I$2:$N$11,MATCH(Notes!$B$2,Notes!$I$2:$I$11,0),5)*$D289</f>
        <v>0</v>
      </c>
      <c r="L289" s="22">
        <f>INDEX(Notes!$I$2:$N$11,MATCH(Notes!$B$2,Notes!$I$2:$I$11,0),6)*$E289</f>
        <v>0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451020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180485</v>
      </c>
      <c r="D290" s="160">
        <f>INDEX(Data[],MATCH($A290,Data[Dist],0),MATCH(D$6,Data[#Headers],0))</f>
        <v>179422</v>
      </c>
      <c r="E290" s="160">
        <f>INDEX(Data[],MATCH($A290,Data[Dist],0),MATCH(E$6,Data[#Headers],0))</f>
        <v>179422</v>
      </c>
      <c r="F290" s="160">
        <f>INDEX(Data[],MATCH($A290,Data[Dist],0),MATCH(F$6,Data[#Headers],0))</f>
        <v>179420</v>
      </c>
      <c r="G290" s="22">
        <f>INDEX(Data[],MATCH($A290,Data[Dist],0),MATCH(G$6,Data[#Headers],0))</f>
        <v>180485</v>
      </c>
      <c r="H290" s="22">
        <f>INDEX(Data[],MATCH($A290,Data[Dist],0),MATCH(H$6,Data[#Headers],0))-G290</f>
        <v>1624360</v>
      </c>
      <c r="I290" s="25"/>
      <c r="J290" s="22">
        <f>INDEX(Notes!$I$2:$N$11,MATCH(Notes!$B$2,Notes!$I$2:$I$11,0),4)*$C290</f>
        <v>180485</v>
      </c>
      <c r="K290" s="22">
        <f>INDEX(Notes!$I$2:$N$11,MATCH(Notes!$B$2,Notes!$I$2:$I$11,0),5)*$D290</f>
        <v>0</v>
      </c>
      <c r="L290" s="22">
        <f>INDEX(Notes!$I$2:$N$11,MATCH(Notes!$B$2,Notes!$I$2:$I$11,0),6)*$E290</f>
        <v>0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180485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277997</v>
      </c>
      <c r="D291" s="160">
        <f>INDEX(Data[],MATCH($A291,Data[Dist],0),MATCH(D$6,Data[#Headers],0))</f>
        <v>276484</v>
      </c>
      <c r="E291" s="160">
        <f>INDEX(Data[],MATCH($A291,Data[Dist],0),MATCH(E$6,Data[#Headers],0))</f>
        <v>276484</v>
      </c>
      <c r="F291" s="160">
        <f>INDEX(Data[],MATCH($A291,Data[Dist],0),MATCH(F$6,Data[#Headers],0))</f>
        <v>276483</v>
      </c>
      <c r="G291" s="22">
        <f>INDEX(Data[],MATCH($A291,Data[Dist],0),MATCH(G$6,Data[#Headers],0))</f>
        <v>277997</v>
      </c>
      <c r="H291" s="22">
        <f>INDEX(Data[],MATCH($A291,Data[Dist],0),MATCH(H$6,Data[#Headers],0))-G291</f>
        <v>2501977</v>
      </c>
      <c r="I291" s="25"/>
      <c r="J291" s="22">
        <f>INDEX(Notes!$I$2:$N$11,MATCH(Notes!$B$2,Notes!$I$2:$I$11,0),4)*$C291</f>
        <v>277997</v>
      </c>
      <c r="K291" s="22">
        <f>INDEX(Notes!$I$2:$N$11,MATCH(Notes!$B$2,Notes!$I$2:$I$11,0),5)*$D291</f>
        <v>0</v>
      </c>
      <c r="L291" s="22">
        <f>INDEX(Notes!$I$2:$N$11,MATCH(Notes!$B$2,Notes!$I$2:$I$11,0),6)*$E291</f>
        <v>0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277997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213022</v>
      </c>
      <c r="D292" s="160">
        <f>INDEX(Data[],MATCH($A292,Data[Dist],0),MATCH(D$6,Data[#Headers],0))</f>
        <v>211612</v>
      </c>
      <c r="E292" s="160">
        <f>INDEX(Data[],MATCH($A292,Data[Dist],0),MATCH(E$6,Data[#Headers],0))</f>
        <v>211612</v>
      </c>
      <c r="F292" s="160">
        <f>INDEX(Data[],MATCH($A292,Data[Dist],0),MATCH(F$6,Data[#Headers],0))</f>
        <v>211611</v>
      </c>
      <c r="G292" s="22">
        <f>INDEX(Data[],MATCH($A292,Data[Dist],0),MATCH(G$6,Data[#Headers],0))</f>
        <v>213022</v>
      </c>
      <c r="H292" s="22">
        <f>INDEX(Data[],MATCH($A292,Data[Dist],0),MATCH(H$6,Data[#Headers],0))-G292</f>
        <v>1917198</v>
      </c>
      <c r="I292" s="25"/>
      <c r="J292" s="22">
        <f>INDEX(Notes!$I$2:$N$11,MATCH(Notes!$B$2,Notes!$I$2:$I$11,0),4)*$C292</f>
        <v>213022</v>
      </c>
      <c r="K292" s="22">
        <f>INDEX(Notes!$I$2:$N$11,MATCH(Notes!$B$2,Notes!$I$2:$I$11,0),5)*$D292</f>
        <v>0</v>
      </c>
      <c r="L292" s="22">
        <f>INDEX(Notes!$I$2:$N$11,MATCH(Notes!$B$2,Notes!$I$2:$I$11,0),6)*$E292</f>
        <v>0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213022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241615</v>
      </c>
      <c r="D293" s="160">
        <f>INDEX(Data[],MATCH($A293,Data[Dist],0),MATCH(D$6,Data[#Headers],0))</f>
        <v>240358</v>
      </c>
      <c r="E293" s="160">
        <f>INDEX(Data[],MATCH($A293,Data[Dist],0),MATCH(E$6,Data[#Headers],0))</f>
        <v>240357</v>
      </c>
      <c r="F293" s="160">
        <f>INDEX(Data[],MATCH($A293,Data[Dist],0),MATCH(F$6,Data[#Headers],0))</f>
        <v>240358</v>
      </c>
      <c r="G293" s="22">
        <f>INDEX(Data[],MATCH($A293,Data[Dist],0),MATCH(G$6,Data[#Headers],0))</f>
        <v>241615</v>
      </c>
      <c r="H293" s="22">
        <f>INDEX(Data[],MATCH($A293,Data[Dist],0),MATCH(H$6,Data[#Headers],0))-G293</f>
        <v>2174539</v>
      </c>
      <c r="I293" s="25"/>
      <c r="J293" s="22">
        <f>INDEX(Notes!$I$2:$N$11,MATCH(Notes!$B$2,Notes!$I$2:$I$11,0),4)*$C293</f>
        <v>241615</v>
      </c>
      <c r="K293" s="22">
        <f>INDEX(Notes!$I$2:$N$11,MATCH(Notes!$B$2,Notes!$I$2:$I$11,0),5)*$D293</f>
        <v>0</v>
      </c>
      <c r="L293" s="22">
        <f>INDEX(Notes!$I$2:$N$11,MATCH(Notes!$B$2,Notes!$I$2:$I$11,0),6)*$E293</f>
        <v>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241615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76728</v>
      </c>
      <c r="D294" s="160">
        <f>INDEX(Data[],MATCH($A294,Data[Dist],0),MATCH(D$6,Data[#Headers],0))</f>
        <v>76090</v>
      </c>
      <c r="E294" s="160">
        <f>INDEX(Data[],MATCH($A294,Data[Dist],0),MATCH(E$6,Data[#Headers],0))</f>
        <v>76090</v>
      </c>
      <c r="F294" s="160">
        <f>INDEX(Data[],MATCH($A294,Data[Dist],0),MATCH(F$6,Data[#Headers],0))</f>
        <v>76090</v>
      </c>
      <c r="G294" s="22">
        <f>INDEX(Data[],MATCH($A294,Data[Dist],0),MATCH(G$6,Data[#Headers],0))</f>
        <v>76728</v>
      </c>
      <c r="H294" s="22">
        <f>INDEX(Data[],MATCH($A294,Data[Dist],0),MATCH(H$6,Data[#Headers],0))-G294</f>
        <v>690548</v>
      </c>
      <c r="I294" s="25"/>
      <c r="J294" s="22">
        <f>INDEX(Notes!$I$2:$N$11,MATCH(Notes!$B$2,Notes!$I$2:$I$11,0),4)*$C294</f>
        <v>76728</v>
      </c>
      <c r="K294" s="22">
        <f>INDEX(Notes!$I$2:$N$11,MATCH(Notes!$B$2,Notes!$I$2:$I$11,0),5)*$D294</f>
        <v>0</v>
      </c>
      <c r="L294" s="22">
        <f>INDEX(Notes!$I$2:$N$11,MATCH(Notes!$B$2,Notes!$I$2:$I$11,0),6)*$E294</f>
        <v>0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76728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500062</v>
      </c>
      <c r="D295" s="160">
        <f>INDEX(Data[],MATCH($A295,Data[Dist],0),MATCH(D$6,Data[#Headers],0))</f>
        <v>497032</v>
      </c>
      <c r="E295" s="160">
        <f>INDEX(Data[],MATCH($A295,Data[Dist],0),MATCH(E$6,Data[#Headers],0))</f>
        <v>497032</v>
      </c>
      <c r="F295" s="160">
        <f>INDEX(Data[],MATCH($A295,Data[Dist],0),MATCH(F$6,Data[#Headers],0))</f>
        <v>497031</v>
      </c>
      <c r="G295" s="22">
        <f>INDEX(Data[],MATCH($A295,Data[Dist],0),MATCH(G$6,Data[#Headers],0))</f>
        <v>500062</v>
      </c>
      <c r="H295" s="22">
        <f>INDEX(Data[],MATCH($A295,Data[Dist],0),MATCH(H$6,Data[#Headers],0))-G295</f>
        <v>4500553</v>
      </c>
      <c r="I295" s="25"/>
      <c r="J295" s="22">
        <f>INDEX(Notes!$I$2:$N$11,MATCH(Notes!$B$2,Notes!$I$2:$I$11,0),4)*$C295</f>
        <v>500062</v>
      </c>
      <c r="K295" s="22">
        <f>INDEX(Notes!$I$2:$N$11,MATCH(Notes!$B$2,Notes!$I$2:$I$11,0),5)*$D295</f>
        <v>0</v>
      </c>
      <c r="L295" s="22">
        <f>INDEX(Notes!$I$2:$N$11,MATCH(Notes!$B$2,Notes!$I$2:$I$11,0),6)*$E295</f>
        <v>0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500062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150054</v>
      </c>
      <c r="D296" s="160">
        <f>INDEX(Data[],MATCH($A296,Data[Dist],0),MATCH(D$6,Data[#Headers],0))</f>
        <v>148577</v>
      </c>
      <c r="E296" s="160">
        <f>INDEX(Data[],MATCH($A296,Data[Dist],0),MATCH(E$6,Data[#Headers],0))</f>
        <v>148577</v>
      </c>
      <c r="F296" s="160">
        <f>INDEX(Data[],MATCH($A296,Data[Dist],0),MATCH(F$6,Data[#Headers],0))</f>
        <v>148576</v>
      </c>
      <c r="G296" s="22">
        <f>INDEX(Data[],MATCH($A296,Data[Dist],0),MATCH(G$6,Data[#Headers],0))</f>
        <v>150054</v>
      </c>
      <c r="H296" s="22">
        <f>INDEX(Data[],MATCH($A296,Data[Dist],0),MATCH(H$6,Data[#Headers],0))-G296</f>
        <v>1350490</v>
      </c>
      <c r="I296" s="25"/>
      <c r="J296" s="22">
        <f>INDEX(Notes!$I$2:$N$11,MATCH(Notes!$B$2,Notes!$I$2:$I$11,0),4)*$C296</f>
        <v>150054</v>
      </c>
      <c r="K296" s="22">
        <f>INDEX(Notes!$I$2:$N$11,MATCH(Notes!$B$2,Notes!$I$2:$I$11,0),5)*$D296</f>
        <v>0</v>
      </c>
      <c r="L296" s="22">
        <f>INDEX(Notes!$I$2:$N$11,MATCH(Notes!$B$2,Notes!$I$2:$I$11,0),6)*$E296</f>
        <v>0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150054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2260695</v>
      </c>
      <c r="D297" s="160">
        <f>INDEX(Data[],MATCH($A297,Data[Dist],0),MATCH(D$6,Data[#Headers],0))</f>
        <v>2247138</v>
      </c>
      <c r="E297" s="160">
        <f>INDEX(Data[],MATCH($A297,Data[Dist],0),MATCH(E$6,Data[#Headers],0))</f>
        <v>2247138</v>
      </c>
      <c r="F297" s="160">
        <f>INDEX(Data[],MATCH($A297,Data[Dist],0),MATCH(F$6,Data[#Headers],0))</f>
        <v>2247136</v>
      </c>
      <c r="G297" s="22">
        <f>INDEX(Data[],MATCH($A297,Data[Dist],0),MATCH(G$6,Data[#Headers],0))</f>
        <v>2260695</v>
      </c>
      <c r="H297" s="22">
        <f>INDEX(Data[],MATCH($A297,Data[Dist],0),MATCH(H$6,Data[#Headers],0))-G297</f>
        <v>20346255</v>
      </c>
      <c r="I297" s="25"/>
      <c r="J297" s="22">
        <f>INDEX(Notes!$I$2:$N$11,MATCH(Notes!$B$2,Notes!$I$2:$I$11,0),4)*$C297</f>
        <v>2260695</v>
      </c>
      <c r="K297" s="22">
        <f>INDEX(Notes!$I$2:$N$11,MATCH(Notes!$B$2,Notes!$I$2:$I$11,0),5)*$D297</f>
        <v>0</v>
      </c>
      <c r="L297" s="22">
        <f>INDEX(Notes!$I$2:$N$11,MATCH(Notes!$B$2,Notes!$I$2:$I$11,0),6)*$E297</f>
        <v>0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2260695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642749</v>
      </c>
      <c r="D298" s="160">
        <f>INDEX(Data[],MATCH($A298,Data[Dist],0),MATCH(D$6,Data[#Headers],0))</f>
        <v>638936</v>
      </c>
      <c r="E298" s="160">
        <f>INDEX(Data[],MATCH($A298,Data[Dist],0),MATCH(E$6,Data[#Headers],0))</f>
        <v>638936</v>
      </c>
      <c r="F298" s="160">
        <f>INDEX(Data[],MATCH($A298,Data[Dist],0),MATCH(F$6,Data[#Headers],0))</f>
        <v>638934</v>
      </c>
      <c r="G298" s="22">
        <f>INDEX(Data[],MATCH($A298,Data[Dist],0),MATCH(G$6,Data[#Headers],0))</f>
        <v>642749</v>
      </c>
      <c r="H298" s="22">
        <f>INDEX(Data[],MATCH($A298,Data[Dist],0),MATCH(H$6,Data[#Headers],0))-G298</f>
        <v>5784738</v>
      </c>
      <c r="I298" s="25"/>
      <c r="J298" s="22">
        <f>INDEX(Notes!$I$2:$N$11,MATCH(Notes!$B$2,Notes!$I$2:$I$11,0),4)*$C298</f>
        <v>642749</v>
      </c>
      <c r="K298" s="22">
        <f>INDEX(Notes!$I$2:$N$11,MATCH(Notes!$B$2,Notes!$I$2:$I$11,0),5)*$D298</f>
        <v>0</v>
      </c>
      <c r="L298" s="22">
        <f>INDEX(Notes!$I$2:$N$11,MATCH(Notes!$B$2,Notes!$I$2:$I$11,0),6)*$E298</f>
        <v>0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642749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577832</v>
      </c>
      <c r="D299" s="160">
        <f>INDEX(Data[],MATCH($A299,Data[Dist],0),MATCH(D$6,Data[#Headers],0))</f>
        <v>574434</v>
      </c>
      <c r="E299" s="160">
        <f>INDEX(Data[],MATCH($A299,Data[Dist],0),MATCH(E$6,Data[#Headers],0))</f>
        <v>574433</v>
      </c>
      <c r="F299" s="160">
        <f>INDEX(Data[],MATCH($A299,Data[Dist],0),MATCH(F$6,Data[#Headers],0))</f>
        <v>574434</v>
      </c>
      <c r="G299" s="22">
        <f>INDEX(Data[],MATCH($A299,Data[Dist],0),MATCH(G$6,Data[#Headers],0))</f>
        <v>577832</v>
      </c>
      <c r="H299" s="22">
        <f>INDEX(Data[],MATCH($A299,Data[Dist],0),MATCH(H$6,Data[#Headers],0))-G299</f>
        <v>5200489</v>
      </c>
      <c r="I299" s="25"/>
      <c r="J299" s="22">
        <f>INDEX(Notes!$I$2:$N$11,MATCH(Notes!$B$2,Notes!$I$2:$I$11,0),4)*$C299</f>
        <v>577832</v>
      </c>
      <c r="K299" s="22">
        <f>INDEX(Notes!$I$2:$N$11,MATCH(Notes!$B$2,Notes!$I$2:$I$11,0),5)*$D299</f>
        <v>0</v>
      </c>
      <c r="L299" s="22">
        <f>INDEX(Notes!$I$2:$N$11,MATCH(Notes!$B$2,Notes!$I$2:$I$11,0),6)*$E299</f>
        <v>0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577832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172370</v>
      </c>
      <c r="D300" s="160">
        <f>INDEX(Data[],MATCH($A300,Data[Dist],0),MATCH(D$6,Data[#Headers],0))</f>
        <v>171258</v>
      </c>
      <c r="E300" s="160">
        <f>INDEX(Data[],MATCH($A300,Data[Dist],0),MATCH(E$6,Data[#Headers],0))</f>
        <v>171257</v>
      </c>
      <c r="F300" s="160">
        <f>INDEX(Data[],MATCH($A300,Data[Dist],0),MATCH(F$6,Data[#Headers],0))</f>
        <v>171258</v>
      </c>
      <c r="G300" s="22">
        <f>INDEX(Data[],MATCH($A300,Data[Dist],0),MATCH(G$6,Data[#Headers],0))</f>
        <v>172370</v>
      </c>
      <c r="H300" s="22">
        <f>INDEX(Data[],MATCH($A300,Data[Dist],0),MATCH(H$6,Data[#Headers],0))-G300</f>
        <v>1551330</v>
      </c>
      <c r="I300" s="25"/>
      <c r="J300" s="22">
        <f>INDEX(Notes!$I$2:$N$11,MATCH(Notes!$B$2,Notes!$I$2:$I$11,0),4)*$C300</f>
        <v>172370</v>
      </c>
      <c r="K300" s="22">
        <f>INDEX(Notes!$I$2:$N$11,MATCH(Notes!$B$2,Notes!$I$2:$I$11,0),5)*$D300</f>
        <v>0</v>
      </c>
      <c r="L300" s="22">
        <f>INDEX(Notes!$I$2:$N$11,MATCH(Notes!$B$2,Notes!$I$2:$I$11,0),6)*$E300</f>
        <v>0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172370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1122127</v>
      </c>
      <c r="D301" s="160">
        <f>INDEX(Data[],MATCH($A301,Data[Dist],0),MATCH(D$6,Data[#Headers],0))</f>
        <v>1115724</v>
      </c>
      <c r="E301" s="160">
        <f>INDEX(Data[],MATCH($A301,Data[Dist],0),MATCH(E$6,Data[#Headers],0))</f>
        <v>1115724</v>
      </c>
      <c r="F301" s="160">
        <f>INDEX(Data[],MATCH($A301,Data[Dist],0),MATCH(F$6,Data[#Headers],0))</f>
        <v>1115723</v>
      </c>
      <c r="G301" s="22">
        <f>INDEX(Data[],MATCH($A301,Data[Dist],0),MATCH(G$6,Data[#Headers],0))</f>
        <v>1122127</v>
      </c>
      <c r="H301" s="22">
        <f>INDEX(Data[],MATCH($A301,Data[Dist],0),MATCH(H$6,Data[#Headers],0))-G301</f>
        <v>10099138</v>
      </c>
      <c r="I301" s="25"/>
      <c r="J301" s="22">
        <f>INDEX(Notes!$I$2:$N$11,MATCH(Notes!$B$2,Notes!$I$2:$I$11,0),4)*$C301</f>
        <v>1122127</v>
      </c>
      <c r="K301" s="22">
        <f>INDEX(Notes!$I$2:$N$11,MATCH(Notes!$B$2,Notes!$I$2:$I$11,0),5)*$D301</f>
        <v>0</v>
      </c>
      <c r="L301" s="22">
        <f>INDEX(Notes!$I$2:$N$11,MATCH(Notes!$B$2,Notes!$I$2:$I$11,0),6)*$E301</f>
        <v>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1122127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355078</v>
      </c>
      <c r="D302" s="160">
        <f>INDEX(Data[],MATCH($A302,Data[Dist],0),MATCH(D$6,Data[#Headers],0))</f>
        <v>353189</v>
      </c>
      <c r="E302" s="160">
        <f>INDEX(Data[],MATCH($A302,Data[Dist],0),MATCH(E$6,Data[#Headers],0))</f>
        <v>353189</v>
      </c>
      <c r="F302" s="160">
        <f>INDEX(Data[],MATCH($A302,Data[Dist],0),MATCH(F$6,Data[#Headers],0))</f>
        <v>353189</v>
      </c>
      <c r="G302" s="22">
        <f>INDEX(Data[],MATCH($A302,Data[Dist],0),MATCH(G$6,Data[#Headers],0))</f>
        <v>355078</v>
      </c>
      <c r="H302" s="22">
        <f>INDEX(Data[],MATCH($A302,Data[Dist],0),MATCH(H$6,Data[#Headers],0))-G302</f>
        <v>3195698</v>
      </c>
      <c r="I302" s="25"/>
      <c r="J302" s="22">
        <f>INDEX(Notes!$I$2:$N$11,MATCH(Notes!$B$2,Notes!$I$2:$I$11,0),4)*$C302</f>
        <v>355078</v>
      </c>
      <c r="K302" s="22">
        <f>INDEX(Notes!$I$2:$N$11,MATCH(Notes!$B$2,Notes!$I$2:$I$11,0),5)*$D302</f>
        <v>0</v>
      </c>
      <c r="L302" s="22">
        <f>INDEX(Notes!$I$2:$N$11,MATCH(Notes!$B$2,Notes!$I$2:$I$11,0),6)*$E302</f>
        <v>0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355078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462266</v>
      </c>
      <c r="D303" s="160">
        <f>INDEX(Data[],MATCH($A303,Data[Dist],0),MATCH(D$6,Data[#Headers],0))</f>
        <v>459061</v>
      </c>
      <c r="E303" s="160">
        <f>INDEX(Data[],MATCH($A303,Data[Dist],0),MATCH(E$6,Data[#Headers],0))</f>
        <v>459062</v>
      </c>
      <c r="F303" s="160">
        <f>INDEX(Data[],MATCH($A303,Data[Dist],0),MATCH(F$6,Data[#Headers],0))</f>
        <v>459060</v>
      </c>
      <c r="G303" s="22">
        <f>INDEX(Data[],MATCH($A303,Data[Dist],0),MATCH(G$6,Data[#Headers],0))</f>
        <v>462266</v>
      </c>
      <c r="H303" s="22">
        <f>INDEX(Data[],MATCH($A303,Data[Dist],0),MATCH(H$6,Data[#Headers],0))-G303</f>
        <v>4160392</v>
      </c>
      <c r="I303" s="25"/>
      <c r="J303" s="22">
        <f>INDEX(Notes!$I$2:$N$11,MATCH(Notes!$B$2,Notes!$I$2:$I$11,0),4)*$C303</f>
        <v>462266</v>
      </c>
      <c r="K303" s="22">
        <f>INDEX(Notes!$I$2:$N$11,MATCH(Notes!$B$2,Notes!$I$2:$I$11,0),5)*$D303</f>
        <v>0</v>
      </c>
      <c r="L303" s="22">
        <f>INDEX(Notes!$I$2:$N$11,MATCH(Notes!$B$2,Notes!$I$2:$I$11,0),6)*$E303</f>
        <v>0</v>
      </c>
      <c r="M303" s="22">
        <f>IF(Notes!$B$2="June",'Payment Total'!$F303,0)</f>
        <v>0</v>
      </c>
      <c r="N303" s="22">
        <f>SUM(J303:M303)-G303</f>
        <v>0</v>
      </c>
      <c r="P303" s="26" t="s">
        <v>1133</v>
      </c>
      <c r="Q303" s="26">
        <v>462266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361303</v>
      </c>
      <c r="D304" s="160">
        <f>INDEX(Data[],MATCH($A304,Data[Dist],0),MATCH(D$6,Data[#Headers],0))</f>
        <v>359150</v>
      </c>
      <c r="E304" s="160">
        <f>INDEX(Data[],MATCH($A304,Data[Dist],0),MATCH(E$6,Data[#Headers],0))</f>
        <v>359150</v>
      </c>
      <c r="F304" s="160">
        <f>INDEX(Data[],MATCH($A304,Data[Dist],0),MATCH(F$6,Data[#Headers],0))</f>
        <v>359148</v>
      </c>
      <c r="G304" s="22">
        <f>INDEX(Data[],MATCH($A304,Data[Dist],0),MATCH(G$6,Data[#Headers],0))</f>
        <v>361303</v>
      </c>
      <c r="H304" s="22">
        <f>INDEX(Data[],MATCH($A304,Data[Dist],0),MATCH(H$6,Data[#Headers],0))-G304</f>
        <v>3251731</v>
      </c>
      <c r="I304" s="25"/>
      <c r="J304" s="22">
        <f>INDEX(Notes!$I$2:$N$11,MATCH(Notes!$B$2,Notes!$I$2:$I$11,0),4)*$C304</f>
        <v>361303</v>
      </c>
      <c r="K304" s="22">
        <f>INDEX(Notes!$I$2:$N$11,MATCH(Notes!$B$2,Notes!$I$2:$I$11,0),5)*$D304</f>
        <v>0</v>
      </c>
      <c r="L304" s="22">
        <f>INDEX(Notes!$I$2:$N$11,MATCH(Notes!$B$2,Notes!$I$2:$I$11,0),6)*$E304</f>
        <v>0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361303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465815</v>
      </c>
      <c r="D305" s="160">
        <f>INDEX(Data[],MATCH($A305,Data[Dist],0),MATCH(D$6,Data[#Headers],0))</f>
        <v>463149</v>
      </c>
      <c r="E305" s="160">
        <f>INDEX(Data[],MATCH($A305,Data[Dist],0),MATCH(E$6,Data[#Headers],0))</f>
        <v>463149</v>
      </c>
      <c r="F305" s="160">
        <f>INDEX(Data[],MATCH($A305,Data[Dist],0),MATCH(F$6,Data[#Headers],0))</f>
        <v>463149</v>
      </c>
      <c r="G305" s="22">
        <f>INDEX(Data[],MATCH($A305,Data[Dist],0),MATCH(G$6,Data[#Headers],0))</f>
        <v>465815</v>
      </c>
      <c r="H305" s="22">
        <f>INDEX(Data[],MATCH($A305,Data[Dist],0),MATCH(H$6,Data[#Headers],0))-G305</f>
        <v>4192339</v>
      </c>
      <c r="I305" s="25"/>
      <c r="J305" s="22">
        <f>INDEX(Notes!$I$2:$N$11,MATCH(Notes!$B$2,Notes!$I$2:$I$11,0),4)*$C305</f>
        <v>465815</v>
      </c>
      <c r="K305" s="22">
        <f>INDEX(Notes!$I$2:$N$11,MATCH(Notes!$B$2,Notes!$I$2:$I$11,0),5)*$D305</f>
        <v>0</v>
      </c>
      <c r="L305" s="22">
        <f>INDEX(Notes!$I$2:$N$11,MATCH(Notes!$B$2,Notes!$I$2:$I$11,0),6)*$E305</f>
        <v>0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465815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1196999</v>
      </c>
      <c r="D306" s="160">
        <f>INDEX(Data[],MATCH($A306,Data[Dist],0),MATCH(D$6,Data[#Headers],0))</f>
        <v>1190596</v>
      </c>
      <c r="E306" s="160">
        <f>INDEX(Data[],MATCH($A306,Data[Dist],0),MATCH(E$6,Data[#Headers],0))</f>
        <v>1190596</v>
      </c>
      <c r="F306" s="160">
        <f>INDEX(Data[],MATCH($A306,Data[Dist],0),MATCH(F$6,Data[#Headers],0))</f>
        <v>1190597</v>
      </c>
      <c r="G306" s="22">
        <f>INDEX(Data[],MATCH($A306,Data[Dist],0),MATCH(G$6,Data[#Headers],0))</f>
        <v>1196999</v>
      </c>
      <c r="H306" s="22">
        <f>INDEX(Data[],MATCH($A306,Data[Dist],0),MATCH(H$6,Data[#Headers],0))-G306</f>
        <v>10772988</v>
      </c>
      <c r="I306" s="25"/>
      <c r="J306" s="22">
        <f>INDEX(Notes!$I$2:$N$11,MATCH(Notes!$B$2,Notes!$I$2:$I$11,0),4)*$C306</f>
        <v>1196999</v>
      </c>
      <c r="K306" s="22">
        <f>INDEX(Notes!$I$2:$N$11,MATCH(Notes!$B$2,Notes!$I$2:$I$11,0),5)*$D306</f>
        <v>0</v>
      </c>
      <c r="L306" s="22">
        <f>INDEX(Notes!$I$2:$N$11,MATCH(Notes!$B$2,Notes!$I$2:$I$11,0),6)*$E306</f>
        <v>0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1196999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8873660</v>
      </c>
      <c r="D307" s="160">
        <f>INDEX(Data[],MATCH($A307,Data[Dist],0),MATCH(D$6,Data[#Headers],0))</f>
        <v>8831380</v>
      </c>
      <c r="E307" s="160">
        <f>INDEX(Data[],MATCH($A307,Data[Dist],0),MATCH(E$6,Data[#Headers],0))</f>
        <v>8831380</v>
      </c>
      <c r="F307" s="160">
        <f>INDEX(Data[],MATCH($A307,Data[Dist],0),MATCH(F$6,Data[#Headers],0))</f>
        <v>8831379</v>
      </c>
      <c r="G307" s="22">
        <f>INDEX(Data[],MATCH($A307,Data[Dist],0),MATCH(G$6,Data[#Headers],0))</f>
        <v>8873660</v>
      </c>
      <c r="H307" s="22">
        <f>INDEX(Data[],MATCH($A307,Data[Dist],0),MATCH(H$6,Data[#Headers],0))-G307</f>
        <v>79862944</v>
      </c>
      <c r="I307" s="25"/>
      <c r="J307" s="22">
        <f>INDEX(Notes!$I$2:$N$11,MATCH(Notes!$B$2,Notes!$I$2:$I$11,0),4)*$C307</f>
        <v>8873660</v>
      </c>
      <c r="K307" s="22">
        <f>INDEX(Notes!$I$2:$N$11,MATCH(Notes!$B$2,Notes!$I$2:$I$11,0),5)*$D307</f>
        <v>0</v>
      </c>
      <c r="L307" s="22">
        <f>INDEX(Notes!$I$2:$N$11,MATCH(Notes!$B$2,Notes!$I$2:$I$11,0),6)*$E307</f>
        <v>0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8873660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7749843</v>
      </c>
      <c r="D308" s="160">
        <f>INDEX(Data[],MATCH($A308,Data[Dist],0),MATCH(D$6,Data[#Headers],0))</f>
        <v>7699898</v>
      </c>
      <c r="E308" s="160">
        <f>INDEX(Data[],MATCH($A308,Data[Dist],0),MATCH(E$6,Data[#Headers],0))</f>
        <v>7699898</v>
      </c>
      <c r="F308" s="160">
        <f>INDEX(Data[],MATCH($A308,Data[Dist],0),MATCH(F$6,Data[#Headers],0))</f>
        <v>7699899</v>
      </c>
      <c r="G308" s="22">
        <f>INDEX(Data[],MATCH($A308,Data[Dist],0),MATCH(G$6,Data[#Headers],0))</f>
        <v>7749843</v>
      </c>
      <c r="H308" s="22">
        <f>INDEX(Data[],MATCH($A308,Data[Dist],0),MATCH(H$6,Data[#Headers],0))-G308</f>
        <v>69748588</v>
      </c>
      <c r="I308" s="25"/>
      <c r="J308" s="22">
        <f>INDEX(Notes!$I$2:$N$11,MATCH(Notes!$B$2,Notes!$I$2:$I$11,0),4)*$C308</f>
        <v>7749843</v>
      </c>
      <c r="K308" s="22">
        <f>INDEX(Notes!$I$2:$N$11,MATCH(Notes!$B$2,Notes!$I$2:$I$11,0),5)*$D308</f>
        <v>0</v>
      </c>
      <c r="L308" s="22">
        <f>INDEX(Notes!$I$2:$N$11,MATCH(Notes!$B$2,Notes!$I$2:$I$11,0),6)*$E308</f>
        <v>0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7749843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1472099</v>
      </c>
      <c r="D309" s="160">
        <f>INDEX(Data[],MATCH($A309,Data[Dist],0),MATCH(D$6,Data[#Headers],0))</f>
        <v>1463516</v>
      </c>
      <c r="E309" s="160">
        <f>INDEX(Data[],MATCH($A309,Data[Dist],0),MATCH(E$6,Data[#Headers],0))</f>
        <v>1463516</v>
      </c>
      <c r="F309" s="160">
        <f>INDEX(Data[],MATCH($A309,Data[Dist],0),MATCH(F$6,Data[#Headers],0))</f>
        <v>1463515</v>
      </c>
      <c r="G309" s="22">
        <f>INDEX(Data[],MATCH($A309,Data[Dist],0),MATCH(G$6,Data[#Headers],0))</f>
        <v>1472099</v>
      </c>
      <c r="H309" s="22">
        <f>INDEX(Data[],MATCH($A309,Data[Dist],0),MATCH(H$6,Data[#Headers],0))-G309</f>
        <v>13248894</v>
      </c>
      <c r="I309" s="25"/>
      <c r="J309" s="22">
        <f>INDEX(Notes!$I$2:$N$11,MATCH(Notes!$B$2,Notes!$I$2:$I$11,0),4)*$C309</f>
        <v>1472099</v>
      </c>
      <c r="K309" s="22">
        <f>INDEX(Notes!$I$2:$N$11,MATCH(Notes!$B$2,Notes!$I$2:$I$11,0),5)*$D309</f>
        <v>0</v>
      </c>
      <c r="L309" s="22">
        <f>INDEX(Notes!$I$2:$N$11,MATCH(Notes!$B$2,Notes!$I$2:$I$11,0),6)*$E309</f>
        <v>0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1472099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364216</v>
      </c>
      <c r="D310" s="160">
        <f>INDEX(Data[],MATCH($A310,Data[Dist],0),MATCH(D$6,Data[#Headers],0))</f>
        <v>361934</v>
      </c>
      <c r="E310" s="160">
        <f>INDEX(Data[],MATCH($A310,Data[Dist],0),MATCH(E$6,Data[#Headers],0))</f>
        <v>361935</v>
      </c>
      <c r="F310" s="160">
        <f>INDEX(Data[],MATCH($A310,Data[Dist],0),MATCH(F$6,Data[#Headers],0))</f>
        <v>361933</v>
      </c>
      <c r="G310" s="22">
        <f>INDEX(Data[],MATCH($A310,Data[Dist],0),MATCH(G$6,Data[#Headers],0))</f>
        <v>364216</v>
      </c>
      <c r="H310" s="22">
        <f>INDEX(Data[],MATCH($A310,Data[Dist],0),MATCH(H$6,Data[#Headers],0))-G310</f>
        <v>3277946</v>
      </c>
      <c r="I310" s="25"/>
      <c r="J310" s="22">
        <f>INDEX(Notes!$I$2:$N$11,MATCH(Notes!$B$2,Notes!$I$2:$I$11,0),4)*$C310</f>
        <v>364216</v>
      </c>
      <c r="K310" s="22">
        <f>INDEX(Notes!$I$2:$N$11,MATCH(Notes!$B$2,Notes!$I$2:$I$11,0),5)*$D310</f>
        <v>0</v>
      </c>
      <c r="L310" s="22">
        <f>INDEX(Notes!$I$2:$N$11,MATCH(Notes!$B$2,Notes!$I$2:$I$11,0),6)*$E310</f>
        <v>0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364216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1268690</v>
      </c>
      <c r="D311" s="160">
        <f>INDEX(Data[],MATCH($A311,Data[Dist],0),MATCH(D$6,Data[#Headers],0))</f>
        <v>1261708</v>
      </c>
      <c r="E311" s="160">
        <f>INDEX(Data[],MATCH($A311,Data[Dist],0),MATCH(E$6,Data[#Headers],0))</f>
        <v>1261708</v>
      </c>
      <c r="F311" s="160">
        <f>INDEX(Data[],MATCH($A311,Data[Dist],0),MATCH(F$6,Data[#Headers],0))</f>
        <v>1261709</v>
      </c>
      <c r="G311" s="22">
        <f>INDEX(Data[],MATCH($A311,Data[Dist],0),MATCH(G$6,Data[#Headers],0))</f>
        <v>1268690</v>
      </c>
      <c r="H311" s="22">
        <f>INDEX(Data[],MATCH($A311,Data[Dist],0),MATCH(H$6,Data[#Headers],0))-G311</f>
        <v>11418206</v>
      </c>
      <c r="I311" s="25"/>
      <c r="J311" s="22">
        <f>INDEX(Notes!$I$2:$N$11,MATCH(Notes!$B$2,Notes!$I$2:$I$11,0),4)*$C311</f>
        <v>1268690</v>
      </c>
      <c r="K311" s="22">
        <f>INDEX(Notes!$I$2:$N$11,MATCH(Notes!$B$2,Notes!$I$2:$I$11,0),5)*$D311</f>
        <v>0</v>
      </c>
      <c r="L311" s="22">
        <f>INDEX(Notes!$I$2:$N$11,MATCH(Notes!$B$2,Notes!$I$2:$I$11,0),6)*$E311</f>
        <v>0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1268690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164727</v>
      </c>
      <c r="D312" s="160">
        <f>INDEX(Data[],MATCH($A312,Data[Dist],0),MATCH(D$6,Data[#Headers],0))</f>
        <v>163468</v>
      </c>
      <c r="E312" s="160">
        <f>INDEX(Data[],MATCH($A312,Data[Dist],0),MATCH(E$6,Data[#Headers],0))</f>
        <v>163468</v>
      </c>
      <c r="F312" s="160">
        <f>INDEX(Data[],MATCH($A312,Data[Dist],0),MATCH(F$6,Data[#Headers],0))</f>
        <v>163467</v>
      </c>
      <c r="G312" s="22">
        <f>INDEX(Data[],MATCH($A312,Data[Dist],0),MATCH(G$6,Data[#Headers],0))</f>
        <v>164727</v>
      </c>
      <c r="H312" s="22">
        <f>INDEX(Data[],MATCH($A312,Data[Dist],0),MATCH(H$6,Data[#Headers],0))-G312</f>
        <v>1482542</v>
      </c>
      <c r="I312" s="25"/>
      <c r="J312" s="22">
        <f>INDEX(Notes!$I$2:$N$11,MATCH(Notes!$B$2,Notes!$I$2:$I$11,0),4)*$C312</f>
        <v>164727</v>
      </c>
      <c r="K312" s="22">
        <f>INDEX(Notes!$I$2:$N$11,MATCH(Notes!$B$2,Notes!$I$2:$I$11,0),5)*$D312</f>
        <v>0</v>
      </c>
      <c r="L312" s="22">
        <f>INDEX(Notes!$I$2:$N$11,MATCH(Notes!$B$2,Notes!$I$2:$I$11,0),6)*$E312</f>
        <v>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164727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450586</v>
      </c>
      <c r="D313" s="160">
        <f>INDEX(Data[],MATCH($A313,Data[Dist],0),MATCH(D$6,Data[#Headers],0))</f>
        <v>447539</v>
      </c>
      <c r="E313" s="160">
        <f>INDEX(Data[],MATCH($A313,Data[Dist],0),MATCH(E$6,Data[#Headers],0))</f>
        <v>447539</v>
      </c>
      <c r="F313" s="160">
        <f>INDEX(Data[],MATCH($A313,Data[Dist],0),MATCH(F$6,Data[#Headers],0))</f>
        <v>447540</v>
      </c>
      <c r="G313" s="22">
        <f>INDEX(Data[],MATCH($A313,Data[Dist],0),MATCH(G$6,Data[#Headers],0))</f>
        <v>450586</v>
      </c>
      <c r="H313" s="22">
        <f>INDEX(Data[],MATCH($A313,Data[Dist],0),MATCH(H$6,Data[#Headers],0))-G313</f>
        <v>4055269</v>
      </c>
      <c r="I313" s="25"/>
      <c r="J313" s="22">
        <f>INDEX(Notes!$I$2:$N$11,MATCH(Notes!$B$2,Notes!$I$2:$I$11,0),4)*$C313</f>
        <v>450586</v>
      </c>
      <c r="K313" s="22">
        <f>INDEX(Notes!$I$2:$N$11,MATCH(Notes!$B$2,Notes!$I$2:$I$11,0),5)*$D313</f>
        <v>0</v>
      </c>
      <c r="L313" s="22">
        <f>INDEX(Notes!$I$2:$N$11,MATCH(Notes!$B$2,Notes!$I$2:$I$11,0),6)*$E313</f>
        <v>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450586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292633</v>
      </c>
      <c r="D314" s="160">
        <f>INDEX(Data[],MATCH($A314,Data[Dist],0),MATCH(D$6,Data[#Headers],0))</f>
        <v>290947</v>
      </c>
      <c r="E314" s="160">
        <f>INDEX(Data[],MATCH($A314,Data[Dist],0),MATCH(E$6,Data[#Headers],0))</f>
        <v>290947</v>
      </c>
      <c r="F314" s="160">
        <f>INDEX(Data[],MATCH($A314,Data[Dist],0),MATCH(F$6,Data[#Headers],0))</f>
        <v>290948</v>
      </c>
      <c r="G314" s="22">
        <f>INDEX(Data[],MATCH($A314,Data[Dist],0),MATCH(G$6,Data[#Headers],0))</f>
        <v>292633</v>
      </c>
      <c r="H314" s="22">
        <f>INDEX(Data[],MATCH($A314,Data[Dist],0),MATCH(H$6,Data[#Headers],0))-G314</f>
        <v>2633701</v>
      </c>
      <c r="I314" s="25"/>
      <c r="J314" s="22">
        <f>INDEX(Notes!$I$2:$N$11,MATCH(Notes!$B$2,Notes!$I$2:$I$11,0),4)*$C314</f>
        <v>292633</v>
      </c>
      <c r="K314" s="22">
        <f>INDEX(Notes!$I$2:$N$11,MATCH(Notes!$B$2,Notes!$I$2:$I$11,0),5)*$D314</f>
        <v>0</v>
      </c>
      <c r="L314" s="22">
        <f>INDEX(Notes!$I$2:$N$11,MATCH(Notes!$B$2,Notes!$I$2:$I$11,0),6)*$E314</f>
        <v>0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292633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142097</v>
      </c>
      <c r="D315" s="160">
        <f>INDEX(Data[],MATCH($A315,Data[Dist],0),MATCH(D$6,Data[#Headers],0))</f>
        <v>141086</v>
      </c>
      <c r="E315" s="160">
        <f>INDEX(Data[],MATCH($A315,Data[Dist],0),MATCH(E$6,Data[#Headers],0))</f>
        <v>141086</v>
      </c>
      <c r="F315" s="160">
        <f>INDEX(Data[],MATCH($A315,Data[Dist],0),MATCH(F$6,Data[#Headers],0))</f>
        <v>141085</v>
      </c>
      <c r="G315" s="22">
        <f>INDEX(Data[],MATCH($A315,Data[Dist],0),MATCH(G$6,Data[#Headers],0))</f>
        <v>142097</v>
      </c>
      <c r="H315" s="22">
        <f>INDEX(Data[],MATCH($A315,Data[Dist],0),MATCH(H$6,Data[#Headers],0))-G315</f>
        <v>1278868</v>
      </c>
      <c r="I315" s="25"/>
      <c r="J315" s="22">
        <f>INDEX(Notes!$I$2:$N$11,MATCH(Notes!$B$2,Notes!$I$2:$I$11,0),4)*$C315</f>
        <v>142097</v>
      </c>
      <c r="K315" s="22">
        <f>INDEX(Notes!$I$2:$N$11,MATCH(Notes!$B$2,Notes!$I$2:$I$11,0),5)*$D315</f>
        <v>0</v>
      </c>
      <c r="L315" s="22">
        <f>INDEX(Notes!$I$2:$N$11,MATCH(Notes!$B$2,Notes!$I$2:$I$11,0),6)*$E315</f>
        <v>0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142097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883639</v>
      </c>
      <c r="D316" s="160">
        <f>INDEX(Data[],MATCH($A316,Data[Dist],0),MATCH(D$6,Data[#Headers],0))</f>
        <v>878120</v>
      </c>
      <c r="E316" s="160">
        <f>INDEX(Data[],MATCH($A316,Data[Dist],0),MATCH(E$6,Data[#Headers],0))</f>
        <v>878120</v>
      </c>
      <c r="F316" s="160">
        <f>INDEX(Data[],MATCH($A316,Data[Dist],0),MATCH(F$6,Data[#Headers],0))</f>
        <v>878120</v>
      </c>
      <c r="G316" s="22">
        <f>INDEX(Data[],MATCH($A316,Data[Dist],0),MATCH(G$6,Data[#Headers],0))</f>
        <v>883639</v>
      </c>
      <c r="H316" s="22">
        <f>INDEX(Data[],MATCH($A316,Data[Dist],0),MATCH(H$6,Data[#Headers],0))-G316</f>
        <v>7952749</v>
      </c>
      <c r="I316" s="25"/>
      <c r="J316" s="22">
        <f>INDEX(Notes!$I$2:$N$11,MATCH(Notes!$B$2,Notes!$I$2:$I$11,0),4)*$C316</f>
        <v>883639</v>
      </c>
      <c r="K316" s="22">
        <f>INDEX(Notes!$I$2:$N$11,MATCH(Notes!$B$2,Notes!$I$2:$I$11,0),5)*$D316</f>
        <v>0</v>
      </c>
      <c r="L316" s="22">
        <f>INDEX(Notes!$I$2:$N$11,MATCH(Notes!$B$2,Notes!$I$2:$I$11,0),6)*$E316</f>
        <v>0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883639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4961851</v>
      </c>
      <c r="D317" s="160">
        <f>INDEX(Data[],MATCH($A317,Data[Dist],0),MATCH(D$6,Data[#Headers],0))</f>
        <v>4927114</v>
      </c>
      <c r="E317" s="160">
        <f>INDEX(Data[],MATCH($A317,Data[Dist],0),MATCH(E$6,Data[#Headers],0))</f>
        <v>4927114</v>
      </c>
      <c r="F317" s="160">
        <f>INDEX(Data[],MATCH($A317,Data[Dist],0),MATCH(F$6,Data[#Headers],0))</f>
        <v>4927114</v>
      </c>
      <c r="G317" s="22">
        <f>INDEX(Data[],MATCH($A317,Data[Dist],0),MATCH(G$6,Data[#Headers],0))</f>
        <v>4961851</v>
      </c>
      <c r="H317" s="22">
        <f>INDEX(Data[],MATCH($A317,Data[Dist],0),MATCH(H$6,Data[#Headers],0))-G317</f>
        <v>44656662</v>
      </c>
      <c r="I317" s="25"/>
      <c r="J317" s="22">
        <f>INDEX(Notes!$I$2:$N$11,MATCH(Notes!$B$2,Notes!$I$2:$I$11,0),4)*$C317</f>
        <v>4961851</v>
      </c>
      <c r="K317" s="22">
        <f>INDEX(Notes!$I$2:$N$11,MATCH(Notes!$B$2,Notes!$I$2:$I$11,0),5)*$D317</f>
        <v>0</v>
      </c>
      <c r="L317" s="22">
        <f>INDEX(Notes!$I$2:$N$11,MATCH(Notes!$B$2,Notes!$I$2:$I$11,0),6)*$E317</f>
        <v>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4961851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1971165</v>
      </c>
      <c r="D318" s="160">
        <f>INDEX(Data[],MATCH($A318,Data[Dist],0),MATCH(D$6,Data[#Headers],0))</f>
        <v>1958510</v>
      </c>
      <c r="E318" s="160">
        <f>INDEX(Data[],MATCH($A318,Data[Dist],0),MATCH(E$6,Data[#Headers],0))</f>
        <v>1958510</v>
      </c>
      <c r="F318" s="160">
        <f>INDEX(Data[],MATCH($A318,Data[Dist],0),MATCH(F$6,Data[#Headers],0))</f>
        <v>1958508</v>
      </c>
      <c r="G318" s="22">
        <f>INDEX(Data[],MATCH($A318,Data[Dist],0),MATCH(G$6,Data[#Headers],0))</f>
        <v>1971165</v>
      </c>
      <c r="H318" s="22">
        <f>INDEX(Data[],MATCH($A318,Data[Dist],0),MATCH(H$6,Data[#Headers],0))-G318</f>
        <v>17740481</v>
      </c>
      <c r="I318" s="25"/>
      <c r="J318" s="22">
        <f>INDEX(Notes!$I$2:$N$11,MATCH(Notes!$B$2,Notes!$I$2:$I$11,0),4)*$C318</f>
        <v>1971165</v>
      </c>
      <c r="K318" s="22">
        <f>INDEX(Notes!$I$2:$N$11,MATCH(Notes!$B$2,Notes!$I$2:$I$11,0),5)*$D318</f>
        <v>0</v>
      </c>
      <c r="L318" s="22">
        <f>INDEX(Notes!$I$2:$N$11,MATCH(Notes!$B$2,Notes!$I$2:$I$11,0),6)*$E318</f>
        <v>0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1971165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187816</v>
      </c>
      <c r="D319" s="160">
        <f>INDEX(Data[],MATCH($A319,Data[Dist],0),MATCH(D$6,Data[#Headers],0))</f>
        <v>186427</v>
      </c>
      <c r="E319" s="160">
        <f>INDEX(Data[],MATCH($A319,Data[Dist],0),MATCH(E$6,Data[#Headers],0))</f>
        <v>186427</v>
      </c>
      <c r="F319" s="160">
        <f>INDEX(Data[],MATCH($A319,Data[Dist],0),MATCH(F$6,Data[#Headers],0))</f>
        <v>186428</v>
      </c>
      <c r="G319" s="22">
        <f>INDEX(Data[],MATCH($A319,Data[Dist],0),MATCH(G$6,Data[#Headers],0))</f>
        <v>187816</v>
      </c>
      <c r="H319" s="22">
        <f>INDEX(Data[],MATCH($A319,Data[Dist],0),MATCH(H$6,Data[#Headers],0))-G319</f>
        <v>1690339</v>
      </c>
      <c r="I319" s="25"/>
      <c r="J319" s="22">
        <f>INDEX(Notes!$I$2:$N$11,MATCH(Notes!$B$2,Notes!$I$2:$I$11,0),4)*$C319</f>
        <v>187816</v>
      </c>
      <c r="K319" s="22">
        <f>INDEX(Notes!$I$2:$N$11,MATCH(Notes!$B$2,Notes!$I$2:$I$11,0),5)*$D319</f>
        <v>0</v>
      </c>
      <c r="L319" s="22">
        <f>INDEX(Notes!$I$2:$N$11,MATCH(Notes!$B$2,Notes!$I$2:$I$11,0),6)*$E319</f>
        <v>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187816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965630</v>
      </c>
      <c r="D320" s="160">
        <f>INDEX(Data[],MATCH($A320,Data[Dist],0),MATCH(D$6,Data[#Headers],0))</f>
        <v>960740</v>
      </c>
      <c r="E320" s="160">
        <f>INDEX(Data[],MATCH($A320,Data[Dist],0),MATCH(E$6,Data[#Headers],0))</f>
        <v>960740</v>
      </c>
      <c r="F320" s="160">
        <f>INDEX(Data[],MATCH($A320,Data[Dist],0),MATCH(F$6,Data[#Headers],0))</f>
        <v>960741</v>
      </c>
      <c r="G320" s="22">
        <f>INDEX(Data[],MATCH($A320,Data[Dist],0),MATCH(G$6,Data[#Headers],0))</f>
        <v>965630</v>
      </c>
      <c r="H320" s="22">
        <f>INDEX(Data[],MATCH($A320,Data[Dist],0),MATCH(H$6,Data[#Headers],0))-G320</f>
        <v>8690669</v>
      </c>
      <c r="I320" s="25"/>
      <c r="J320" s="22">
        <f>INDEX(Notes!$I$2:$N$11,MATCH(Notes!$B$2,Notes!$I$2:$I$11,0),4)*$C320</f>
        <v>965630</v>
      </c>
      <c r="K320" s="22">
        <f>INDEX(Notes!$I$2:$N$11,MATCH(Notes!$B$2,Notes!$I$2:$I$11,0),5)*$D320</f>
        <v>0</v>
      </c>
      <c r="L320" s="22">
        <f>INDEX(Notes!$I$2:$N$11,MATCH(Notes!$B$2,Notes!$I$2:$I$11,0),6)*$E320</f>
        <v>0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965630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530489</v>
      </c>
      <c r="D321" s="160">
        <f>INDEX(Data[],MATCH($A321,Data[Dist],0),MATCH(D$6,Data[#Headers],0))</f>
        <v>526791</v>
      </c>
      <c r="E321" s="160">
        <f>INDEX(Data[],MATCH($A321,Data[Dist],0),MATCH(E$6,Data[#Headers],0))</f>
        <v>526790</v>
      </c>
      <c r="F321" s="160">
        <f>INDEX(Data[],MATCH($A321,Data[Dist],0),MATCH(F$6,Data[#Headers],0))</f>
        <v>526791</v>
      </c>
      <c r="G321" s="22">
        <f>INDEX(Data[],MATCH($A321,Data[Dist],0),MATCH(G$6,Data[#Headers],0))</f>
        <v>530489</v>
      </c>
      <c r="H321" s="22">
        <f>INDEX(Data[],MATCH($A321,Data[Dist],0),MATCH(H$6,Data[#Headers],0))-G321</f>
        <v>4774405</v>
      </c>
      <c r="I321" s="25"/>
      <c r="J321" s="22">
        <f>INDEX(Notes!$I$2:$N$11,MATCH(Notes!$B$2,Notes!$I$2:$I$11,0),4)*$C321</f>
        <v>530489</v>
      </c>
      <c r="K321" s="22">
        <f>INDEX(Notes!$I$2:$N$11,MATCH(Notes!$B$2,Notes!$I$2:$I$11,0),5)*$D321</f>
        <v>0</v>
      </c>
      <c r="L321" s="22">
        <f>INDEX(Notes!$I$2:$N$11,MATCH(Notes!$B$2,Notes!$I$2:$I$11,0),6)*$E321</f>
        <v>0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530489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526123</v>
      </c>
      <c r="D322" s="160">
        <f>INDEX(Data[],MATCH($A322,Data[Dist],0),MATCH(D$6,Data[#Headers],0))</f>
        <v>522902</v>
      </c>
      <c r="E322" s="160">
        <f>INDEX(Data[],MATCH($A322,Data[Dist],0),MATCH(E$6,Data[#Headers],0))</f>
        <v>522902</v>
      </c>
      <c r="F322" s="160">
        <f>INDEX(Data[],MATCH($A322,Data[Dist],0),MATCH(F$6,Data[#Headers],0))</f>
        <v>522903</v>
      </c>
      <c r="G322" s="22">
        <f>INDEX(Data[],MATCH($A322,Data[Dist],0),MATCH(G$6,Data[#Headers],0))</f>
        <v>526123</v>
      </c>
      <c r="H322" s="22">
        <f>INDEX(Data[],MATCH($A322,Data[Dist],0),MATCH(H$6,Data[#Headers],0))-G322</f>
        <v>4735108</v>
      </c>
      <c r="I322" s="25"/>
      <c r="J322" s="22">
        <f>INDEX(Notes!$I$2:$N$11,MATCH(Notes!$B$2,Notes!$I$2:$I$11,0),4)*$C322</f>
        <v>526123</v>
      </c>
      <c r="K322" s="22">
        <f>INDEX(Notes!$I$2:$N$11,MATCH(Notes!$B$2,Notes!$I$2:$I$11,0),5)*$D322</f>
        <v>0</v>
      </c>
      <c r="L322" s="22">
        <f>INDEX(Notes!$I$2:$N$11,MATCH(Notes!$B$2,Notes!$I$2:$I$11,0),6)*$E322</f>
        <v>0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526123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402086</v>
      </c>
      <c r="D323" s="160">
        <f>INDEX(Data[],MATCH($A323,Data[Dist],0),MATCH(D$6,Data[#Headers],0))</f>
        <v>399651</v>
      </c>
      <c r="E323" s="160">
        <f>INDEX(Data[],MATCH($A323,Data[Dist],0),MATCH(E$6,Data[#Headers],0))</f>
        <v>399652</v>
      </c>
      <c r="F323" s="160">
        <f>INDEX(Data[],MATCH($A323,Data[Dist],0),MATCH(F$6,Data[#Headers],0))</f>
        <v>399650</v>
      </c>
      <c r="G323" s="22">
        <f>INDEX(Data[],MATCH($A323,Data[Dist],0),MATCH(G$6,Data[#Headers],0))</f>
        <v>402086</v>
      </c>
      <c r="H323" s="22">
        <f>INDEX(Data[],MATCH($A323,Data[Dist],0),MATCH(H$6,Data[#Headers],0))-G323</f>
        <v>3618770</v>
      </c>
      <c r="I323" s="25"/>
      <c r="J323" s="22">
        <f>INDEX(Notes!$I$2:$N$11,MATCH(Notes!$B$2,Notes!$I$2:$I$11,0),4)*$C323</f>
        <v>402086</v>
      </c>
      <c r="K323" s="22">
        <f>INDEX(Notes!$I$2:$N$11,MATCH(Notes!$B$2,Notes!$I$2:$I$11,0),5)*$D323</f>
        <v>0</v>
      </c>
      <c r="L323" s="22">
        <f>INDEX(Notes!$I$2:$N$11,MATCH(Notes!$B$2,Notes!$I$2:$I$11,0),6)*$E323</f>
        <v>0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402086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643235</v>
      </c>
      <c r="D324" s="160">
        <f>INDEX(Data[],MATCH($A324,Data[Dist],0),MATCH(D$6,Data[#Headers],0))</f>
        <v>640029</v>
      </c>
      <c r="E324" s="160">
        <f>INDEX(Data[],MATCH($A324,Data[Dist],0),MATCH(E$6,Data[#Headers],0))</f>
        <v>640030</v>
      </c>
      <c r="F324" s="160">
        <f>INDEX(Data[],MATCH($A324,Data[Dist],0),MATCH(F$6,Data[#Headers],0))</f>
        <v>640028</v>
      </c>
      <c r="G324" s="22">
        <f>INDEX(Data[],MATCH($A324,Data[Dist],0),MATCH(G$6,Data[#Headers],0))</f>
        <v>643235</v>
      </c>
      <c r="H324" s="22">
        <f>INDEX(Data[],MATCH($A324,Data[Dist],0),MATCH(H$6,Data[#Headers],0))-G324</f>
        <v>5789117</v>
      </c>
      <c r="I324" s="25"/>
      <c r="J324" s="22">
        <f>INDEX(Notes!$I$2:$N$11,MATCH(Notes!$B$2,Notes!$I$2:$I$11,0),4)*$C324</f>
        <v>643235</v>
      </c>
      <c r="K324" s="22">
        <f>INDEX(Notes!$I$2:$N$11,MATCH(Notes!$B$2,Notes!$I$2:$I$11,0),5)*$D324</f>
        <v>0</v>
      </c>
      <c r="L324" s="22">
        <f>INDEX(Notes!$I$2:$N$11,MATCH(Notes!$B$2,Notes!$I$2:$I$11,0),6)*$E324</f>
        <v>0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643235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254336</v>
      </c>
      <c r="D325" s="160">
        <f>INDEX(Data[],MATCH($A325,Data[Dist],0),MATCH(D$6,Data[#Headers],0))</f>
        <v>252272</v>
      </c>
      <c r="E325" s="160">
        <f>INDEX(Data[],MATCH($A325,Data[Dist],0),MATCH(E$6,Data[#Headers],0))</f>
        <v>252272</v>
      </c>
      <c r="F325" s="160">
        <f>INDEX(Data[],MATCH($A325,Data[Dist],0),MATCH(F$6,Data[#Headers],0))</f>
        <v>252270</v>
      </c>
      <c r="G325" s="22">
        <f>INDEX(Data[],MATCH($A325,Data[Dist],0),MATCH(G$6,Data[#Headers],0))</f>
        <v>254336</v>
      </c>
      <c r="H325" s="22">
        <f>INDEX(Data[],MATCH($A325,Data[Dist],0),MATCH(H$6,Data[#Headers],0))-G325</f>
        <v>2289025</v>
      </c>
      <c r="I325" s="25"/>
      <c r="J325" s="22">
        <f>INDEX(Notes!$I$2:$N$11,MATCH(Notes!$B$2,Notes!$I$2:$I$11,0),4)*$C325</f>
        <v>254336</v>
      </c>
      <c r="K325" s="22">
        <f>INDEX(Notes!$I$2:$N$11,MATCH(Notes!$B$2,Notes!$I$2:$I$11,0),5)*$D325</f>
        <v>0</v>
      </c>
      <c r="L325" s="22">
        <f>INDEX(Notes!$I$2:$N$11,MATCH(Notes!$B$2,Notes!$I$2:$I$11,0),6)*$E325</f>
        <v>0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254336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109857</v>
      </c>
      <c r="D326" s="160">
        <f>INDEX(Data[],MATCH($A326,Data[Dist],0),MATCH(D$6,Data[#Headers],0))</f>
        <v>109093</v>
      </c>
      <c r="E326" s="160">
        <f>INDEX(Data[],MATCH($A326,Data[Dist],0),MATCH(E$6,Data[#Headers],0))</f>
        <v>109092</v>
      </c>
      <c r="F326" s="160">
        <f>INDEX(Data[],MATCH($A326,Data[Dist],0),MATCH(F$6,Data[#Headers],0))</f>
        <v>109093</v>
      </c>
      <c r="G326" s="22">
        <f>INDEX(Data[],MATCH($A326,Data[Dist],0),MATCH(G$6,Data[#Headers],0))</f>
        <v>109857</v>
      </c>
      <c r="H326" s="22">
        <f>INDEX(Data[],MATCH($A326,Data[Dist],0),MATCH(H$6,Data[#Headers],0))-G326</f>
        <v>988710</v>
      </c>
      <c r="I326" s="25"/>
      <c r="J326" s="22">
        <f>INDEX(Notes!$I$2:$N$11,MATCH(Notes!$B$2,Notes!$I$2:$I$11,0),4)*$C326</f>
        <v>109857</v>
      </c>
      <c r="K326" s="22">
        <f>INDEX(Notes!$I$2:$N$11,MATCH(Notes!$B$2,Notes!$I$2:$I$11,0),5)*$D326</f>
        <v>0</v>
      </c>
      <c r="L326" s="22">
        <f>INDEX(Notes!$I$2:$N$11,MATCH(Notes!$B$2,Notes!$I$2:$I$11,0),6)*$E326</f>
        <v>0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109857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726564</v>
      </c>
      <c r="D327" s="160">
        <f>INDEX(Data[],MATCH($A327,Data[Dist],0),MATCH(D$6,Data[#Headers],0))</f>
        <v>722078</v>
      </c>
      <c r="E327" s="160">
        <f>INDEX(Data[],MATCH($A327,Data[Dist],0),MATCH(E$6,Data[#Headers],0))</f>
        <v>722078</v>
      </c>
      <c r="F327" s="160">
        <f>INDEX(Data[],MATCH($A327,Data[Dist],0),MATCH(F$6,Data[#Headers],0))</f>
        <v>722077</v>
      </c>
      <c r="G327" s="22">
        <f>INDEX(Data[],MATCH($A327,Data[Dist],0),MATCH(G$6,Data[#Headers],0))</f>
        <v>726564</v>
      </c>
      <c r="H327" s="22">
        <f>INDEX(Data[],MATCH($A327,Data[Dist],0),MATCH(H$6,Data[#Headers],0))-G327</f>
        <v>6539079</v>
      </c>
      <c r="I327" s="25"/>
      <c r="J327" s="22">
        <f>INDEX(Notes!$I$2:$N$11,MATCH(Notes!$B$2,Notes!$I$2:$I$11,0),4)*$C327</f>
        <v>726564</v>
      </c>
      <c r="K327" s="22">
        <f>INDEX(Notes!$I$2:$N$11,MATCH(Notes!$B$2,Notes!$I$2:$I$11,0),5)*$D327</f>
        <v>0</v>
      </c>
      <c r="L327" s="22">
        <f>INDEX(Notes!$I$2:$N$11,MATCH(Notes!$B$2,Notes!$I$2:$I$11,0),6)*$E327</f>
        <v>0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726564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602559</v>
      </c>
      <c r="D328" s="160">
        <f>INDEX(Data[],MATCH($A328,Data[Dist],0),MATCH(D$6,Data[#Headers],0))</f>
        <v>599220</v>
      </c>
      <c r="E328" s="160">
        <f>INDEX(Data[],MATCH($A328,Data[Dist],0),MATCH(E$6,Data[#Headers],0))</f>
        <v>599220</v>
      </c>
      <c r="F328" s="160">
        <f>INDEX(Data[],MATCH($A328,Data[Dist],0),MATCH(F$6,Data[#Headers],0))</f>
        <v>599218</v>
      </c>
      <c r="G328" s="22">
        <f>INDEX(Data[],MATCH($A328,Data[Dist],0),MATCH(G$6,Data[#Headers],0))</f>
        <v>602559</v>
      </c>
      <c r="H328" s="22">
        <f>INDEX(Data[],MATCH($A328,Data[Dist],0),MATCH(H$6,Data[#Headers],0))-G328</f>
        <v>5423026</v>
      </c>
      <c r="I328" s="25"/>
      <c r="J328" s="22">
        <f>INDEX(Notes!$I$2:$N$11,MATCH(Notes!$B$2,Notes!$I$2:$I$11,0),4)*$C328</f>
        <v>602559</v>
      </c>
      <c r="K328" s="22">
        <f>INDEX(Notes!$I$2:$N$11,MATCH(Notes!$B$2,Notes!$I$2:$I$11,0),5)*$D328</f>
        <v>0</v>
      </c>
      <c r="L328" s="22">
        <f>INDEX(Notes!$I$2:$N$11,MATCH(Notes!$B$2,Notes!$I$2:$I$11,0),6)*$E328</f>
        <v>0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602559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INDEX($A$7:$H$333,MATCH($S328,$A$7:$A$333,0),3)-Q328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212564</v>
      </c>
      <c r="D329" s="160">
        <f>INDEX(Data[],MATCH($A329,Data[Dist],0),MATCH(D$6,Data[#Headers],0))</f>
        <v>211316</v>
      </c>
      <c r="E329" s="160">
        <f>INDEX(Data[],MATCH($A329,Data[Dist],0),MATCH(E$6,Data[#Headers],0))</f>
        <v>211317</v>
      </c>
      <c r="F329" s="160">
        <f>INDEX(Data[],MATCH($A329,Data[Dist],0),MATCH(F$6,Data[#Headers],0))</f>
        <v>211315</v>
      </c>
      <c r="G329" s="22">
        <f>INDEX(Data[],MATCH($A329,Data[Dist],0),MATCH(G$6,Data[#Headers],0))</f>
        <v>212564</v>
      </c>
      <c r="H329" s="22">
        <f>INDEX(Data[],MATCH($A329,Data[Dist],0),MATCH(H$6,Data[#Headers],0))-G329</f>
        <v>1913075</v>
      </c>
      <c r="I329" s="25"/>
      <c r="J329" s="22">
        <f>INDEX(Notes!$I$2:$N$11,MATCH(Notes!$B$2,Notes!$I$2:$I$11,0),4)*$C329</f>
        <v>212564</v>
      </c>
      <c r="K329" s="22">
        <f>INDEX(Notes!$I$2:$N$11,MATCH(Notes!$B$2,Notes!$I$2:$I$11,0),5)*$D329</f>
        <v>0</v>
      </c>
      <c r="L329" s="22">
        <f>INDEX(Notes!$I$2:$N$11,MATCH(Notes!$B$2,Notes!$I$2:$I$11,0),6)*$E329</f>
        <v>0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212564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1159086</v>
      </c>
      <c r="D330" s="160">
        <f>INDEX(Data[],MATCH($A330,Data[Dist],0),MATCH(D$6,Data[#Headers],0))</f>
        <v>1152347</v>
      </c>
      <c r="E330" s="160">
        <f>INDEX(Data[],MATCH($A330,Data[Dist],0),MATCH(E$6,Data[#Headers],0))</f>
        <v>1152347</v>
      </c>
      <c r="F330" s="160">
        <f>INDEX(Data[],MATCH($A330,Data[Dist],0),MATCH(F$6,Data[#Headers],0))</f>
        <v>1152346</v>
      </c>
      <c r="G330" s="22">
        <f>INDEX(Data[],MATCH($A330,Data[Dist],0),MATCH(G$6,Data[#Headers],0))</f>
        <v>1159086</v>
      </c>
      <c r="H330" s="22">
        <f>INDEX(Data[],MATCH($A330,Data[Dist],0),MATCH(H$6,Data[#Headers],0))-G330</f>
        <v>10431777</v>
      </c>
      <c r="I330" s="25"/>
      <c r="J330" s="22">
        <f>INDEX(Notes!$I$2:$N$11,MATCH(Notes!$B$2,Notes!$I$2:$I$11,0),4)*$C330</f>
        <v>1159086</v>
      </c>
      <c r="K330" s="22">
        <f>INDEX(Notes!$I$2:$N$11,MATCH(Notes!$B$2,Notes!$I$2:$I$11,0),5)*$D330</f>
        <v>0</v>
      </c>
      <c r="L330" s="22">
        <f>INDEX(Notes!$I$2:$N$11,MATCH(Notes!$B$2,Notes!$I$2:$I$11,0),6)*$E330</f>
        <v>0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1159086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318237</v>
      </c>
      <c r="D331" s="160">
        <f>INDEX(Data[],MATCH($A331,Data[Dist],0),MATCH(D$6,Data[#Headers],0))</f>
        <v>316342</v>
      </c>
      <c r="E331" s="160">
        <f>INDEX(Data[],MATCH($A331,Data[Dist],0),MATCH(E$6,Data[#Headers],0))</f>
        <v>316343</v>
      </c>
      <c r="F331" s="160">
        <f>INDEX(Data[],MATCH($A331,Data[Dist],0),MATCH(F$6,Data[#Headers],0))</f>
        <v>316341</v>
      </c>
      <c r="G331" s="22">
        <f>INDEX(Data[],MATCH($A331,Data[Dist],0),MATCH(G$6,Data[#Headers],0))</f>
        <v>318237</v>
      </c>
      <c r="H331" s="22">
        <f>INDEX(Data[],MATCH($A331,Data[Dist],0),MATCH(H$6,Data[#Headers],0))-G331</f>
        <v>2864129</v>
      </c>
      <c r="I331" s="25"/>
      <c r="J331" s="22">
        <f>INDEX(Notes!$I$2:$N$11,MATCH(Notes!$B$2,Notes!$I$2:$I$11,0),4)*$C331</f>
        <v>318237</v>
      </c>
      <c r="K331" s="22">
        <f>INDEX(Notes!$I$2:$N$11,MATCH(Notes!$B$2,Notes!$I$2:$I$11,0),5)*$D331</f>
        <v>0</v>
      </c>
      <c r="L331" s="22">
        <f>INDEX(Notes!$I$2:$N$11,MATCH(Notes!$B$2,Notes!$I$2:$I$11,0),6)*$E331</f>
        <v>0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318237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362805</v>
      </c>
      <c r="D332" s="160">
        <f>INDEX(Data[],MATCH($A332,Data[Dist],0),MATCH(D$6,Data[#Headers],0))</f>
        <v>360724</v>
      </c>
      <c r="E332" s="160">
        <f>INDEX(Data[],MATCH($A332,Data[Dist],0),MATCH(E$6,Data[#Headers],0))</f>
        <v>360724</v>
      </c>
      <c r="F332" s="160">
        <f>INDEX(Data[],MATCH($A332,Data[Dist],0),MATCH(F$6,Data[#Headers],0))</f>
        <v>360725</v>
      </c>
      <c r="G332" s="22">
        <f>INDEX(Data[],MATCH($A332,Data[Dist],0),MATCH(G$6,Data[#Headers],0))</f>
        <v>362805</v>
      </c>
      <c r="H332" s="22">
        <f>INDEX(Data[],MATCH($A332,Data[Dist],0),MATCH(H$6,Data[#Headers],0))-G332</f>
        <v>3265245</v>
      </c>
      <c r="I332" s="23"/>
      <c r="J332" s="22">
        <f>INDEX(Notes!$I$2:$N$11,MATCH(Notes!$B$2,Notes!$I$2:$I$11,0),4)*$C332</f>
        <v>362805</v>
      </c>
      <c r="K332" s="22">
        <f>INDEX(Notes!$I$2:$N$11,MATCH(Notes!$B$2,Notes!$I$2:$I$11,0),5)*$D332</f>
        <v>0</v>
      </c>
      <c r="L332" s="22">
        <f>INDEX(Notes!$I$2:$N$11,MATCH(Notes!$B$2,Notes!$I$2:$I$11,0),6)*$E332</f>
        <v>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362805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704372</v>
      </c>
      <c r="D333" s="160">
        <f>INDEX(Data[],MATCH($A333,Data[Dist],0),MATCH(D$6,Data[#Headers],0))</f>
        <v>700266</v>
      </c>
      <c r="E333" s="160">
        <f>INDEX(Data[],MATCH($A333,Data[Dist],0),MATCH(E$6,Data[#Headers],0))</f>
        <v>700266</v>
      </c>
      <c r="F333" s="160">
        <f>INDEX(Data[],MATCH($A333,Data[Dist],0),MATCH(F$6,Data[#Headers],0))</f>
        <v>700267</v>
      </c>
      <c r="G333" s="22">
        <f>INDEX(Data[],MATCH($A333,Data[Dist],0),MATCH(G$6,Data[#Headers],0))</f>
        <v>704372</v>
      </c>
      <c r="H333" s="22">
        <f>INDEX(Data[],MATCH($A333,Data[Dist],0),MATCH(H$6,Data[#Headers],0))-G333</f>
        <v>6339350</v>
      </c>
      <c r="I333" s="23"/>
      <c r="J333" s="22">
        <f>INDEX(Notes!$I$2:$N$11,MATCH(Notes!$B$2,Notes!$I$2:$I$11,0),4)*$C333</f>
        <v>704372</v>
      </c>
      <c r="K333" s="22">
        <f>INDEX(Notes!$I$2:$N$11,MATCH(Notes!$B$2,Notes!$I$2:$I$11,0),5)*$D333</f>
        <v>0</v>
      </c>
      <c r="L333" s="22">
        <f>INDEX(Notes!$I$2:$N$11,MATCH(Notes!$B$2,Notes!$I$2:$I$11,0),6)*$E333</f>
        <v>0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704372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335018351</v>
      </c>
      <c r="D334" s="161">
        <f t="shared" si="24"/>
        <v>333095779</v>
      </c>
      <c r="E334" s="161">
        <f t="shared" si="24"/>
        <v>333095770</v>
      </c>
      <c r="F334" s="161">
        <f t="shared" si="24"/>
        <v>333095587</v>
      </c>
      <c r="G334" s="24">
        <f t="shared" si="24"/>
        <v>335018351</v>
      </c>
      <c r="H334" s="24">
        <f t="shared" si="24"/>
        <v>3015164928</v>
      </c>
      <c r="Q334" s="21">
        <f>SUM(Q7:Q333)</f>
        <v>335018351</v>
      </c>
      <c r="T334" s="44"/>
    </row>
    <row r="335" spans="1:22" s="21" customFormat="1" ht="13.5" thickTop="1" x14ac:dyDescent="0.2">
      <c r="A335" s="23"/>
      <c r="C335" s="22"/>
      <c r="D335" s="160"/>
      <c r="E335" s="160"/>
      <c r="F335" s="160"/>
      <c r="G335" s="22"/>
      <c r="H335" s="22"/>
      <c r="T335" s="44"/>
    </row>
    <row r="336" spans="1:22" s="26" customFormat="1" x14ac:dyDescent="0.2">
      <c r="A336" s="25"/>
      <c r="C336" s="27"/>
      <c r="D336" s="162"/>
      <c r="E336" s="162"/>
      <c r="F336" s="162"/>
      <c r="G336" s="27"/>
      <c r="H336" s="27"/>
      <c r="T336" s="65"/>
    </row>
    <row r="337" spans="1:20" s="26" customFormat="1" x14ac:dyDescent="0.2">
      <c r="A337" s="25"/>
      <c r="C337" s="27"/>
      <c r="D337" s="162"/>
      <c r="E337" s="162"/>
      <c r="F337" s="162"/>
      <c r="G337" s="27"/>
      <c r="H337" s="27"/>
      <c r="T337" s="65"/>
    </row>
    <row r="338" spans="1:20" s="26" customFormat="1" x14ac:dyDescent="0.2">
      <c r="A338" s="25"/>
      <c r="C338" s="27"/>
      <c r="D338" s="162"/>
      <c r="E338" s="162"/>
      <c r="F338" s="162"/>
      <c r="G338" s="27"/>
      <c r="H338" s="27"/>
      <c r="T338" s="65"/>
    </row>
    <row r="339" spans="1:20" s="26" customFormat="1" x14ac:dyDescent="0.2">
      <c r="A339" s="25"/>
      <c r="C339" s="27"/>
      <c r="D339" s="162"/>
      <c r="E339" s="162"/>
      <c r="F339" s="162"/>
      <c r="G339" s="27"/>
      <c r="H339" s="27"/>
      <c r="T339" s="65"/>
    </row>
    <row r="340" spans="1:20" s="26" customFormat="1" x14ac:dyDescent="0.2">
      <c r="A340" s="25"/>
      <c r="C340" s="27"/>
      <c r="D340" s="162"/>
      <c r="E340" s="162"/>
      <c r="F340" s="162"/>
      <c r="G340" s="27"/>
      <c r="H340" s="27"/>
      <c r="T340" s="65"/>
    </row>
    <row r="341" spans="1:20" s="26" customFormat="1" x14ac:dyDescent="0.2">
      <c r="A341" s="25"/>
      <c r="C341" s="27"/>
      <c r="D341" s="162"/>
      <c r="E341" s="162"/>
      <c r="F341" s="162"/>
      <c r="G341" s="27"/>
      <c r="H341" s="27"/>
      <c r="T341" s="65"/>
    </row>
    <row r="342" spans="1:20" s="26" customFormat="1" x14ac:dyDescent="0.2">
      <c r="A342" s="25"/>
      <c r="C342" s="27"/>
      <c r="D342" s="162"/>
      <c r="E342" s="162"/>
      <c r="F342" s="162"/>
      <c r="G342" s="27"/>
      <c r="H342" s="27"/>
      <c r="T342" s="65"/>
    </row>
    <row r="343" spans="1:20" s="26" customFormat="1" x14ac:dyDescent="0.2">
      <c r="A343" s="25"/>
      <c r="C343" s="27"/>
      <c r="D343" s="162"/>
      <c r="E343" s="162"/>
      <c r="F343" s="162"/>
      <c r="G343" s="27"/>
      <c r="H343" s="27"/>
      <c r="T343" s="65"/>
    </row>
    <row r="344" spans="1:20" s="26" customFormat="1" x14ac:dyDescent="0.2">
      <c r="A344" s="25"/>
      <c r="C344" s="27"/>
      <c r="D344" s="162"/>
      <c r="E344" s="162"/>
      <c r="F344" s="162"/>
      <c r="G344" s="27"/>
      <c r="H344" s="27"/>
      <c r="T344" s="65"/>
    </row>
    <row r="345" spans="1:20" s="26" customFormat="1" x14ac:dyDescent="0.2">
      <c r="A345" s="25"/>
      <c r="C345" s="27"/>
      <c r="D345" s="162"/>
      <c r="E345" s="162"/>
      <c r="F345" s="162"/>
      <c r="G345" s="27"/>
      <c r="H345" s="27"/>
      <c r="T345" s="65"/>
    </row>
  </sheetData>
  <sheetProtection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E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6" hidden="1" customWidth="1"/>
    <col min="21" max="21" width="15.140625" style="156" hidden="1" customWidth="1"/>
    <col min="22" max="23" width="9.140625" style="156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2" t="str">
        <f>CONCATENATE("FY ",Notes!$B$1," Budget for State Payments to School Districts (",Notes!$B$2," by Source)")</f>
        <v>FY 2023 Budget for State Payments to School Districts (September by Source)</v>
      </c>
      <c r="B1" s="222"/>
      <c r="C1" s="222"/>
      <c r="D1" s="222"/>
      <c r="E1" s="222"/>
      <c r="F1" s="222"/>
      <c r="G1" s="222"/>
      <c r="H1" s="222"/>
      <c r="I1" s="222"/>
      <c r="K1" s="67"/>
      <c r="L1" s="218" t="s">
        <v>803</v>
      </c>
      <c r="M1" s="218"/>
      <c r="N1" s="218"/>
      <c r="O1" s="218"/>
      <c r="P1" s="153"/>
      <c r="Q1" s="153"/>
      <c r="R1" s="153"/>
      <c r="S1" s="153"/>
      <c r="T1" s="153"/>
      <c r="U1" s="153"/>
      <c r="V1" s="153"/>
      <c r="W1" s="153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8"/>
      <c r="M2" s="218"/>
      <c r="N2" s="218"/>
      <c r="O2" s="218"/>
      <c r="P2" s="153"/>
      <c r="Q2" s="153"/>
      <c r="R2" s="153"/>
      <c r="S2" s="153"/>
      <c r="T2" s="153"/>
      <c r="U2" s="153"/>
      <c r="V2" s="153"/>
      <c r="W2" s="153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8"/>
      <c r="M3" s="218"/>
      <c r="N3" s="218"/>
      <c r="O3" s="218"/>
      <c r="P3" s="153" t="s">
        <v>757</v>
      </c>
      <c r="Q3" s="153" t="s">
        <v>708</v>
      </c>
      <c r="R3" s="153" t="s">
        <v>362</v>
      </c>
      <c r="S3" s="153" t="s">
        <v>363</v>
      </c>
      <c r="T3" s="153" t="s">
        <v>756</v>
      </c>
      <c r="U3" s="153" t="s">
        <v>758</v>
      </c>
      <c r="V3" s="153"/>
      <c r="W3" s="153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8"/>
      <c r="M4" s="218"/>
      <c r="N4" s="218"/>
      <c r="O4" s="218"/>
      <c r="P4" s="153" t="s">
        <v>773</v>
      </c>
      <c r="Q4" s="153"/>
      <c r="R4" s="153"/>
      <c r="S4" s="153"/>
      <c r="T4" s="153"/>
      <c r="U4" s="153"/>
      <c r="V4" s="153"/>
      <c r="W4" s="153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September Payment</v>
      </c>
      <c r="K5" s="67" t="s">
        <v>745</v>
      </c>
      <c r="L5" s="38"/>
      <c r="M5" s="38"/>
      <c r="N5" s="38"/>
      <c r="O5" s="38"/>
      <c r="P5" s="153"/>
      <c r="Q5" s="153"/>
      <c r="R5" s="153"/>
      <c r="S5" s="153"/>
      <c r="T5" s="153"/>
      <c r="U5" s="153"/>
      <c r="V5" s="153"/>
      <c r="W5" s="153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12915</v>
      </c>
      <c r="D6" s="22">
        <f>IF(Notes!$B$2="June",ROUND('Budget by Source'!D6/10,0)+Q6,ROUND('Budget by Source'!D6/10,0))</f>
        <v>45117</v>
      </c>
      <c r="E6" s="22">
        <f>IF(Notes!$B$2="June",ROUND('Budget by Source'!E6/10,0)+R6,ROUND('Budget by Source'!E6/10,0))</f>
        <v>4369</v>
      </c>
      <c r="F6" s="22">
        <f>IF(Notes!$B$2="June",ROUND('Budget by Source'!F6/10,0)+S6,ROUND('Budget by Source'!F6/10,0))</f>
        <v>4888</v>
      </c>
      <c r="G6" s="22">
        <f>IF(Notes!$B$2="June",ROUND('Budget by Source'!G6/10,0)+T6,ROUND('Budget by Source'!G6/10,0))</f>
        <v>24334</v>
      </c>
      <c r="H6" s="22">
        <f>I6-SUM(C6:G6)</f>
        <v>269649</v>
      </c>
      <c r="I6" s="22">
        <f>INDEX(Data[],MATCH($A6,Data[Dist],0),MATCH(I$5,Data[#Headers],0))</f>
        <v>361272</v>
      </c>
      <c r="K6" s="69">
        <f>INDEX('Payment Total'!$A$7:$H$333,MATCH('Payment by Source'!$A6,'Payment Total'!$A$7:$A$333,0),3)-I6</f>
        <v>0</v>
      </c>
      <c r="P6" s="154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-2</v>
      </c>
      <c r="Q6" s="154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-5</v>
      </c>
      <c r="R6" s="154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0</v>
      </c>
      <c r="S6" s="154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-1</v>
      </c>
      <c r="T6" s="154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0</v>
      </c>
      <c r="U6" s="155">
        <f>INDEX('Budget by Source'!$A$6:$I$332,MATCH('Payment by Source'!$A6,'Budget by Source'!$A$6:$A$332,0),MATCH(U$3,'Budget by Source'!$A$5:$I$5,0))</f>
        <v>2696501</v>
      </c>
      <c r="V6" s="152">
        <f>ROUND(U6/10,0)</f>
        <v>269650</v>
      </c>
      <c r="W6" s="152">
        <f>V6*10</f>
        <v>2696500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4428</v>
      </c>
      <c r="D7" s="22">
        <f>IF(Notes!$B$2="June",ROUND('Budget by Source'!D7/10,0)+Q7,ROUND('Budget by Source'!D7/10,0))</f>
        <v>21328</v>
      </c>
      <c r="E7" s="22">
        <f>IF(Notes!$B$2="June",ROUND('Budget by Source'!E7/10,0)+R7,ROUND('Budget by Source'!E7/10,0))</f>
        <v>2371</v>
      </c>
      <c r="F7" s="22">
        <f>IF(Notes!$B$2="June",ROUND('Budget by Source'!F7/10,0)+S7,ROUND('Budget by Source'!F7/10,0))</f>
        <v>2150</v>
      </c>
      <c r="G7" s="22">
        <f>IF(Notes!$B$2="June",ROUND('Budget by Source'!G7/10,0)+T7,ROUND('Budget by Source'!G7/10,0))</f>
        <v>11088</v>
      </c>
      <c r="H7" s="22">
        <f t="shared" ref="H7:H70" si="0">I7-SUM(C7:G7)</f>
        <v>145263</v>
      </c>
      <c r="I7" s="22">
        <f>INDEX(Data[],MATCH($A7,Data[Dist],0),MATCH(I$5,Data[#Headers],0))</f>
        <v>186628</v>
      </c>
      <c r="K7" s="69">
        <f>INDEX('Payment Total'!$A$7:$H$333,MATCH('Payment by Source'!$A7,'Payment Total'!$A$7:$A$333,0),3)-I7</f>
        <v>0</v>
      </c>
      <c r="P7" s="154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-1</v>
      </c>
      <c r="Q7" s="154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-1</v>
      </c>
      <c r="R7" s="154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0</v>
      </c>
      <c r="S7" s="154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-5</v>
      </c>
      <c r="T7" s="154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2</v>
      </c>
      <c r="U7" s="155">
        <f>INDEX('Budget by Source'!$A$6:$I$332,MATCH('Payment by Source'!$A7,'Budget by Source'!$A$6:$A$332,0),MATCH(U$3,'Budget by Source'!$A$5:$I$5,0))</f>
        <v>1452639</v>
      </c>
      <c r="V7" s="152">
        <f t="shared" ref="V7:V70" si="1">ROUND(U7/10,0)</f>
        <v>145264</v>
      </c>
      <c r="W7" s="152">
        <f t="shared" ref="W7:W70" si="2">V7*10</f>
        <v>1452640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132923</v>
      </c>
      <c r="E8" s="22">
        <f>IF(Notes!$B$2="June",ROUND('Budget by Source'!E8/10,0)+R8,ROUND('Budget by Source'!E8/10,0))</f>
        <v>15080</v>
      </c>
      <c r="F8" s="22">
        <f>IF(Notes!$B$2="June",ROUND('Budget by Source'!F8/10,0)+S8,ROUND('Budget by Source'!F8/10,0))</f>
        <v>14441</v>
      </c>
      <c r="G8" s="22">
        <f>IF(Notes!$B$2="June",ROUND('Budget by Source'!G8/10,0)+T8,ROUND('Budget by Source'!G8/10,0))</f>
        <v>73521</v>
      </c>
      <c r="H8" s="22">
        <f t="shared" si="0"/>
        <v>1227875</v>
      </c>
      <c r="I8" s="22">
        <f>INDEX(Data[],MATCH($A8,Data[Dist],0),MATCH(I$5,Data[#Headers],0))</f>
        <v>1463840</v>
      </c>
      <c r="K8" s="69">
        <f>INDEX('Payment Total'!$A$7:$H$333,MATCH('Payment by Source'!$A8,'Payment Total'!$A$7:$A$333,0),3)-I8</f>
        <v>0</v>
      </c>
      <c r="P8" s="154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4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0</v>
      </c>
      <c r="R8" s="154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2</v>
      </c>
      <c r="S8" s="154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1</v>
      </c>
      <c r="T8" s="154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-3</v>
      </c>
      <c r="U8" s="155">
        <f>INDEX('Budget by Source'!$A$6:$I$332,MATCH('Payment by Source'!$A8,'Budget by Source'!$A$6:$A$332,0),MATCH(U$3,'Budget by Source'!$A$5:$I$5,0))</f>
        <v>12278753</v>
      </c>
      <c r="V8" s="152">
        <f t="shared" si="1"/>
        <v>1227875</v>
      </c>
      <c r="W8" s="152">
        <f t="shared" si="2"/>
        <v>12278750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9963</v>
      </c>
      <c r="D9" s="22">
        <f>IF(Notes!$B$2="June",ROUND('Budget by Source'!D9/10,0)+Q9,ROUND('Budget by Source'!D9/10,0))</f>
        <v>37660</v>
      </c>
      <c r="E9" s="22">
        <f>IF(Notes!$B$2="June",ROUND('Budget by Source'!E9/10,0)+R9,ROUND('Budget by Source'!E9/10,0))</f>
        <v>4200</v>
      </c>
      <c r="F9" s="22">
        <f>IF(Notes!$B$2="June",ROUND('Budget by Source'!F9/10,0)+S9,ROUND('Budget by Source'!F9/10,0))</f>
        <v>4309</v>
      </c>
      <c r="G9" s="22">
        <f>IF(Notes!$B$2="June",ROUND('Budget by Source'!G9/10,0)+T9,ROUND('Budget by Source'!G9/10,0))</f>
        <v>19894</v>
      </c>
      <c r="H9" s="22">
        <f t="shared" si="0"/>
        <v>320000</v>
      </c>
      <c r="I9" s="22">
        <f>INDEX(Data[],MATCH($A9,Data[Dist],0),MATCH(I$5,Data[#Headers],0))</f>
        <v>396026</v>
      </c>
      <c r="K9" s="69">
        <f>INDEX('Payment Total'!$A$7:$H$333,MATCH('Payment by Source'!$A9,'Payment Total'!$A$7:$A$333,0),3)-I9</f>
        <v>0</v>
      </c>
      <c r="P9" s="154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-2</v>
      </c>
      <c r="Q9" s="154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1</v>
      </c>
      <c r="R9" s="154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4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4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-3</v>
      </c>
      <c r="U9" s="155">
        <f>INDEX('Budget by Source'!$A$6:$I$332,MATCH('Payment by Source'!$A9,'Budget by Source'!$A$6:$A$332,0),MATCH(U$3,'Budget by Source'!$A$5:$I$5,0))</f>
        <v>3199999</v>
      </c>
      <c r="V9" s="152">
        <f t="shared" si="1"/>
        <v>320000</v>
      </c>
      <c r="W9" s="152">
        <f t="shared" si="2"/>
        <v>3200000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4059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67310</v>
      </c>
      <c r="I10" s="22">
        <f>INDEX(Data[],MATCH($A10,Data[Dist],0),MATCH(I$5,Data[#Headers],0))</f>
        <v>92608</v>
      </c>
      <c r="K10" s="69">
        <f>INDEX('Payment Total'!$A$7:$H$333,MATCH('Payment by Source'!$A10,'Payment Total'!$A$7:$A$333,0),3)-I10</f>
        <v>0</v>
      </c>
      <c r="P10" s="154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0</v>
      </c>
      <c r="Q10" s="154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4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4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4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5">
        <f>INDEX('Budget by Source'!$A$6:$I$332,MATCH('Payment by Source'!$A10,'Budget by Source'!$A$6:$A$332,0),MATCH(U$3,'Budget by Source'!$A$5:$I$5,0))</f>
        <v>673103</v>
      </c>
      <c r="V10" s="152">
        <f t="shared" si="1"/>
        <v>67310</v>
      </c>
      <c r="W10" s="152">
        <f t="shared" si="2"/>
        <v>673100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18081</v>
      </c>
      <c r="D11" s="22">
        <f>IF(Notes!$B$2="June",ROUND('Budget by Source'!D11/10,0)+Q11,ROUND('Budget by Source'!D11/10,0))</f>
        <v>71044</v>
      </c>
      <c r="E11" s="22">
        <f>IF(Notes!$B$2="June",ROUND('Budget by Source'!E11/10,0)+R11,ROUND('Budget by Source'!E11/10,0))</f>
        <v>8039</v>
      </c>
      <c r="F11" s="22">
        <f>IF(Notes!$B$2="June",ROUND('Budget by Source'!F11/10,0)+S11,ROUND('Budget by Source'!F11/10,0))</f>
        <v>8210</v>
      </c>
      <c r="G11" s="22">
        <f>IF(Notes!$B$2="June",ROUND('Budget by Source'!G11/10,0)+T11,ROUND('Budget by Source'!G11/10,0))</f>
        <v>40886</v>
      </c>
      <c r="H11" s="22">
        <f t="shared" si="0"/>
        <v>689432</v>
      </c>
      <c r="I11" s="22">
        <f>INDEX(Data[],MATCH($A11,Data[Dist],0),MATCH(I$5,Data[#Headers],0))</f>
        <v>835692</v>
      </c>
      <c r="K11" s="69">
        <f>INDEX('Payment Total'!$A$7:$H$333,MATCH('Payment by Source'!$A11,'Payment Total'!$A$7:$A$333,0),3)-I11</f>
        <v>0</v>
      </c>
      <c r="P11" s="154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-4</v>
      </c>
      <c r="Q11" s="154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-1</v>
      </c>
      <c r="R11" s="154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4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3</v>
      </c>
      <c r="T11" s="154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-2</v>
      </c>
      <c r="U11" s="155">
        <f>INDEX('Budget by Source'!$A$6:$I$332,MATCH('Payment by Source'!$A11,'Budget by Source'!$A$6:$A$332,0),MATCH(U$3,'Budget by Source'!$A$5:$I$5,0))</f>
        <v>6894329</v>
      </c>
      <c r="V11" s="152">
        <f t="shared" si="1"/>
        <v>689433</v>
      </c>
      <c r="W11" s="152">
        <f t="shared" si="2"/>
        <v>6894330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9594</v>
      </c>
      <c r="D12" s="22">
        <f>IF(Notes!$B$2="June",ROUND('Budget by Source'!D12/10,0)+Q12,ROUND('Budget by Source'!D12/10,0))</f>
        <v>33356</v>
      </c>
      <c r="E12" s="22">
        <f>IF(Notes!$B$2="June",ROUND('Budget by Source'!E12/10,0)+R12,ROUND('Budget by Source'!E12/10,0))</f>
        <v>3290</v>
      </c>
      <c r="F12" s="22">
        <f>IF(Notes!$B$2="June",ROUND('Budget by Source'!F12/10,0)+S12,ROUND('Budget by Source'!F12/10,0))</f>
        <v>3844</v>
      </c>
      <c r="G12" s="22">
        <f>IF(Notes!$B$2="June",ROUND('Budget by Source'!G12/10,0)+T12,ROUND('Budget by Source'!G12/10,0))</f>
        <v>18563</v>
      </c>
      <c r="H12" s="22">
        <f t="shared" si="0"/>
        <v>246245</v>
      </c>
      <c r="I12" s="22">
        <f>INDEX(Data[],MATCH($A12,Data[Dist],0),MATCH(I$5,Data[#Headers],0))</f>
        <v>314892</v>
      </c>
      <c r="K12" s="69">
        <f>INDEX('Payment Total'!$A$7:$H$333,MATCH('Payment by Source'!$A12,'Payment Total'!$A$7:$A$333,0),3)-I12</f>
        <v>0</v>
      </c>
      <c r="P12" s="154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-2</v>
      </c>
      <c r="Q12" s="154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-3</v>
      </c>
      <c r="R12" s="154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-3</v>
      </c>
      <c r="S12" s="154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-2</v>
      </c>
      <c r="T12" s="154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-3</v>
      </c>
      <c r="U12" s="155">
        <f>INDEX('Budget by Source'!$A$6:$I$332,MATCH('Payment by Source'!$A12,'Budget by Source'!$A$6:$A$332,0),MATCH(U$3,'Budget by Source'!$A$5:$I$5,0))</f>
        <v>2462463</v>
      </c>
      <c r="V12" s="152">
        <f t="shared" si="1"/>
        <v>246246</v>
      </c>
      <c r="W12" s="152">
        <f t="shared" si="2"/>
        <v>2462460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5904</v>
      </c>
      <c r="D13" s="22">
        <f>IF(Notes!$B$2="June",ROUND('Budget by Source'!D13/10,0)+Q13,ROUND('Budget by Source'!D13/10,0))</f>
        <v>19078</v>
      </c>
      <c r="E13" s="22">
        <f>IF(Notes!$B$2="June",ROUND('Budget by Source'!E13/10,0)+R13,ROUND('Budget by Source'!E13/10,0))</f>
        <v>2365</v>
      </c>
      <c r="F13" s="22">
        <f>IF(Notes!$B$2="June",ROUND('Budget by Source'!F13/10,0)+S13,ROUND('Budget by Source'!F13/10,0))</f>
        <v>1841</v>
      </c>
      <c r="G13" s="22">
        <f>IF(Notes!$B$2="June",ROUND('Budget by Source'!G13/10,0)+T13,ROUND('Budget by Source'!G13/10,0))</f>
        <v>10047</v>
      </c>
      <c r="H13" s="22">
        <f t="shared" si="0"/>
        <v>127558</v>
      </c>
      <c r="I13" s="22">
        <f>INDEX(Data[],MATCH($A13,Data[Dist],0),MATCH(I$5,Data[#Headers],0))</f>
        <v>166793</v>
      </c>
      <c r="K13" s="69">
        <f>INDEX('Payment Total'!$A$7:$H$333,MATCH('Payment by Source'!$A13,'Payment Total'!$A$7:$A$333,0),3)-I13</f>
        <v>0</v>
      </c>
      <c r="P13" s="154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-1</v>
      </c>
      <c r="Q13" s="154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1</v>
      </c>
      <c r="R13" s="154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4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-4</v>
      </c>
      <c r="T13" s="154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0</v>
      </c>
      <c r="U13" s="155">
        <f>INDEX('Budget by Source'!$A$6:$I$332,MATCH('Payment by Source'!$A13,'Budget by Source'!$A$6:$A$332,0),MATCH(U$3,'Budget by Source'!$A$5:$I$5,0))</f>
        <v>1275588</v>
      </c>
      <c r="V13" s="152">
        <f t="shared" si="1"/>
        <v>127559</v>
      </c>
      <c r="W13" s="152">
        <f t="shared" si="2"/>
        <v>1275590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42065</v>
      </c>
      <c r="D14" s="22">
        <f>IF(Notes!$B$2="June",ROUND('Budget by Source'!D14/10,0)+Q14,ROUND('Budget by Source'!D14/10,0))</f>
        <v>83662</v>
      </c>
      <c r="E14" s="22">
        <f>IF(Notes!$B$2="June",ROUND('Budget by Source'!E14/10,0)+R14,ROUND('Budget by Source'!E14/10,0))</f>
        <v>8972</v>
      </c>
      <c r="F14" s="22">
        <f>IF(Notes!$B$2="June",ROUND('Budget by Source'!F14/10,0)+S14,ROUND('Budget by Source'!F14/10,0))</f>
        <v>10063</v>
      </c>
      <c r="G14" s="22">
        <f>IF(Notes!$B$2="June",ROUND('Budget by Source'!G14/10,0)+T14,ROUND('Budget by Source'!G14/10,0))</f>
        <v>46496</v>
      </c>
      <c r="H14" s="22">
        <f t="shared" si="0"/>
        <v>605841</v>
      </c>
      <c r="I14" s="22">
        <f>INDEX(Data[],MATCH($A14,Data[Dist],0),MATCH(I$5,Data[#Headers],0))</f>
        <v>797099</v>
      </c>
      <c r="K14" s="69">
        <f>INDEX('Payment Total'!$A$7:$H$333,MATCH('Payment by Source'!$A14,'Payment Total'!$A$7:$A$333,0),3)-I14</f>
        <v>0</v>
      </c>
      <c r="P14" s="154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0</v>
      </c>
      <c r="Q14" s="154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-2</v>
      </c>
      <c r="R14" s="154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-3</v>
      </c>
      <c r="S14" s="154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3</v>
      </c>
      <c r="T14" s="154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1</v>
      </c>
      <c r="U14" s="155">
        <f>INDEX('Budget by Source'!$A$6:$I$332,MATCH('Payment by Source'!$A14,'Budget by Source'!$A$6:$A$332,0),MATCH(U$3,'Budget by Source'!$A$5:$I$5,0))</f>
        <v>6058413</v>
      </c>
      <c r="V14" s="152">
        <f t="shared" si="1"/>
        <v>605841</v>
      </c>
      <c r="W14" s="152">
        <f t="shared" si="2"/>
        <v>6058410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23985</v>
      </c>
      <c r="D15" s="22">
        <f>IF(Notes!$B$2="June",ROUND('Budget by Source'!D15/10,0)+Q15,ROUND('Budget by Source'!D15/10,0))</f>
        <v>65725</v>
      </c>
      <c r="E15" s="22">
        <f>IF(Notes!$B$2="June",ROUND('Budget by Source'!E15/10,0)+R15,ROUND('Budget by Source'!E15/10,0))</f>
        <v>7683</v>
      </c>
      <c r="F15" s="22">
        <f>IF(Notes!$B$2="June",ROUND('Budget by Source'!F15/10,0)+S15,ROUND('Budget by Source'!F15/10,0))</f>
        <v>6998</v>
      </c>
      <c r="G15" s="22">
        <f>IF(Notes!$B$2="June",ROUND('Budget by Source'!G15/10,0)+T15,ROUND('Budget by Source'!G15/10,0))</f>
        <v>37523</v>
      </c>
      <c r="H15" s="22">
        <f t="shared" si="0"/>
        <v>506193</v>
      </c>
      <c r="I15" s="22">
        <f>INDEX(Data[],MATCH($A15,Data[Dist],0),MATCH(I$5,Data[#Headers],0))</f>
        <v>648107</v>
      </c>
      <c r="K15" s="69">
        <f>INDEX('Payment Total'!$A$7:$H$333,MATCH('Payment by Source'!$A15,'Payment Total'!$A$7:$A$333,0),3)-I15</f>
        <v>0</v>
      </c>
      <c r="P15" s="154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-5</v>
      </c>
      <c r="Q15" s="154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2</v>
      </c>
      <c r="R15" s="154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-2</v>
      </c>
      <c r="S15" s="154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0</v>
      </c>
      <c r="T15" s="154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-5</v>
      </c>
      <c r="U15" s="155">
        <f>INDEX('Budget by Source'!$A$6:$I$332,MATCH('Payment by Source'!$A15,'Budget by Source'!$A$6:$A$332,0),MATCH(U$3,'Budget by Source'!$A$5:$I$5,0))</f>
        <v>5061939</v>
      </c>
      <c r="V15" s="152">
        <f t="shared" si="1"/>
        <v>506194</v>
      </c>
      <c r="W15" s="152">
        <f t="shared" si="2"/>
        <v>5061940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8487</v>
      </c>
      <c r="D16" s="22">
        <f>IF(Notes!$B$2="June",ROUND('Budget by Source'!D16/10,0)+Q16,ROUND('Budget by Source'!D16/10,0))</f>
        <v>40778</v>
      </c>
      <c r="E16" s="22">
        <f>IF(Notes!$B$2="June",ROUND('Budget by Source'!E16/10,0)+R16,ROUND('Budget by Source'!E16/10,0))</f>
        <v>3929</v>
      </c>
      <c r="F16" s="22">
        <f>IF(Notes!$B$2="June",ROUND('Budget by Source'!F16/10,0)+S16,ROUND('Budget by Source'!F16/10,0))</f>
        <v>4568</v>
      </c>
      <c r="G16" s="22">
        <f>IF(Notes!$B$2="June",ROUND('Budget by Source'!G16/10,0)+T16,ROUND('Budget by Source'!G16/10,0))</f>
        <v>20345</v>
      </c>
      <c r="H16" s="22">
        <f t="shared" si="0"/>
        <v>278144</v>
      </c>
      <c r="I16" s="22">
        <f>INDEX(Data[],MATCH($A16,Data[Dist],0),MATCH(I$5,Data[#Headers],0))</f>
        <v>356251</v>
      </c>
      <c r="K16" s="69">
        <f>INDEX('Payment Total'!$A$7:$H$333,MATCH('Payment by Source'!$A16,'Payment Total'!$A$7:$A$333,0),3)-I16</f>
        <v>0</v>
      </c>
      <c r="P16" s="154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-1</v>
      </c>
      <c r="Q16" s="154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3</v>
      </c>
      <c r="R16" s="154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4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1</v>
      </c>
      <c r="T16" s="154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-5</v>
      </c>
      <c r="U16" s="155">
        <f>INDEX('Budget by Source'!$A$6:$I$332,MATCH('Payment by Source'!$A16,'Budget by Source'!$A$6:$A$332,0),MATCH(U$3,'Budget by Source'!$A$5:$I$5,0))</f>
        <v>2781447</v>
      </c>
      <c r="V16" s="152">
        <f t="shared" si="1"/>
        <v>278145</v>
      </c>
      <c r="W16" s="152">
        <f t="shared" si="2"/>
        <v>2781450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20302</v>
      </c>
      <c r="D17" s="22">
        <f>IF(Notes!$B$2="June",ROUND('Budget by Source'!D17/10,0)+Q17,ROUND('Budget by Source'!D17/10,0))</f>
        <v>59413</v>
      </c>
      <c r="E17" s="22">
        <f>IF(Notes!$B$2="June",ROUND('Budget by Source'!E17/10,0)+R17,ROUND('Budget by Source'!E17/10,0))</f>
        <v>7234</v>
      </c>
      <c r="F17" s="22">
        <f>IF(Notes!$B$2="June",ROUND('Budget by Source'!F17/10,0)+S17,ROUND('Budget by Source'!F17/10,0))</f>
        <v>6784</v>
      </c>
      <c r="G17" s="22">
        <f>IF(Notes!$B$2="June",ROUND('Budget by Source'!G17/10,0)+T17,ROUND('Budget by Source'!G17/10,0))</f>
        <v>30631</v>
      </c>
      <c r="H17" s="22">
        <f t="shared" si="0"/>
        <v>362071</v>
      </c>
      <c r="I17" s="22">
        <f>INDEX(Data[],MATCH($A17,Data[Dist],0),MATCH(I$5,Data[#Headers],0))</f>
        <v>486435</v>
      </c>
      <c r="K17" s="69">
        <f>INDEX('Payment Total'!$A$7:$H$333,MATCH('Payment by Source'!$A17,'Payment Total'!$A$7:$A$333,0),3)-I17</f>
        <v>0</v>
      </c>
      <c r="P17" s="154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1</v>
      </c>
      <c r="Q17" s="154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3</v>
      </c>
      <c r="R17" s="154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0</v>
      </c>
      <c r="S17" s="154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-3</v>
      </c>
      <c r="T17" s="154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3</v>
      </c>
      <c r="U17" s="155">
        <f>INDEX('Budget by Source'!$A$6:$I$332,MATCH('Payment by Source'!$A17,'Budget by Source'!$A$6:$A$332,0),MATCH(U$3,'Budget by Source'!$A$5:$I$5,0))</f>
        <v>3620705</v>
      </c>
      <c r="V17" s="152">
        <f t="shared" si="1"/>
        <v>362071</v>
      </c>
      <c r="W17" s="152">
        <f t="shared" si="2"/>
        <v>3620710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105532</v>
      </c>
      <c r="D18" s="22">
        <f>IF(Notes!$B$2="June",ROUND('Budget by Source'!D18/10,0)+Q18,ROUND('Budget by Source'!D18/10,0))</f>
        <v>285002</v>
      </c>
      <c r="E18" s="22">
        <f>IF(Notes!$B$2="June",ROUND('Budget by Source'!E18/10,0)+R18,ROUND('Budget by Source'!E18/10,0))</f>
        <v>31987</v>
      </c>
      <c r="F18" s="22">
        <f>IF(Notes!$B$2="June",ROUND('Budget by Source'!F18/10,0)+S18,ROUND('Budget by Source'!F18/10,0))</f>
        <v>34741</v>
      </c>
      <c r="G18" s="22">
        <f>IF(Notes!$B$2="June",ROUND('Budget by Source'!G18/10,0)+T18,ROUND('Budget by Source'!G18/10,0))</f>
        <v>160452</v>
      </c>
      <c r="H18" s="22">
        <f t="shared" si="0"/>
        <v>1695082</v>
      </c>
      <c r="I18" s="22">
        <f>INDEX(Data[],MATCH($A18,Data[Dist],0),MATCH(I$5,Data[#Headers],0))</f>
        <v>2312796</v>
      </c>
      <c r="K18" s="69">
        <f>INDEX('Payment Total'!$A$7:$H$333,MATCH('Payment by Source'!$A18,'Payment Total'!$A$7:$A$333,0),3)-I18</f>
        <v>0</v>
      </c>
      <c r="P18" s="154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-4</v>
      </c>
      <c r="Q18" s="154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-4</v>
      </c>
      <c r="R18" s="154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2</v>
      </c>
      <c r="S18" s="154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4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-2</v>
      </c>
      <c r="U18" s="155">
        <f>INDEX('Budget by Source'!$A$6:$I$332,MATCH('Payment by Source'!$A18,'Budget by Source'!$A$6:$A$332,0),MATCH(U$3,'Budget by Source'!$A$5:$I$5,0))</f>
        <v>16950834</v>
      </c>
      <c r="V18" s="152">
        <f t="shared" si="1"/>
        <v>1695083</v>
      </c>
      <c r="W18" s="152">
        <f t="shared" si="2"/>
        <v>16950830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24353</v>
      </c>
      <c r="D19" s="22">
        <f>IF(Notes!$B$2="June",ROUND('Budget by Source'!D19/10,0)+Q19,ROUND('Budget by Source'!D19/10,0))</f>
        <v>84189</v>
      </c>
      <c r="E19" s="22">
        <f>IF(Notes!$B$2="June",ROUND('Budget by Source'!E19/10,0)+R19,ROUND('Budget by Source'!E19/10,0))</f>
        <v>8949</v>
      </c>
      <c r="F19" s="22">
        <f>IF(Notes!$B$2="June",ROUND('Budget by Source'!F19/10,0)+S19,ROUND('Budget by Source'!F19/10,0))</f>
        <v>9972</v>
      </c>
      <c r="G19" s="22">
        <f>IF(Notes!$B$2="June",ROUND('Budget by Source'!G19/10,0)+T19,ROUND('Budget by Source'!G19/10,0))</f>
        <v>45383</v>
      </c>
      <c r="H19" s="22">
        <f t="shared" si="0"/>
        <v>700005</v>
      </c>
      <c r="I19" s="22">
        <f>INDEX(Data[],MATCH($A19,Data[Dist],0),MATCH(I$5,Data[#Headers],0))</f>
        <v>872851</v>
      </c>
      <c r="K19" s="69">
        <f>INDEX('Payment Total'!$A$7:$H$333,MATCH('Payment by Source'!$A19,'Payment Total'!$A$7:$A$333,0),3)-I19</f>
        <v>0</v>
      </c>
      <c r="P19" s="154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4</v>
      </c>
      <c r="Q19" s="154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4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-4</v>
      </c>
      <c r="S19" s="154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2</v>
      </c>
      <c r="T19" s="154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4</v>
      </c>
      <c r="U19" s="155">
        <f>INDEX('Budget by Source'!$A$6:$I$332,MATCH('Payment by Source'!$A19,'Budget by Source'!$A$6:$A$332,0),MATCH(U$3,'Budget by Source'!$A$5:$I$5,0))</f>
        <v>7000043</v>
      </c>
      <c r="V19" s="152">
        <f t="shared" si="1"/>
        <v>700004</v>
      </c>
      <c r="W19" s="152">
        <f t="shared" si="2"/>
        <v>7000040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4797</v>
      </c>
      <c r="D20" s="22">
        <f>IF(Notes!$B$2="June",ROUND('Budget by Source'!D20/10,0)+Q20,ROUND('Budget by Source'!D20/10,0))</f>
        <v>15164</v>
      </c>
      <c r="E20" s="22">
        <f>IF(Notes!$B$2="June",ROUND('Budget by Source'!E20/10,0)+R20,ROUND('Budget by Source'!E20/10,0))</f>
        <v>1910</v>
      </c>
      <c r="F20" s="22">
        <f>IF(Notes!$B$2="June",ROUND('Budget by Source'!F20/10,0)+S20,ROUND('Budget by Source'!F20/10,0))</f>
        <v>1675</v>
      </c>
      <c r="G20" s="22">
        <f>IF(Notes!$B$2="June",ROUND('Budget by Source'!G20/10,0)+T20,ROUND('Budget by Source'!G20/10,0))</f>
        <v>7979</v>
      </c>
      <c r="H20" s="22">
        <f t="shared" si="0"/>
        <v>118888</v>
      </c>
      <c r="I20" s="22">
        <f>INDEX(Data[],MATCH($A20,Data[Dist],0),MATCH(I$5,Data[#Headers],0))</f>
        <v>150413</v>
      </c>
      <c r="K20" s="69">
        <f>INDEX('Payment Total'!$A$7:$H$333,MATCH('Payment by Source'!$A20,'Payment Total'!$A$7:$A$333,0),3)-I20</f>
        <v>0</v>
      </c>
      <c r="P20" s="154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-1</v>
      </c>
      <c r="Q20" s="154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4</v>
      </c>
      <c r="R20" s="154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4</v>
      </c>
      <c r="S20" s="154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4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-1</v>
      </c>
      <c r="U20" s="155">
        <f>INDEX('Budget by Source'!$A$6:$I$332,MATCH('Payment by Source'!$A20,'Budget by Source'!$A$6:$A$332,0),MATCH(U$3,'Budget by Source'!$A$5:$I$5,0))</f>
        <v>1188876</v>
      </c>
      <c r="V20" s="152">
        <f t="shared" si="1"/>
        <v>118888</v>
      </c>
      <c r="W20" s="152">
        <f t="shared" si="2"/>
        <v>1188880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103687</v>
      </c>
      <c r="D21" s="22">
        <f>IF(Notes!$B$2="June",ROUND('Budget by Source'!D21/10,0)+Q21,ROUND('Budget by Source'!D21/10,0))</f>
        <v>731050</v>
      </c>
      <c r="E21" s="22">
        <f>IF(Notes!$B$2="June",ROUND('Budget by Source'!E21/10,0)+R21,ROUND('Budget by Source'!E21/10,0))</f>
        <v>84970</v>
      </c>
      <c r="F21" s="22">
        <f>IF(Notes!$B$2="June",ROUND('Budget by Source'!F21/10,0)+S21,ROUND('Budget by Source'!F21/10,0))</f>
        <v>80741</v>
      </c>
      <c r="G21" s="22">
        <f>IF(Notes!$B$2="June",ROUND('Budget by Source'!G21/10,0)+T21,ROUND('Budget by Source'!G21/10,0))</f>
        <v>447687</v>
      </c>
      <c r="H21" s="22">
        <f t="shared" si="0"/>
        <v>6718493</v>
      </c>
      <c r="I21" s="22">
        <f>INDEX(Data[],MATCH($A21,Data[Dist],0),MATCH(I$5,Data[#Headers],0))</f>
        <v>8166628</v>
      </c>
      <c r="K21" s="69">
        <f>INDEX('Payment Total'!$A$7:$H$333,MATCH('Payment by Source'!$A21,'Payment Total'!$A$7:$A$333,0),3)-I21</f>
        <v>0</v>
      </c>
      <c r="P21" s="154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-3</v>
      </c>
      <c r="Q21" s="154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3</v>
      </c>
      <c r="R21" s="154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4</v>
      </c>
      <c r="S21" s="154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4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-5</v>
      </c>
      <c r="U21" s="155">
        <f>INDEX('Budget by Source'!$A$6:$I$332,MATCH('Payment by Source'!$A21,'Budget by Source'!$A$6:$A$332,0),MATCH(U$3,'Budget by Source'!$A$5:$I$5,0))</f>
        <v>67184925</v>
      </c>
      <c r="V21" s="152">
        <f t="shared" si="1"/>
        <v>6718493</v>
      </c>
      <c r="W21" s="152">
        <f t="shared" si="2"/>
        <v>67184930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14760</v>
      </c>
      <c r="D22" s="22">
        <f>IF(Notes!$B$2="June",ROUND('Budget by Source'!D22/10,0)+Q22,ROUND('Budget by Source'!D22/10,0))</f>
        <v>53951</v>
      </c>
      <c r="E22" s="22">
        <f>IF(Notes!$B$2="June",ROUND('Budget by Source'!E22/10,0)+R22,ROUND('Budget by Source'!E22/10,0))</f>
        <v>7035</v>
      </c>
      <c r="F22" s="22">
        <f>IF(Notes!$B$2="June",ROUND('Budget by Source'!F22/10,0)+S22,ROUND('Budget by Source'!F22/10,0))</f>
        <v>6025</v>
      </c>
      <c r="G22" s="22">
        <f>IF(Notes!$B$2="June",ROUND('Budget by Source'!G22/10,0)+T22,ROUND('Budget by Source'!G22/10,0))</f>
        <v>29154</v>
      </c>
      <c r="H22" s="22">
        <f t="shared" si="0"/>
        <v>452503</v>
      </c>
      <c r="I22" s="22">
        <f>INDEX(Data[],MATCH($A22,Data[Dist],0),MATCH(I$5,Data[#Headers],0))</f>
        <v>563428</v>
      </c>
      <c r="K22" s="69">
        <f>INDEX('Payment Total'!$A$7:$H$333,MATCH('Payment by Source'!$A22,'Payment Total'!$A$7:$A$333,0),3)-I22</f>
        <v>0</v>
      </c>
      <c r="P22" s="154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-3</v>
      </c>
      <c r="Q22" s="154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2</v>
      </c>
      <c r="R22" s="154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0</v>
      </c>
      <c r="S22" s="154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4</v>
      </c>
      <c r="T22" s="154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-5</v>
      </c>
      <c r="U22" s="155">
        <f>INDEX('Budget by Source'!$A$6:$I$332,MATCH('Payment by Source'!$A22,'Budget by Source'!$A$6:$A$332,0),MATCH(U$3,'Budget by Source'!$A$5:$I$5,0))</f>
        <v>4525031</v>
      </c>
      <c r="V22" s="152">
        <f t="shared" si="1"/>
        <v>452503</v>
      </c>
      <c r="W22" s="152">
        <f t="shared" si="2"/>
        <v>4525030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4059</v>
      </c>
      <c r="D23" s="22">
        <f>IF(Notes!$B$2="June",ROUND('Budget by Source'!D23/10,0)+Q23,ROUND('Budget by Source'!D23/10,0))</f>
        <v>29477</v>
      </c>
      <c r="E23" s="22">
        <f>IF(Notes!$B$2="June",ROUND('Budget by Source'!E23/10,0)+R23,ROUND('Budget by Source'!E23/10,0))</f>
        <v>3578</v>
      </c>
      <c r="F23" s="22">
        <f>IF(Notes!$B$2="June",ROUND('Budget by Source'!F23/10,0)+S23,ROUND('Budget by Source'!F23/10,0))</f>
        <v>3318</v>
      </c>
      <c r="G23" s="22">
        <f>IF(Notes!$B$2="June",ROUND('Budget by Source'!G23/10,0)+T23,ROUND('Budget by Source'!G23/10,0))</f>
        <v>14384</v>
      </c>
      <c r="H23" s="22">
        <f t="shared" si="0"/>
        <v>101452</v>
      </c>
      <c r="I23" s="22">
        <f>INDEX(Data[],MATCH($A23,Data[Dist],0),MATCH(I$5,Data[#Headers],0))</f>
        <v>156268</v>
      </c>
      <c r="K23" s="69">
        <f>INDEX('Payment Total'!$A$7:$H$333,MATCH('Payment by Source'!$A23,'Payment Total'!$A$7:$A$333,0),3)-I23</f>
        <v>0</v>
      </c>
      <c r="P23" s="154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4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1</v>
      </c>
      <c r="R23" s="154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-2</v>
      </c>
      <c r="S23" s="154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1</v>
      </c>
      <c r="T23" s="154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-4</v>
      </c>
      <c r="U23" s="155">
        <f>INDEX('Budget by Source'!$A$6:$I$332,MATCH('Payment by Source'!$A23,'Budget by Source'!$A$6:$A$332,0),MATCH(U$3,'Budget by Source'!$A$5:$I$5,0))</f>
        <v>1014521</v>
      </c>
      <c r="V23" s="152">
        <f t="shared" si="1"/>
        <v>101452</v>
      </c>
      <c r="W23" s="152">
        <f t="shared" si="2"/>
        <v>1014520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5535</v>
      </c>
      <c r="D24" s="22">
        <f>IF(Notes!$B$2="June",ROUND('Budget by Source'!D24/10,0)+Q24,ROUND('Budget by Source'!D24/10,0))</f>
        <v>18545</v>
      </c>
      <c r="E24" s="22">
        <f>IF(Notes!$B$2="June",ROUND('Budget by Source'!E24/10,0)+R24,ROUND('Budget by Source'!E24/10,0))</f>
        <v>1897</v>
      </c>
      <c r="F24" s="22">
        <f>IF(Notes!$B$2="June",ROUND('Budget by Source'!F24/10,0)+S24,ROUND('Budget by Source'!F24/10,0))</f>
        <v>1843</v>
      </c>
      <c r="G24" s="22">
        <f>IF(Notes!$B$2="June",ROUND('Budget by Source'!G24/10,0)+T24,ROUND('Budget by Source'!G24/10,0))</f>
        <v>9990</v>
      </c>
      <c r="H24" s="22">
        <f t="shared" si="0"/>
        <v>69368</v>
      </c>
      <c r="I24" s="22">
        <f>INDEX(Data[],MATCH($A24,Data[Dist],0),MATCH(I$5,Data[#Headers],0))</f>
        <v>107178</v>
      </c>
      <c r="K24" s="69">
        <f>INDEX('Payment Total'!$A$7:$H$333,MATCH('Payment by Source'!$A24,'Payment Total'!$A$7:$A$333,0),3)-I24</f>
        <v>0</v>
      </c>
      <c r="P24" s="154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-1</v>
      </c>
      <c r="Q24" s="154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-5</v>
      </c>
      <c r="R24" s="154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-1</v>
      </c>
      <c r="S24" s="154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-3</v>
      </c>
      <c r="T24" s="154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-2</v>
      </c>
      <c r="U24" s="155">
        <f>INDEX('Budget by Source'!$A$6:$I$332,MATCH('Payment by Source'!$A24,'Budget by Source'!$A$6:$A$332,0),MATCH(U$3,'Budget by Source'!$A$5:$I$5,0))</f>
        <v>693696</v>
      </c>
      <c r="V24" s="152">
        <f t="shared" si="1"/>
        <v>69370</v>
      </c>
      <c r="W24" s="152">
        <f t="shared" si="2"/>
        <v>693700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34316</v>
      </c>
      <c r="D25" s="22">
        <f>IF(Notes!$B$2="June",ROUND('Budget by Source'!D25/10,0)+Q25,ROUND('Budget by Source'!D25/10,0))</f>
        <v>89581</v>
      </c>
      <c r="E25" s="22">
        <f>IF(Notes!$B$2="June",ROUND('Budget by Source'!E25/10,0)+R25,ROUND('Budget by Source'!E25/10,0))</f>
        <v>11702</v>
      </c>
      <c r="F25" s="22">
        <f>IF(Notes!$B$2="June",ROUND('Budget by Source'!F25/10,0)+S25,ROUND('Budget by Source'!F25/10,0))</f>
        <v>10471</v>
      </c>
      <c r="G25" s="22">
        <f>IF(Notes!$B$2="June",ROUND('Budget by Source'!G25/10,0)+T25,ROUND('Budget by Source'!G25/10,0))</f>
        <v>49205</v>
      </c>
      <c r="H25" s="22">
        <f t="shared" si="0"/>
        <v>802568</v>
      </c>
      <c r="I25" s="22">
        <f>INDEX(Data[],MATCH($A25,Data[Dist],0),MATCH(I$5,Data[#Headers],0))</f>
        <v>997843</v>
      </c>
      <c r="K25" s="69">
        <f>INDEX('Payment Total'!$A$7:$H$333,MATCH('Payment by Source'!$A25,'Payment Total'!$A$7:$A$333,0),3)-I25</f>
        <v>0</v>
      </c>
      <c r="P25" s="154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3</v>
      </c>
      <c r="Q25" s="154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4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-4</v>
      </c>
      <c r="S25" s="154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-2</v>
      </c>
      <c r="T25" s="154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-3</v>
      </c>
      <c r="U25" s="155">
        <f>INDEX('Budget by Source'!$A$6:$I$332,MATCH('Payment by Source'!$A25,'Budget by Source'!$A$6:$A$332,0),MATCH(U$3,'Budget by Source'!$A$5:$I$5,0))</f>
        <v>8025691</v>
      </c>
      <c r="V25" s="152">
        <f t="shared" si="1"/>
        <v>802569</v>
      </c>
      <c r="W25" s="152">
        <f t="shared" si="2"/>
        <v>8025690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10701</v>
      </c>
      <c r="D26" s="22">
        <f>IF(Notes!$B$2="June",ROUND('Budget by Source'!D26/10,0)+Q26,ROUND('Budget by Source'!D26/10,0))</f>
        <v>34686</v>
      </c>
      <c r="E26" s="22">
        <f>IF(Notes!$B$2="June",ROUND('Budget by Source'!E26/10,0)+R26,ROUND('Budget by Source'!E26/10,0))</f>
        <v>3605</v>
      </c>
      <c r="F26" s="22">
        <f>IF(Notes!$B$2="June",ROUND('Budget by Source'!F26/10,0)+S26,ROUND('Budget by Source'!F26/10,0))</f>
        <v>3954</v>
      </c>
      <c r="G26" s="22">
        <f>IF(Notes!$B$2="June",ROUND('Budget by Source'!G26/10,0)+T26,ROUND('Budget by Source'!G26/10,0))</f>
        <v>18742</v>
      </c>
      <c r="H26" s="22">
        <f t="shared" si="0"/>
        <v>257936</v>
      </c>
      <c r="I26" s="22">
        <f>INDEX(Data[],MATCH($A26,Data[Dist],0),MATCH(I$5,Data[#Headers],0))</f>
        <v>329624</v>
      </c>
      <c r="K26" s="69">
        <f>INDEX('Payment Total'!$A$7:$H$333,MATCH('Payment by Source'!$A26,'Payment Total'!$A$7:$A$333,0),3)-I26</f>
        <v>0</v>
      </c>
      <c r="P26" s="154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-2</v>
      </c>
      <c r="Q26" s="154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0</v>
      </c>
      <c r="R26" s="154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3</v>
      </c>
      <c r="S26" s="154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-4</v>
      </c>
      <c r="T26" s="154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-4</v>
      </c>
      <c r="U26" s="155">
        <f>INDEX('Budget by Source'!$A$6:$I$332,MATCH('Payment by Source'!$A26,'Budget by Source'!$A$6:$A$332,0),MATCH(U$3,'Budget by Source'!$A$5:$I$5,0))</f>
        <v>2579371</v>
      </c>
      <c r="V26" s="152">
        <f t="shared" si="1"/>
        <v>257937</v>
      </c>
      <c r="W26" s="152">
        <f t="shared" si="2"/>
        <v>2579370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19926</v>
      </c>
      <c r="D27" s="22">
        <f>IF(Notes!$B$2="June",ROUND('Budget by Source'!D27/10,0)+Q27,ROUND('Budget by Source'!D27/10,0))</f>
        <v>45902</v>
      </c>
      <c r="E27" s="22">
        <f>IF(Notes!$B$2="June",ROUND('Budget by Source'!E27/10,0)+R27,ROUND('Budget by Source'!E27/10,0))</f>
        <v>5176</v>
      </c>
      <c r="F27" s="22">
        <f>IF(Notes!$B$2="June",ROUND('Budget by Source'!F27/10,0)+S27,ROUND('Budget by Source'!F27/10,0))</f>
        <v>4660</v>
      </c>
      <c r="G27" s="22">
        <f>IF(Notes!$B$2="June",ROUND('Budget by Source'!G27/10,0)+T27,ROUND('Budget by Source'!G27/10,0))</f>
        <v>27382</v>
      </c>
      <c r="H27" s="22">
        <f t="shared" si="0"/>
        <v>280937</v>
      </c>
      <c r="I27" s="22">
        <f>INDEX(Data[],MATCH($A27,Data[Dist],0),MATCH(I$5,Data[#Headers],0))</f>
        <v>383983</v>
      </c>
      <c r="K27" s="69">
        <f>INDEX('Payment Total'!$A$7:$H$333,MATCH('Payment by Source'!$A27,'Payment Total'!$A$7:$A$333,0),3)-I27</f>
        <v>0</v>
      </c>
      <c r="P27" s="154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-5</v>
      </c>
      <c r="Q27" s="154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-1</v>
      </c>
      <c r="R27" s="154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-3</v>
      </c>
      <c r="S27" s="154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-1</v>
      </c>
      <c r="T27" s="154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4</v>
      </c>
      <c r="U27" s="155">
        <f>INDEX('Budget by Source'!$A$6:$I$332,MATCH('Payment by Source'!$A27,'Budget by Source'!$A$6:$A$332,0),MATCH(U$3,'Budget by Source'!$A$5:$I$5,0))</f>
        <v>2809374</v>
      </c>
      <c r="V27" s="152">
        <f t="shared" si="1"/>
        <v>280937</v>
      </c>
      <c r="W27" s="152">
        <f t="shared" si="2"/>
        <v>2809370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46862</v>
      </c>
      <c r="D28" s="22">
        <f>IF(Notes!$B$2="June",ROUND('Budget by Source'!D28/10,0)+Q28,ROUND('Budget by Source'!D28/10,0))</f>
        <v>100496</v>
      </c>
      <c r="E28" s="22">
        <f>IF(Notes!$B$2="June",ROUND('Budget by Source'!E28/10,0)+R28,ROUND('Budget by Source'!E28/10,0))</f>
        <v>12624</v>
      </c>
      <c r="F28" s="22">
        <f>IF(Notes!$B$2="June",ROUND('Budget by Source'!F28/10,0)+S28,ROUND('Budget by Source'!F28/10,0))</f>
        <v>10781</v>
      </c>
      <c r="G28" s="22">
        <f>IF(Notes!$B$2="June",ROUND('Budget by Source'!G28/10,0)+T28,ROUND('Budget by Source'!G28/10,0))</f>
        <v>60826</v>
      </c>
      <c r="H28" s="22">
        <f t="shared" si="0"/>
        <v>1025104</v>
      </c>
      <c r="I28" s="22">
        <f>INDEX(Data[],MATCH($A28,Data[Dist],0),MATCH(I$5,Data[#Headers],0))</f>
        <v>1256693</v>
      </c>
      <c r="K28" s="69">
        <f>INDEX('Payment Total'!$A$7:$H$333,MATCH('Payment by Source'!$A28,'Payment Total'!$A$7:$A$333,0),3)-I28</f>
        <v>0</v>
      </c>
      <c r="P28" s="154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0</v>
      </c>
      <c r="Q28" s="154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-5</v>
      </c>
      <c r="R28" s="154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2</v>
      </c>
      <c r="S28" s="154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4</v>
      </c>
      <c r="T28" s="154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0</v>
      </c>
      <c r="U28" s="155">
        <f>INDEX('Budget by Source'!$A$6:$I$332,MATCH('Payment by Source'!$A28,'Budget by Source'!$A$6:$A$332,0),MATCH(U$3,'Budget by Source'!$A$5:$I$5,0))</f>
        <v>10251040</v>
      </c>
      <c r="V28" s="152">
        <f t="shared" si="1"/>
        <v>1025104</v>
      </c>
      <c r="W28" s="152">
        <f t="shared" si="2"/>
        <v>10251040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9225</v>
      </c>
      <c r="D29" s="22">
        <f>IF(Notes!$B$2="June",ROUND('Budget by Source'!D29/10,0)+Q29,ROUND('Budget by Source'!D29/10,0))</f>
        <v>24228</v>
      </c>
      <c r="E29" s="22">
        <f>IF(Notes!$B$2="June",ROUND('Budget by Source'!E29/10,0)+R29,ROUND('Budget by Source'!E29/10,0))</f>
        <v>2634</v>
      </c>
      <c r="F29" s="22">
        <f>IF(Notes!$B$2="June",ROUND('Budget by Source'!F29/10,0)+S29,ROUND('Budget by Source'!F29/10,0))</f>
        <v>2453</v>
      </c>
      <c r="G29" s="22">
        <f>IF(Notes!$B$2="June",ROUND('Budget by Source'!G29/10,0)+T29,ROUND('Budget by Source'!G29/10,0))</f>
        <v>12852</v>
      </c>
      <c r="H29" s="22">
        <f t="shared" si="0"/>
        <v>212428</v>
      </c>
      <c r="I29" s="22">
        <f>INDEX(Data[],MATCH($A29,Data[Dist],0),MATCH(I$5,Data[#Headers],0))</f>
        <v>263820</v>
      </c>
      <c r="K29" s="69">
        <f>INDEX('Payment Total'!$A$7:$H$333,MATCH('Payment by Source'!$A29,'Payment Total'!$A$7:$A$333,0),3)-I29</f>
        <v>0</v>
      </c>
      <c r="P29" s="154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-2</v>
      </c>
      <c r="Q29" s="154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-3</v>
      </c>
      <c r="R29" s="154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0</v>
      </c>
      <c r="S29" s="154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3</v>
      </c>
      <c r="T29" s="154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2</v>
      </c>
      <c r="U29" s="155">
        <f>INDEX('Budget by Source'!$A$6:$I$332,MATCH('Payment by Source'!$A29,'Budget by Source'!$A$6:$A$332,0),MATCH(U$3,'Budget by Source'!$A$5:$I$5,0))</f>
        <v>2124282</v>
      </c>
      <c r="V29" s="152">
        <f t="shared" si="1"/>
        <v>212428</v>
      </c>
      <c r="W29" s="152">
        <f t="shared" si="2"/>
        <v>2124280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7380</v>
      </c>
      <c r="D30" s="22">
        <f>IF(Notes!$B$2="June",ROUND('Budget by Source'!D30/10,0)+Q30,ROUND('Budget by Source'!D30/10,0))</f>
        <v>31385</v>
      </c>
      <c r="E30" s="22">
        <f>IF(Notes!$B$2="June",ROUND('Budget by Source'!E30/10,0)+R30,ROUND('Budget by Source'!E30/10,0))</f>
        <v>3368</v>
      </c>
      <c r="F30" s="22">
        <f>IF(Notes!$B$2="June",ROUND('Budget by Source'!F30/10,0)+S30,ROUND('Budget by Source'!F30/10,0))</f>
        <v>3490</v>
      </c>
      <c r="G30" s="22">
        <f>IF(Notes!$B$2="June",ROUND('Budget by Source'!G30/10,0)+T30,ROUND('Budget by Source'!G30/10,0))</f>
        <v>17421</v>
      </c>
      <c r="H30" s="22">
        <f t="shared" si="0"/>
        <v>205385</v>
      </c>
      <c r="I30" s="22">
        <f>INDEX(Data[],MATCH($A30,Data[Dist],0),MATCH(I$5,Data[#Headers],0))</f>
        <v>268429</v>
      </c>
      <c r="K30" s="69">
        <f>INDEX('Payment Total'!$A$7:$H$333,MATCH('Payment by Source'!$A30,'Payment Total'!$A$7:$A$333,0),3)-I30</f>
        <v>0</v>
      </c>
      <c r="P30" s="154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-2</v>
      </c>
      <c r="Q30" s="154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1</v>
      </c>
      <c r="R30" s="154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4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1</v>
      </c>
      <c r="T30" s="154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5">
        <f>INDEX('Budget by Source'!$A$6:$I$332,MATCH('Payment by Source'!$A30,'Budget by Source'!$A$6:$A$332,0),MATCH(U$3,'Budget by Source'!$A$5:$I$5,0))</f>
        <v>2053847</v>
      </c>
      <c r="V30" s="152">
        <f t="shared" si="1"/>
        <v>205385</v>
      </c>
      <c r="W30" s="152">
        <f t="shared" si="2"/>
        <v>2053850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9963</v>
      </c>
      <c r="D31" s="22">
        <f>IF(Notes!$B$2="June",ROUND('Budget by Source'!D31/10,0)+Q31,ROUND('Budget by Source'!D31/10,0))</f>
        <v>32971</v>
      </c>
      <c r="E31" s="22">
        <f>IF(Notes!$B$2="June",ROUND('Budget by Source'!E31/10,0)+R31,ROUND('Budget by Source'!E31/10,0))</f>
        <v>3858</v>
      </c>
      <c r="F31" s="22">
        <f>IF(Notes!$B$2="June",ROUND('Budget by Source'!F31/10,0)+S31,ROUND('Budget by Source'!F31/10,0))</f>
        <v>3513</v>
      </c>
      <c r="G31" s="22">
        <f>IF(Notes!$B$2="June",ROUND('Budget by Source'!G31/10,0)+T31,ROUND('Budget by Source'!G31/10,0))</f>
        <v>17414</v>
      </c>
      <c r="H31" s="22">
        <f t="shared" si="0"/>
        <v>246118</v>
      </c>
      <c r="I31" s="22">
        <f>INDEX(Data[],MATCH($A31,Data[Dist],0),MATCH(I$5,Data[#Headers],0))</f>
        <v>313837</v>
      </c>
      <c r="K31" s="69">
        <f>INDEX('Payment Total'!$A$7:$H$333,MATCH('Payment by Source'!$A31,'Payment Total'!$A$7:$A$333,0),3)-I31</f>
        <v>0</v>
      </c>
      <c r="P31" s="154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-2</v>
      </c>
      <c r="Q31" s="154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4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-4</v>
      </c>
      <c r="S31" s="154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-5</v>
      </c>
      <c r="T31" s="154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1</v>
      </c>
      <c r="U31" s="155">
        <f>INDEX('Budget by Source'!$A$6:$I$332,MATCH('Payment by Source'!$A31,'Budget by Source'!$A$6:$A$332,0),MATCH(U$3,'Budget by Source'!$A$5:$I$5,0))</f>
        <v>2461187</v>
      </c>
      <c r="V31" s="152">
        <f t="shared" si="1"/>
        <v>246119</v>
      </c>
      <c r="W31" s="152">
        <f t="shared" si="2"/>
        <v>2461190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8118</v>
      </c>
      <c r="D32" s="22">
        <f>IF(Notes!$B$2="June",ROUND('Budget by Source'!D32/10,0)+Q32,ROUND('Budget by Source'!D32/10,0))</f>
        <v>29534</v>
      </c>
      <c r="E32" s="22">
        <f>IF(Notes!$B$2="June",ROUND('Budget by Source'!E32/10,0)+R32,ROUND('Budget by Source'!E32/10,0))</f>
        <v>3032</v>
      </c>
      <c r="F32" s="22">
        <f>IF(Notes!$B$2="June",ROUND('Budget by Source'!F32/10,0)+S32,ROUND('Budget by Source'!F32/10,0))</f>
        <v>2970</v>
      </c>
      <c r="G32" s="22">
        <f>IF(Notes!$B$2="June",ROUND('Budget by Source'!G32/10,0)+T32,ROUND('Budget by Source'!G32/10,0))</f>
        <v>16863</v>
      </c>
      <c r="H32" s="22">
        <f t="shared" si="0"/>
        <v>249861</v>
      </c>
      <c r="I32" s="22">
        <f>INDEX(Data[],MATCH($A32,Data[Dist],0),MATCH(I$5,Data[#Headers],0))</f>
        <v>310378</v>
      </c>
      <c r="K32" s="69">
        <f>INDEX('Payment Total'!$A$7:$H$333,MATCH('Payment by Source'!$A32,'Payment Total'!$A$7:$A$333,0),3)-I32</f>
        <v>0</v>
      </c>
      <c r="P32" s="154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-2</v>
      </c>
      <c r="Q32" s="154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0</v>
      </c>
      <c r="R32" s="154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3</v>
      </c>
      <c r="S32" s="154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-3</v>
      </c>
      <c r="T32" s="154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1</v>
      </c>
      <c r="U32" s="155">
        <f>INDEX('Budget by Source'!$A$6:$I$332,MATCH('Payment by Source'!$A32,'Budget by Source'!$A$6:$A$332,0),MATCH(U$3,'Budget by Source'!$A$5:$I$5,0))</f>
        <v>2498609</v>
      </c>
      <c r="V32" s="152">
        <f t="shared" si="1"/>
        <v>249861</v>
      </c>
      <c r="W32" s="152">
        <f t="shared" si="2"/>
        <v>2498610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22509</v>
      </c>
      <c r="D33" s="22">
        <f>IF(Notes!$B$2="June",ROUND('Budget by Source'!D33/10,0)+Q33,ROUND('Budget by Source'!D33/10,0))</f>
        <v>40950</v>
      </c>
      <c r="E33" s="22">
        <f>IF(Notes!$B$2="June",ROUND('Budget by Source'!E33/10,0)+R33,ROUND('Budget by Source'!E33/10,0))</f>
        <v>4232</v>
      </c>
      <c r="F33" s="22">
        <f>IF(Notes!$B$2="June",ROUND('Budget by Source'!F33/10,0)+S33,ROUND('Budget by Source'!F33/10,0))</f>
        <v>4523</v>
      </c>
      <c r="G33" s="22">
        <f>IF(Notes!$B$2="June",ROUND('Budget by Source'!G33/10,0)+T33,ROUND('Budget by Source'!G33/10,0))</f>
        <v>22295</v>
      </c>
      <c r="H33" s="22">
        <f t="shared" si="0"/>
        <v>287065</v>
      </c>
      <c r="I33" s="22">
        <f>INDEX(Data[],MATCH($A33,Data[Dist],0),MATCH(I$5,Data[#Headers],0))</f>
        <v>381574</v>
      </c>
      <c r="K33" s="69">
        <f>INDEX('Payment Total'!$A$7:$H$333,MATCH('Payment by Source'!$A33,'Payment Total'!$A$7:$A$333,0),3)-I33</f>
        <v>0</v>
      </c>
      <c r="P33" s="154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-5</v>
      </c>
      <c r="Q33" s="154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1</v>
      </c>
      <c r="R33" s="154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-5</v>
      </c>
      <c r="S33" s="154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1</v>
      </c>
      <c r="T33" s="154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-5</v>
      </c>
      <c r="U33" s="155">
        <f>INDEX('Budget by Source'!$A$6:$I$332,MATCH('Payment by Source'!$A33,'Budget by Source'!$A$6:$A$332,0),MATCH(U$3,'Budget by Source'!$A$5:$I$5,0))</f>
        <v>2870660</v>
      </c>
      <c r="V33" s="152">
        <f t="shared" si="1"/>
        <v>287066</v>
      </c>
      <c r="W33" s="152">
        <f t="shared" si="2"/>
        <v>2870660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9963</v>
      </c>
      <c r="D34" s="22">
        <f>IF(Notes!$B$2="June",ROUND('Budget by Source'!D34/10,0)+Q34,ROUND('Budget by Source'!D34/10,0))</f>
        <v>47547</v>
      </c>
      <c r="E34" s="22">
        <f>IF(Notes!$B$2="June",ROUND('Budget by Source'!E34/10,0)+R34,ROUND('Budget by Source'!E34/10,0))</f>
        <v>5920</v>
      </c>
      <c r="F34" s="22">
        <f>IF(Notes!$B$2="June",ROUND('Budget by Source'!F34/10,0)+S34,ROUND('Budget by Source'!F34/10,0))</f>
        <v>5095</v>
      </c>
      <c r="G34" s="22">
        <f>IF(Notes!$B$2="June",ROUND('Budget by Source'!G34/10,0)+T34,ROUND('Budget by Source'!G34/10,0))</f>
        <v>27050</v>
      </c>
      <c r="H34" s="22">
        <f t="shared" si="0"/>
        <v>399279</v>
      </c>
      <c r="I34" s="22">
        <f>INDEX(Data[],MATCH($A34,Data[Dist],0),MATCH(I$5,Data[#Headers],0))</f>
        <v>494854</v>
      </c>
      <c r="K34" s="69">
        <f>INDEX('Payment Total'!$A$7:$H$333,MATCH('Payment by Source'!$A34,'Payment Total'!$A$7:$A$333,0),3)-I34</f>
        <v>0</v>
      </c>
      <c r="P34" s="154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-2</v>
      </c>
      <c r="Q34" s="154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1</v>
      </c>
      <c r="R34" s="154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4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-3</v>
      </c>
      <c r="T34" s="154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-3</v>
      </c>
      <c r="U34" s="155">
        <f>INDEX('Budget by Source'!$A$6:$I$332,MATCH('Payment by Source'!$A34,'Budget by Source'!$A$6:$A$332,0),MATCH(U$3,'Budget by Source'!$A$5:$I$5,0))</f>
        <v>3992800</v>
      </c>
      <c r="V34" s="152">
        <f t="shared" si="1"/>
        <v>399280</v>
      </c>
      <c r="W34" s="152">
        <f t="shared" si="2"/>
        <v>3992800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2583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82464</v>
      </c>
      <c r="I35" s="22">
        <f>INDEX(Data[],MATCH($A35,Data[Dist],0),MATCH(I$5,Data[#Headers],0))</f>
        <v>106228</v>
      </c>
      <c r="K35" s="69">
        <f>INDEX('Payment Total'!$A$7:$H$333,MATCH('Payment by Source'!$A35,'Payment Total'!$A$7:$A$333,0),3)-I35</f>
        <v>0</v>
      </c>
      <c r="P35" s="154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0</v>
      </c>
      <c r="Q35" s="154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4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4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4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5">
        <f>INDEX('Budget by Source'!$A$6:$I$332,MATCH('Payment by Source'!$A35,'Budget by Source'!$A$6:$A$332,0),MATCH(U$3,'Budget by Source'!$A$5:$I$5,0))</f>
        <v>824648</v>
      </c>
      <c r="V35" s="152">
        <f t="shared" si="1"/>
        <v>82465</v>
      </c>
      <c r="W35" s="152">
        <f t="shared" si="2"/>
        <v>824650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36161</v>
      </c>
      <c r="D36" s="22">
        <f>IF(Notes!$B$2="June",ROUND('Budget by Source'!D36/10,0)+Q36,ROUND('Budget by Source'!D36/10,0))</f>
        <v>94834</v>
      </c>
      <c r="E36" s="22">
        <f>IF(Notes!$B$2="June",ROUND('Budget by Source'!E36/10,0)+R36,ROUND('Budget by Source'!E36/10,0))</f>
        <v>9930</v>
      </c>
      <c r="F36" s="22">
        <f>IF(Notes!$B$2="June",ROUND('Budget by Source'!F36/10,0)+S36,ROUND('Budget by Source'!F36/10,0))</f>
        <v>10459</v>
      </c>
      <c r="G36" s="22">
        <f>IF(Notes!$B$2="June",ROUND('Budget by Source'!G36/10,0)+T36,ROUND('Budget by Source'!G36/10,0))</f>
        <v>54053</v>
      </c>
      <c r="H36" s="22">
        <f t="shared" si="0"/>
        <v>708120</v>
      </c>
      <c r="I36" s="22">
        <f>INDEX(Data[],MATCH($A36,Data[Dist],0),MATCH(I$5,Data[#Headers],0))</f>
        <v>913557</v>
      </c>
      <c r="K36" s="69">
        <f>INDEX('Payment Total'!$A$7:$H$333,MATCH('Payment by Source'!$A36,'Payment Total'!$A$7:$A$333,0),3)-I36</f>
        <v>0</v>
      </c>
      <c r="P36" s="154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2</v>
      </c>
      <c r="Q36" s="154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2</v>
      </c>
      <c r="R36" s="154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-2</v>
      </c>
      <c r="S36" s="154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4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-2</v>
      </c>
      <c r="U36" s="155">
        <f>INDEX('Budget by Source'!$A$6:$I$332,MATCH('Payment by Source'!$A36,'Budget by Source'!$A$6:$A$332,0),MATCH(U$3,'Budget by Source'!$A$5:$I$5,0))</f>
        <v>7081202</v>
      </c>
      <c r="V36" s="152">
        <f t="shared" si="1"/>
        <v>708120</v>
      </c>
      <c r="W36" s="152">
        <f t="shared" si="2"/>
        <v>7081200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89665</v>
      </c>
      <c r="D37" s="22">
        <f>IF(Notes!$B$2="June",ROUND('Budget by Source'!D37/10,0)+Q37,ROUND('Budget by Source'!D37/10,0))</f>
        <v>250702</v>
      </c>
      <c r="E37" s="22">
        <f>IF(Notes!$B$2="June",ROUND('Budget by Source'!E37/10,0)+R37,ROUND('Budget by Source'!E37/10,0))</f>
        <v>29002</v>
      </c>
      <c r="F37" s="22">
        <f>IF(Notes!$B$2="June",ROUND('Budget by Source'!F37/10,0)+S37,ROUND('Budget by Source'!F37/10,0))</f>
        <v>28670</v>
      </c>
      <c r="G37" s="22">
        <f>IF(Notes!$B$2="June",ROUND('Budget by Source'!G37/10,0)+T37,ROUND('Budget by Source'!G37/10,0))</f>
        <v>144705</v>
      </c>
      <c r="H37" s="22">
        <f t="shared" si="0"/>
        <v>2115619</v>
      </c>
      <c r="I37" s="22">
        <f>INDEX(Data[],MATCH($A37,Data[Dist],0),MATCH(I$5,Data[#Headers],0))</f>
        <v>2658363</v>
      </c>
      <c r="K37" s="69">
        <f>INDEX('Payment Total'!$A$7:$H$333,MATCH('Payment by Source'!$A37,'Payment Total'!$A$7:$A$333,0),3)-I37</f>
        <v>0</v>
      </c>
      <c r="P37" s="154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0</v>
      </c>
      <c r="Q37" s="154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1</v>
      </c>
      <c r="R37" s="154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-3</v>
      </c>
      <c r="S37" s="154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0</v>
      </c>
      <c r="T37" s="154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1</v>
      </c>
      <c r="U37" s="155">
        <f>INDEX('Budget by Source'!$A$6:$I$332,MATCH('Payment by Source'!$A37,'Budget by Source'!$A$6:$A$332,0),MATCH(U$3,'Budget by Source'!$A$5:$I$5,0))</f>
        <v>21156188</v>
      </c>
      <c r="V37" s="152">
        <f t="shared" si="1"/>
        <v>2115619</v>
      </c>
      <c r="W37" s="152">
        <f t="shared" si="2"/>
        <v>21156190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19188</v>
      </c>
      <c r="D38" s="22">
        <f>IF(Notes!$B$2="June",ROUND('Budget by Source'!D38/10,0)+Q38,ROUND('Budget by Source'!D38/10,0))</f>
        <v>56189</v>
      </c>
      <c r="E38" s="22">
        <f>IF(Notes!$B$2="June",ROUND('Budget by Source'!E38/10,0)+R38,ROUND('Budget by Source'!E38/10,0))</f>
        <v>7219</v>
      </c>
      <c r="F38" s="22">
        <f>IF(Notes!$B$2="June",ROUND('Budget by Source'!F38/10,0)+S38,ROUND('Budget by Source'!F38/10,0))</f>
        <v>5980</v>
      </c>
      <c r="G38" s="22">
        <f>IF(Notes!$B$2="June",ROUND('Budget by Source'!G38/10,0)+T38,ROUND('Budget by Source'!G38/10,0))</f>
        <v>30939</v>
      </c>
      <c r="H38" s="22">
        <f t="shared" si="0"/>
        <v>355933</v>
      </c>
      <c r="I38" s="22">
        <f>INDEX(Data[],MATCH($A38,Data[Dist],0),MATCH(I$5,Data[#Headers],0))</f>
        <v>475448</v>
      </c>
      <c r="K38" s="69">
        <f>INDEX('Payment Total'!$A$7:$H$333,MATCH('Payment by Source'!$A38,'Payment Total'!$A$7:$A$333,0),3)-I38</f>
        <v>0</v>
      </c>
      <c r="P38" s="154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-4</v>
      </c>
      <c r="Q38" s="154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4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4</v>
      </c>
      <c r="S38" s="154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3</v>
      </c>
      <c r="T38" s="154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0</v>
      </c>
      <c r="U38" s="155">
        <f>INDEX('Budget by Source'!$A$6:$I$332,MATCH('Payment by Source'!$A38,'Budget by Source'!$A$6:$A$332,0),MATCH(U$3,'Budget by Source'!$A$5:$I$5,0))</f>
        <v>3559323</v>
      </c>
      <c r="V38" s="152">
        <f t="shared" si="1"/>
        <v>355932</v>
      </c>
      <c r="W38" s="152">
        <f t="shared" si="2"/>
        <v>3559320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38744</v>
      </c>
      <c r="D39" s="22">
        <f>IF(Notes!$B$2="June",ROUND('Budget by Source'!D39/10,0)+Q39,ROUND('Budget by Source'!D39/10,0))</f>
        <v>147157</v>
      </c>
      <c r="E39" s="22">
        <f>IF(Notes!$B$2="June",ROUND('Budget by Source'!E39/10,0)+R39,ROUND('Budget by Source'!E39/10,0))</f>
        <v>17875</v>
      </c>
      <c r="F39" s="22">
        <f>IF(Notes!$B$2="June",ROUND('Budget by Source'!F39/10,0)+S39,ROUND('Budget by Source'!F39/10,0))</f>
        <v>15366</v>
      </c>
      <c r="G39" s="22">
        <f>IF(Notes!$B$2="June",ROUND('Budget by Source'!G39/10,0)+T39,ROUND('Budget by Source'!G39/10,0))</f>
        <v>86720</v>
      </c>
      <c r="H39" s="22">
        <f t="shared" si="0"/>
        <v>1446021</v>
      </c>
      <c r="I39" s="22">
        <f>INDEX(Data[],MATCH($A39,Data[Dist],0),MATCH(I$5,Data[#Headers],0))</f>
        <v>1751883</v>
      </c>
      <c r="K39" s="69">
        <f>INDEX('Payment Total'!$A$7:$H$333,MATCH('Payment by Source'!$A39,'Payment Total'!$A$7:$A$333,0),3)-I39</f>
        <v>0</v>
      </c>
      <c r="P39" s="154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2</v>
      </c>
      <c r="Q39" s="154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4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-2</v>
      </c>
      <c r="S39" s="154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3</v>
      </c>
      <c r="T39" s="154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0</v>
      </c>
      <c r="U39" s="155">
        <f>INDEX('Budget by Source'!$A$6:$I$332,MATCH('Payment by Source'!$A39,'Budget by Source'!$A$6:$A$332,0),MATCH(U$3,'Budget by Source'!$A$5:$I$5,0))</f>
        <v>14460199</v>
      </c>
      <c r="V39" s="152">
        <f t="shared" si="1"/>
        <v>1446020</v>
      </c>
      <c r="W39" s="152">
        <f t="shared" si="2"/>
        <v>14460200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33578</v>
      </c>
      <c r="D40" s="22">
        <f>IF(Notes!$B$2="June",ROUND('Budget by Source'!D40/10,0)+Q40,ROUND('Budget by Source'!D40/10,0))</f>
        <v>130254</v>
      </c>
      <c r="E40" s="22">
        <f>IF(Notes!$B$2="June",ROUND('Budget by Source'!E40/10,0)+R40,ROUND('Budget by Source'!E40/10,0))</f>
        <v>14998</v>
      </c>
      <c r="F40" s="22">
        <f>IF(Notes!$B$2="June",ROUND('Budget by Source'!F40/10,0)+S40,ROUND('Budget by Source'!F40/10,0))</f>
        <v>16109</v>
      </c>
      <c r="G40" s="22">
        <f>IF(Notes!$B$2="June",ROUND('Budget by Source'!G40/10,0)+T40,ROUND('Budget by Source'!G40/10,0))</f>
        <v>72283</v>
      </c>
      <c r="H40" s="22">
        <f t="shared" si="0"/>
        <v>1275413</v>
      </c>
      <c r="I40" s="22">
        <f>INDEX(Data[],MATCH($A40,Data[Dist],0),MATCH(I$5,Data[#Headers],0))</f>
        <v>1542635</v>
      </c>
      <c r="K40" s="69">
        <f>INDEX('Payment Total'!$A$7:$H$333,MATCH('Payment by Source'!$A40,'Payment Total'!$A$7:$A$333,0),3)-I40</f>
        <v>0</v>
      </c>
      <c r="P40" s="154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3</v>
      </c>
      <c r="Q40" s="154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4</v>
      </c>
      <c r="R40" s="154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0</v>
      </c>
      <c r="S40" s="154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1</v>
      </c>
      <c r="T40" s="154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-2</v>
      </c>
      <c r="U40" s="155">
        <f>INDEX('Budget by Source'!$A$6:$I$332,MATCH('Payment by Source'!$A40,'Budget by Source'!$A$6:$A$332,0),MATCH(U$3,'Budget by Source'!$A$5:$I$5,0))</f>
        <v>12754120</v>
      </c>
      <c r="V40" s="152">
        <f t="shared" si="1"/>
        <v>1275412</v>
      </c>
      <c r="W40" s="152">
        <f t="shared" si="2"/>
        <v>12754120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23247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299467</v>
      </c>
      <c r="I41" s="22">
        <f>INDEX(Data[],MATCH($A41,Data[Dist],0),MATCH(I$5,Data[#Headers],0))</f>
        <v>388840</v>
      </c>
      <c r="K41" s="69">
        <f>INDEX('Payment Total'!$A$7:$H$333,MATCH('Payment by Source'!$A41,'Payment Total'!$A$7:$A$333,0),3)-I41</f>
        <v>0</v>
      </c>
      <c r="P41" s="154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-5</v>
      </c>
      <c r="Q41" s="154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4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4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4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5">
        <f>INDEX('Budget by Source'!$A$6:$I$332,MATCH('Payment by Source'!$A41,'Budget by Source'!$A$6:$A$332,0),MATCH(U$3,'Budget by Source'!$A$5:$I$5,0))</f>
        <v>2994676</v>
      </c>
      <c r="V41" s="152">
        <f t="shared" si="1"/>
        <v>299468</v>
      </c>
      <c r="W41" s="152">
        <f t="shared" si="2"/>
        <v>2994680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11808</v>
      </c>
      <c r="D42" s="22">
        <f>IF(Notes!$B$2="June",ROUND('Budget by Source'!D42/10,0)+Q42,ROUND('Budget by Source'!D42/10,0))</f>
        <v>36116</v>
      </c>
      <c r="E42" s="22">
        <f>IF(Notes!$B$2="June",ROUND('Budget by Source'!E42/10,0)+R42,ROUND('Budget by Source'!E42/10,0))</f>
        <v>4182</v>
      </c>
      <c r="F42" s="22">
        <f>IF(Notes!$B$2="June",ROUND('Budget by Source'!F42/10,0)+S42,ROUND('Budget by Source'!F42/10,0))</f>
        <v>3740</v>
      </c>
      <c r="G42" s="22">
        <f>IF(Notes!$B$2="June",ROUND('Budget by Source'!G42/10,0)+T42,ROUND('Budget by Source'!G42/10,0))</f>
        <v>20166</v>
      </c>
      <c r="H42" s="22">
        <f t="shared" si="0"/>
        <v>246635</v>
      </c>
      <c r="I42" s="22">
        <f>INDEX(Data[],MATCH($A42,Data[Dist],0),MATCH(I$5,Data[#Headers],0))</f>
        <v>322647</v>
      </c>
      <c r="K42" s="69">
        <f>INDEX('Payment Total'!$A$7:$H$333,MATCH('Payment by Source'!$A42,'Payment Total'!$A$7:$A$333,0),3)-I42</f>
        <v>0</v>
      </c>
      <c r="P42" s="154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-3</v>
      </c>
      <c r="Q42" s="154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1</v>
      </c>
      <c r="R42" s="154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-1</v>
      </c>
      <c r="S42" s="154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0</v>
      </c>
      <c r="T42" s="154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-4</v>
      </c>
      <c r="U42" s="155">
        <f>INDEX('Budget by Source'!$A$6:$I$332,MATCH('Payment by Source'!$A42,'Budget by Source'!$A$6:$A$332,0),MATCH(U$3,'Budget by Source'!$A$5:$I$5,0))</f>
        <v>2466356</v>
      </c>
      <c r="V42" s="152">
        <f t="shared" si="1"/>
        <v>246636</v>
      </c>
      <c r="W42" s="152">
        <f t="shared" si="2"/>
        <v>2466360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8856</v>
      </c>
      <c r="D43" s="22">
        <f>IF(Notes!$B$2="June",ROUND('Budget by Source'!D43/10,0)+Q43,ROUND('Budget by Source'!D43/10,0))</f>
        <v>35361</v>
      </c>
      <c r="E43" s="22">
        <f>IF(Notes!$B$2="June",ROUND('Budget by Source'!E43/10,0)+R43,ROUND('Budget by Source'!E43/10,0))</f>
        <v>3848</v>
      </c>
      <c r="F43" s="22">
        <f>IF(Notes!$B$2="June",ROUND('Budget by Source'!F43/10,0)+S43,ROUND('Budget by Source'!F43/10,0))</f>
        <v>3600</v>
      </c>
      <c r="G43" s="22">
        <f>IF(Notes!$B$2="June",ROUND('Budget by Source'!G43/10,0)+T43,ROUND('Budget by Source'!G43/10,0))</f>
        <v>19028</v>
      </c>
      <c r="H43" s="22">
        <f t="shared" si="0"/>
        <v>255505</v>
      </c>
      <c r="I43" s="22">
        <f>INDEX(Data[],MATCH($A43,Data[Dist],0),MATCH(I$5,Data[#Headers],0))</f>
        <v>326198</v>
      </c>
      <c r="K43" s="69">
        <f>INDEX('Payment Total'!$A$7:$H$333,MATCH('Payment by Source'!$A43,'Payment Total'!$A$7:$A$333,0),3)-I43</f>
        <v>0</v>
      </c>
      <c r="P43" s="154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-2</v>
      </c>
      <c r="Q43" s="154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0</v>
      </c>
      <c r="R43" s="154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-4</v>
      </c>
      <c r="S43" s="154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-2</v>
      </c>
      <c r="T43" s="154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-2</v>
      </c>
      <c r="U43" s="155">
        <f>INDEX('Budget by Source'!$A$6:$I$332,MATCH('Payment by Source'!$A43,'Budget by Source'!$A$6:$A$332,0),MATCH(U$3,'Budget by Source'!$A$5:$I$5,0))</f>
        <v>2555057</v>
      </c>
      <c r="V43" s="152">
        <f t="shared" si="1"/>
        <v>255506</v>
      </c>
      <c r="W43" s="152">
        <f t="shared" si="2"/>
        <v>2555060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11070</v>
      </c>
      <c r="D44" s="22">
        <f>IF(Notes!$B$2="June",ROUND('Budget by Source'!D44/10,0)+Q44,ROUND('Budget by Source'!D44/10,0))</f>
        <v>29870</v>
      </c>
      <c r="E44" s="22">
        <f>IF(Notes!$B$2="June",ROUND('Budget by Source'!E44/10,0)+R44,ROUND('Budget by Source'!E44/10,0))</f>
        <v>3132</v>
      </c>
      <c r="F44" s="22">
        <f>IF(Notes!$B$2="June",ROUND('Budget by Source'!F44/10,0)+S44,ROUND('Budget by Source'!F44/10,0))</f>
        <v>3266</v>
      </c>
      <c r="G44" s="22">
        <f>IF(Notes!$B$2="June",ROUND('Budget by Source'!G44/10,0)+T44,ROUND('Budget by Source'!G44/10,0))</f>
        <v>15879</v>
      </c>
      <c r="H44" s="22">
        <f t="shared" si="0"/>
        <v>151698</v>
      </c>
      <c r="I44" s="22">
        <f>INDEX(Data[],MATCH($A44,Data[Dist],0),MATCH(I$5,Data[#Headers],0))</f>
        <v>214915</v>
      </c>
      <c r="K44" s="69">
        <f>INDEX('Payment Total'!$A$7:$H$333,MATCH('Payment by Source'!$A44,'Payment Total'!$A$7:$A$333,0),3)-I44</f>
        <v>0</v>
      </c>
      <c r="P44" s="154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4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-5</v>
      </c>
      <c r="R44" s="154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3</v>
      </c>
      <c r="S44" s="154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-5</v>
      </c>
      <c r="T44" s="154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2</v>
      </c>
      <c r="U44" s="155">
        <f>INDEX('Budget by Source'!$A$6:$I$332,MATCH('Payment by Source'!$A44,'Budget by Source'!$A$6:$A$332,0),MATCH(U$3,'Budget by Source'!$A$5:$I$5,0))</f>
        <v>1516985</v>
      </c>
      <c r="V44" s="152">
        <f t="shared" si="1"/>
        <v>151699</v>
      </c>
      <c r="W44" s="152">
        <f t="shared" si="2"/>
        <v>1516990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59408</v>
      </c>
      <c r="D45" s="22">
        <f>IF(Notes!$B$2="June",ROUND('Budget by Source'!D45/10,0)+Q45,ROUND('Budget by Source'!D45/10,0))</f>
        <v>245109</v>
      </c>
      <c r="E45" s="22">
        <f>IF(Notes!$B$2="June",ROUND('Budget by Source'!E45/10,0)+R45,ROUND('Budget by Source'!E45/10,0))</f>
        <v>33289</v>
      </c>
      <c r="F45" s="22">
        <f>IF(Notes!$B$2="June",ROUND('Budget by Source'!F45/10,0)+S45,ROUND('Budget by Source'!F45/10,0))</f>
        <v>27018</v>
      </c>
      <c r="G45" s="22">
        <f>IF(Notes!$B$2="June",ROUND('Budget by Source'!G45/10,0)+T45,ROUND('Budget by Source'!G45/10,0))</f>
        <v>140143</v>
      </c>
      <c r="H45" s="22">
        <f t="shared" si="0"/>
        <v>2670846</v>
      </c>
      <c r="I45" s="22">
        <f>INDEX(Data[],MATCH($A45,Data[Dist],0),MATCH(I$5,Data[#Headers],0))</f>
        <v>3175813</v>
      </c>
      <c r="K45" s="69">
        <f>INDEX('Payment Total'!$A$7:$H$333,MATCH('Payment by Source'!$A45,'Payment Total'!$A$7:$A$333,0),3)-I45</f>
        <v>0</v>
      </c>
      <c r="P45" s="154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-3</v>
      </c>
      <c r="Q45" s="154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4</v>
      </c>
      <c r="R45" s="154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-1</v>
      </c>
      <c r="S45" s="154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1</v>
      </c>
      <c r="T45" s="154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1</v>
      </c>
      <c r="U45" s="155">
        <f>INDEX('Budget by Source'!$A$6:$I$332,MATCH('Payment by Source'!$A45,'Budget by Source'!$A$6:$A$332,0),MATCH(U$3,'Budget by Source'!$A$5:$I$5,0))</f>
        <v>26708458</v>
      </c>
      <c r="V45" s="152">
        <f t="shared" si="1"/>
        <v>2670846</v>
      </c>
      <c r="W45" s="152">
        <f t="shared" si="2"/>
        <v>26708460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4797</v>
      </c>
      <c r="D46" s="22">
        <f>IF(Notes!$B$2="June",ROUND('Budget by Source'!D46/10,0)+Q46,ROUND('Budget by Source'!D46/10,0))</f>
        <v>33077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106883</v>
      </c>
      <c r="I46" s="22">
        <f>INDEX(Data[],MATCH($A46,Data[Dist],0),MATCH(I$5,Data[#Headers],0))</f>
        <v>168816</v>
      </c>
      <c r="K46" s="69">
        <f>INDEX('Payment Total'!$A$7:$H$333,MATCH('Payment by Source'!$A46,'Payment Total'!$A$7:$A$333,0),3)-I46</f>
        <v>0</v>
      </c>
      <c r="P46" s="154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-1</v>
      </c>
      <c r="Q46" s="154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4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4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4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5">
        <f>INDEX('Budget by Source'!$A$6:$I$332,MATCH('Payment by Source'!$A46,'Budget by Source'!$A$6:$A$332,0),MATCH(U$3,'Budget by Source'!$A$5:$I$5,0))</f>
        <v>1068832</v>
      </c>
      <c r="V46" s="152">
        <f t="shared" si="1"/>
        <v>106883</v>
      </c>
      <c r="W46" s="152">
        <f t="shared" si="2"/>
        <v>1068830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6642</v>
      </c>
      <c r="D47" s="22">
        <f>IF(Notes!$B$2="June",ROUND('Budget by Source'!D47/10,0)+Q47,ROUND('Budget by Source'!D47/10,0))</f>
        <v>19184</v>
      </c>
      <c r="E47" s="22">
        <f>IF(Notes!$B$2="June",ROUND('Budget by Source'!E47/10,0)+R47,ROUND('Budget by Source'!E47/10,0))</f>
        <v>2181</v>
      </c>
      <c r="F47" s="22">
        <f>IF(Notes!$B$2="June",ROUND('Budget by Source'!F47/10,0)+S47,ROUND('Budget by Source'!F47/10,0))</f>
        <v>2118</v>
      </c>
      <c r="G47" s="22">
        <f>IF(Notes!$B$2="June",ROUND('Budget by Source'!G47/10,0)+T47,ROUND('Budget by Source'!G47/10,0))</f>
        <v>9646</v>
      </c>
      <c r="H47" s="22">
        <f t="shared" si="0"/>
        <v>138259</v>
      </c>
      <c r="I47" s="22">
        <f>INDEX(Data[],MATCH($A47,Data[Dist],0),MATCH(I$5,Data[#Headers],0))</f>
        <v>178030</v>
      </c>
      <c r="K47" s="69">
        <f>INDEX('Payment Total'!$A$7:$H$333,MATCH('Payment by Source'!$A47,'Payment Total'!$A$7:$A$333,0),3)-I47</f>
        <v>0</v>
      </c>
      <c r="P47" s="154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-2</v>
      </c>
      <c r="Q47" s="154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-3</v>
      </c>
      <c r="R47" s="154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-5</v>
      </c>
      <c r="S47" s="154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0</v>
      </c>
      <c r="T47" s="154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3</v>
      </c>
      <c r="U47" s="155">
        <f>INDEX('Budget by Source'!$A$6:$I$332,MATCH('Payment by Source'!$A47,'Budget by Source'!$A$6:$A$332,0),MATCH(U$3,'Budget by Source'!$A$5:$I$5,0))</f>
        <v>1382596</v>
      </c>
      <c r="V47" s="152">
        <f t="shared" si="1"/>
        <v>138260</v>
      </c>
      <c r="W47" s="152">
        <f t="shared" si="2"/>
        <v>1382600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9594</v>
      </c>
      <c r="D48" s="22">
        <f>IF(Notes!$B$2="June",ROUND('Budget by Source'!D48/10,0)+Q48,ROUND('Budget by Source'!D48/10,0))</f>
        <v>26774</v>
      </c>
      <c r="E48" s="22">
        <f>IF(Notes!$B$2="June",ROUND('Budget by Source'!E48/10,0)+R48,ROUND('Budget by Source'!E48/10,0))</f>
        <v>3094</v>
      </c>
      <c r="F48" s="22">
        <f>IF(Notes!$B$2="June",ROUND('Budget by Source'!F48/10,0)+S48,ROUND('Budget by Source'!F48/10,0))</f>
        <v>2936</v>
      </c>
      <c r="G48" s="22">
        <f>IF(Notes!$B$2="June",ROUND('Budget by Source'!G48/10,0)+T48,ROUND('Budget by Source'!G48/10,0))</f>
        <v>13750</v>
      </c>
      <c r="H48" s="22">
        <f t="shared" si="0"/>
        <v>193249</v>
      </c>
      <c r="I48" s="22">
        <f>INDEX(Data[],MATCH($A48,Data[Dist],0),MATCH(I$5,Data[#Headers],0))</f>
        <v>249397</v>
      </c>
      <c r="K48" s="69">
        <f>INDEX('Payment Total'!$A$7:$H$333,MATCH('Payment by Source'!$A48,'Payment Total'!$A$7:$A$333,0),3)-I48</f>
        <v>0</v>
      </c>
      <c r="P48" s="154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-2</v>
      </c>
      <c r="Q48" s="154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2</v>
      </c>
      <c r="R48" s="154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4</v>
      </c>
      <c r="S48" s="154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1</v>
      </c>
      <c r="T48" s="154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3</v>
      </c>
      <c r="U48" s="155">
        <f>INDEX('Budget by Source'!$A$6:$I$332,MATCH('Payment by Source'!$A48,'Budget by Source'!$A$6:$A$332,0),MATCH(U$3,'Budget by Source'!$A$5:$I$5,0))</f>
        <v>1932479</v>
      </c>
      <c r="V48" s="152">
        <f t="shared" si="1"/>
        <v>193248</v>
      </c>
      <c r="W48" s="152">
        <f t="shared" si="2"/>
        <v>1932480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17712</v>
      </c>
      <c r="D49" s="22">
        <f>IF(Notes!$B$2="June",ROUND('Budget by Source'!D49/10,0)+Q49,ROUND('Budget by Source'!D49/10,0))</f>
        <v>54767</v>
      </c>
      <c r="E49" s="22">
        <f>IF(Notes!$B$2="June",ROUND('Budget by Source'!E49/10,0)+R49,ROUND('Budget by Source'!E49/10,0))</f>
        <v>6818</v>
      </c>
      <c r="F49" s="22">
        <f>IF(Notes!$B$2="June",ROUND('Budget by Source'!F49/10,0)+S49,ROUND('Budget by Source'!F49/10,0))</f>
        <v>5781</v>
      </c>
      <c r="G49" s="22">
        <f>IF(Notes!$B$2="June",ROUND('Budget by Source'!G49/10,0)+T49,ROUND('Budget by Source'!G49/10,0))</f>
        <v>30238</v>
      </c>
      <c r="H49" s="22">
        <f t="shared" si="0"/>
        <v>431908</v>
      </c>
      <c r="I49" s="22">
        <f>INDEX(Data[],MATCH($A49,Data[Dist],0),MATCH(I$5,Data[#Headers],0))</f>
        <v>547224</v>
      </c>
      <c r="K49" s="69">
        <f>INDEX('Payment Total'!$A$7:$H$333,MATCH('Payment by Source'!$A49,'Payment Total'!$A$7:$A$333,0),3)-I49</f>
        <v>0</v>
      </c>
      <c r="P49" s="154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-4</v>
      </c>
      <c r="Q49" s="154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-3</v>
      </c>
      <c r="R49" s="154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3</v>
      </c>
      <c r="S49" s="154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3</v>
      </c>
      <c r="T49" s="154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-3</v>
      </c>
      <c r="U49" s="155">
        <f>INDEX('Budget by Source'!$A$6:$I$332,MATCH('Payment by Source'!$A49,'Budget by Source'!$A$6:$A$332,0),MATCH(U$3,'Budget by Source'!$A$5:$I$5,0))</f>
        <v>4319084</v>
      </c>
      <c r="V49" s="152">
        <f t="shared" si="1"/>
        <v>431908</v>
      </c>
      <c r="W49" s="152">
        <f t="shared" si="2"/>
        <v>4319080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22878</v>
      </c>
      <c r="D50" s="22">
        <f>IF(Notes!$B$2="June",ROUND('Budget by Source'!D50/10,0)+Q50,ROUND('Budget by Source'!D50/10,0))</f>
        <v>38625</v>
      </c>
      <c r="E50" s="22">
        <f>IF(Notes!$B$2="June",ROUND('Budget by Source'!E50/10,0)+R50,ROUND('Budget by Source'!E50/10,0))</f>
        <v>4798</v>
      </c>
      <c r="F50" s="22">
        <f>IF(Notes!$B$2="June",ROUND('Budget by Source'!F50/10,0)+S50,ROUND('Budget by Source'!F50/10,0))</f>
        <v>3664</v>
      </c>
      <c r="G50" s="22">
        <f>IF(Notes!$B$2="June",ROUND('Budget by Source'!G50/10,0)+T50,ROUND('Budget by Source'!G50/10,0))</f>
        <v>20792</v>
      </c>
      <c r="H50" s="22">
        <f t="shared" si="0"/>
        <v>373011</v>
      </c>
      <c r="I50" s="22">
        <f>INDEX(Data[],MATCH($A50,Data[Dist],0),MATCH(I$5,Data[#Headers],0))</f>
        <v>463768</v>
      </c>
      <c r="K50" s="69">
        <f>INDEX('Payment Total'!$A$7:$H$333,MATCH('Payment by Source'!$A50,'Payment Total'!$A$7:$A$333,0),3)-I50</f>
        <v>0</v>
      </c>
      <c r="P50" s="154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-5</v>
      </c>
      <c r="Q50" s="154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-4</v>
      </c>
      <c r="R50" s="154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1</v>
      </c>
      <c r="S50" s="154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4</v>
      </c>
      <c r="T50" s="154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-2</v>
      </c>
      <c r="U50" s="155">
        <f>INDEX('Budget by Source'!$A$6:$I$332,MATCH('Payment by Source'!$A50,'Budget by Source'!$A$6:$A$332,0),MATCH(U$3,'Budget by Source'!$A$5:$I$5,0))</f>
        <v>3730118</v>
      </c>
      <c r="V50" s="152">
        <f t="shared" si="1"/>
        <v>373012</v>
      </c>
      <c r="W50" s="152">
        <f t="shared" si="2"/>
        <v>3730120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39482</v>
      </c>
      <c r="D51" s="22">
        <f>IF(Notes!$B$2="June",ROUND('Budget by Source'!D51/10,0)+Q51,ROUND('Budget by Source'!D51/10,0))</f>
        <v>122292</v>
      </c>
      <c r="E51" s="22">
        <f>IF(Notes!$B$2="June",ROUND('Budget by Source'!E51/10,0)+R51,ROUND('Budget by Source'!E51/10,0))</f>
        <v>14924</v>
      </c>
      <c r="F51" s="22">
        <f>IF(Notes!$B$2="June",ROUND('Budget by Source'!F51/10,0)+S51,ROUND('Budget by Source'!F51/10,0))</f>
        <v>12613</v>
      </c>
      <c r="G51" s="22">
        <f>IF(Notes!$B$2="June",ROUND('Budget by Source'!G51/10,0)+T51,ROUND('Budget by Source'!G51/10,0))</f>
        <v>70780</v>
      </c>
      <c r="H51" s="22">
        <f t="shared" si="0"/>
        <v>1294828</v>
      </c>
      <c r="I51" s="22">
        <f>INDEX(Data[],MATCH($A51,Data[Dist],0),MATCH(I$5,Data[#Headers],0))</f>
        <v>1554919</v>
      </c>
      <c r="K51" s="69">
        <f>INDEX('Payment Total'!$A$7:$H$333,MATCH('Payment by Source'!$A51,'Payment Total'!$A$7:$A$333,0),3)-I51</f>
        <v>0</v>
      </c>
      <c r="P51" s="154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1</v>
      </c>
      <c r="Q51" s="154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3</v>
      </c>
      <c r="R51" s="154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-5</v>
      </c>
      <c r="S51" s="154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0</v>
      </c>
      <c r="T51" s="154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0</v>
      </c>
      <c r="U51" s="155">
        <f>INDEX('Budget by Source'!$A$6:$I$332,MATCH('Payment by Source'!$A51,'Budget by Source'!$A$6:$A$332,0),MATCH(U$3,'Budget by Source'!$A$5:$I$5,0))</f>
        <v>12948278</v>
      </c>
      <c r="V51" s="152">
        <f t="shared" si="1"/>
        <v>1294828</v>
      </c>
      <c r="W51" s="152">
        <f t="shared" si="2"/>
        <v>12948280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69739</v>
      </c>
      <c r="D52" s="22">
        <f>IF(Notes!$B$2="June",ROUND('Budget by Source'!D52/10,0)+Q52,ROUND('Budget by Source'!D52/10,0))</f>
        <v>103191</v>
      </c>
      <c r="E52" s="22">
        <f>IF(Notes!$B$2="June",ROUND('Budget by Source'!E52/10,0)+R52,ROUND('Budget by Source'!E52/10,0))</f>
        <v>12027</v>
      </c>
      <c r="F52" s="22">
        <f>IF(Notes!$B$2="June",ROUND('Budget by Source'!F52/10,0)+S52,ROUND('Budget by Source'!F52/10,0))</f>
        <v>11856</v>
      </c>
      <c r="G52" s="22">
        <f>IF(Notes!$B$2="June",ROUND('Budget by Source'!G52/10,0)+T52,ROUND('Budget by Source'!G52/10,0))</f>
        <v>59774</v>
      </c>
      <c r="H52" s="22">
        <f t="shared" si="0"/>
        <v>703460</v>
      </c>
      <c r="I52" s="22">
        <f>INDEX(Data[],MATCH($A52,Data[Dist],0),MATCH(I$5,Data[#Headers],0))</f>
        <v>960047</v>
      </c>
      <c r="K52" s="69">
        <f>INDEX('Payment Total'!$A$7:$H$333,MATCH('Payment by Source'!$A52,'Payment Total'!$A$7:$A$333,0),3)-I52</f>
        <v>0</v>
      </c>
      <c r="P52" s="154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4</v>
      </c>
      <c r="Q52" s="154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3</v>
      </c>
      <c r="R52" s="154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-4</v>
      </c>
      <c r="S52" s="154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2</v>
      </c>
      <c r="T52" s="154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1</v>
      </c>
      <c r="U52" s="155">
        <f>INDEX('Budget by Source'!$A$6:$I$332,MATCH('Payment by Source'!$A52,'Budget by Source'!$A$6:$A$332,0),MATCH(U$3,'Budget by Source'!$A$5:$I$5,0))</f>
        <v>7034589</v>
      </c>
      <c r="V52" s="152">
        <f t="shared" si="1"/>
        <v>703459</v>
      </c>
      <c r="W52" s="152">
        <f t="shared" si="2"/>
        <v>7034590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61622</v>
      </c>
      <c r="D53" s="22">
        <f>IF(Notes!$B$2="June",ROUND('Budget by Source'!D53/10,0)+Q53,ROUND('Budget by Source'!D53/10,0))</f>
        <v>347501</v>
      </c>
      <c r="E53" s="22">
        <f>IF(Notes!$B$2="June",ROUND('Budget by Source'!E53/10,0)+R53,ROUND('Budget by Source'!E53/10,0))</f>
        <v>41326</v>
      </c>
      <c r="F53" s="22">
        <f>IF(Notes!$B$2="June",ROUND('Budget by Source'!F53/10,0)+S53,ROUND('Budget by Source'!F53/10,0))</f>
        <v>41092</v>
      </c>
      <c r="G53" s="22">
        <f>IF(Notes!$B$2="June",ROUND('Budget by Source'!G53/10,0)+T53,ROUND('Budget by Source'!G53/10,0))</f>
        <v>199144</v>
      </c>
      <c r="H53" s="22">
        <f t="shared" si="0"/>
        <v>3067075</v>
      </c>
      <c r="I53" s="22">
        <f>INDEX(Data[],MATCH($A53,Data[Dist],0),MATCH(I$5,Data[#Headers],0))</f>
        <v>3757760</v>
      </c>
      <c r="K53" s="69">
        <f>INDEX('Payment Total'!$A$7:$H$333,MATCH('Payment by Source'!$A53,'Payment Total'!$A$7:$A$333,0),3)-I53</f>
        <v>0</v>
      </c>
      <c r="P53" s="154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-4</v>
      </c>
      <c r="Q53" s="154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-3</v>
      </c>
      <c r="R53" s="154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1</v>
      </c>
      <c r="S53" s="154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4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3</v>
      </c>
      <c r="U53" s="155">
        <f>INDEX('Budget by Source'!$A$6:$I$332,MATCH('Payment by Source'!$A53,'Budget by Source'!$A$6:$A$332,0),MATCH(U$3,'Budget by Source'!$A$5:$I$5,0))</f>
        <v>30670751</v>
      </c>
      <c r="V53" s="152">
        <f t="shared" si="1"/>
        <v>3067075</v>
      </c>
      <c r="W53" s="152">
        <f t="shared" si="2"/>
        <v>30670750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256080</v>
      </c>
      <c r="D54" s="22">
        <f>IF(Notes!$B$2="June",ROUND('Budget by Source'!D54/10,0)+Q54,ROUND('Budget by Source'!D54/10,0))</f>
        <v>1004680</v>
      </c>
      <c r="E54" s="22">
        <f>IF(Notes!$B$2="June",ROUND('Budget by Source'!E54/10,0)+R54,ROUND('Budget by Source'!E54/10,0))</f>
        <v>128851</v>
      </c>
      <c r="F54" s="22">
        <f>IF(Notes!$B$2="June",ROUND('Budget by Source'!F54/10,0)+S54,ROUND('Budget by Source'!F54/10,0))</f>
        <v>118105</v>
      </c>
      <c r="G54" s="22">
        <f>IF(Notes!$B$2="June",ROUND('Budget by Source'!G54/10,0)+T54,ROUND('Budget by Source'!G54/10,0))</f>
        <v>575564</v>
      </c>
      <c r="H54" s="22">
        <f t="shared" si="0"/>
        <v>9247052</v>
      </c>
      <c r="I54" s="22">
        <f>INDEX(Data[],MATCH($A54,Data[Dist],0),MATCH(I$5,Data[#Headers],0))</f>
        <v>11330332</v>
      </c>
      <c r="K54" s="69">
        <f>INDEX('Payment Total'!$A$7:$H$333,MATCH('Payment by Source'!$A54,'Payment Total'!$A$7:$A$333,0),3)-I54</f>
        <v>0</v>
      </c>
      <c r="P54" s="154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4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-3</v>
      </c>
      <c r="R54" s="154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4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-1</v>
      </c>
      <c r="T54" s="154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2</v>
      </c>
      <c r="U54" s="155">
        <f>INDEX('Budget by Source'!$A$6:$I$332,MATCH('Payment by Source'!$A54,'Budget by Source'!$A$6:$A$332,0),MATCH(U$3,'Budget by Source'!$A$5:$I$5,0))</f>
        <v>92470525</v>
      </c>
      <c r="V54" s="152">
        <f t="shared" si="1"/>
        <v>9247053</v>
      </c>
      <c r="W54" s="152">
        <f t="shared" si="2"/>
        <v>92470530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29888</v>
      </c>
      <c r="D55" s="22">
        <f>IF(Notes!$B$2="June",ROUND('Budget by Source'!D55/10,0)+Q55,ROUND('Budget by Source'!D55/10,0))</f>
        <v>79085</v>
      </c>
      <c r="E55" s="22">
        <f>IF(Notes!$B$2="June",ROUND('Budget by Source'!E55/10,0)+R55,ROUND('Budget by Source'!E55/10,0))</f>
        <v>9109</v>
      </c>
      <c r="F55" s="22">
        <f>IF(Notes!$B$2="June",ROUND('Budget by Source'!F55/10,0)+S55,ROUND('Budget by Source'!F55/10,0))</f>
        <v>8791</v>
      </c>
      <c r="G55" s="22">
        <f>IF(Notes!$B$2="June",ROUND('Budget by Source'!G55/10,0)+T55,ROUND('Budget by Source'!G55/10,0))</f>
        <v>44900</v>
      </c>
      <c r="H55" s="22">
        <f t="shared" si="0"/>
        <v>761257</v>
      </c>
      <c r="I55" s="22">
        <f>INDEX(Data[],MATCH($A55,Data[Dist],0),MATCH(I$5,Data[#Headers],0))</f>
        <v>933030</v>
      </c>
      <c r="K55" s="69">
        <f>INDEX('Payment Total'!$A$7:$H$333,MATCH('Payment by Source'!$A55,'Payment Total'!$A$7:$A$333,0),3)-I55</f>
        <v>0</v>
      </c>
      <c r="P55" s="154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4</v>
      </c>
      <c r="Q55" s="154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1</v>
      </c>
      <c r="R55" s="154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3</v>
      </c>
      <c r="S55" s="154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-4</v>
      </c>
      <c r="T55" s="154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3</v>
      </c>
      <c r="U55" s="155">
        <f>INDEX('Budget by Source'!$A$6:$I$332,MATCH('Payment by Source'!$A55,'Budget by Source'!$A$6:$A$332,0),MATCH(U$3,'Budget by Source'!$A$5:$I$5,0))</f>
        <v>7612559</v>
      </c>
      <c r="V55" s="152">
        <f t="shared" si="1"/>
        <v>761256</v>
      </c>
      <c r="W55" s="152">
        <f t="shared" si="2"/>
        <v>7612560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27305</v>
      </c>
      <c r="D56" s="22">
        <f>IF(Notes!$B$2="June",ROUND('Budget by Source'!D56/10,0)+Q56,ROUND('Budget by Source'!D56/10,0))</f>
        <v>84298</v>
      </c>
      <c r="E56" s="22">
        <f>IF(Notes!$B$2="June",ROUND('Budget by Source'!E56/10,0)+R56,ROUND('Budget by Source'!E56/10,0))</f>
        <v>10232</v>
      </c>
      <c r="F56" s="22">
        <f>IF(Notes!$B$2="June",ROUND('Budget by Source'!F56/10,0)+S56,ROUND('Budget by Source'!F56/10,0))</f>
        <v>9656</v>
      </c>
      <c r="G56" s="22">
        <f>IF(Notes!$B$2="June",ROUND('Budget by Source'!G56/10,0)+T56,ROUND('Budget by Source'!G56/10,0))</f>
        <v>47423</v>
      </c>
      <c r="H56" s="22">
        <f t="shared" si="0"/>
        <v>873544</v>
      </c>
      <c r="I56" s="22">
        <f>INDEX(Data[],MATCH($A56,Data[Dist],0),MATCH(I$5,Data[#Headers],0))</f>
        <v>1052458</v>
      </c>
      <c r="K56" s="69">
        <f>INDEX('Payment Total'!$A$7:$H$333,MATCH('Payment by Source'!$A56,'Payment Total'!$A$7:$A$333,0),3)-I56</f>
        <v>0</v>
      </c>
      <c r="P56" s="154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4</v>
      </c>
      <c r="Q56" s="154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4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1</v>
      </c>
      <c r="S56" s="154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-5</v>
      </c>
      <c r="T56" s="154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-2</v>
      </c>
      <c r="U56" s="155">
        <f>INDEX('Budget by Source'!$A$6:$I$332,MATCH('Payment by Source'!$A56,'Budget by Source'!$A$6:$A$332,0),MATCH(U$3,'Budget by Source'!$A$5:$I$5,0))</f>
        <v>8735439</v>
      </c>
      <c r="V56" s="152">
        <f t="shared" si="1"/>
        <v>873544</v>
      </c>
      <c r="W56" s="152">
        <f t="shared" si="2"/>
        <v>8735440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26198</v>
      </c>
      <c r="D57" s="22">
        <f>IF(Notes!$B$2="June",ROUND('Budget by Source'!D57/10,0)+Q57,ROUND('Budget by Source'!D57/10,0))</f>
        <v>51555</v>
      </c>
      <c r="E57" s="22">
        <f>IF(Notes!$B$2="June",ROUND('Budget by Source'!E57/10,0)+R57,ROUND('Budget by Source'!E57/10,0))</f>
        <v>5694</v>
      </c>
      <c r="F57" s="22">
        <f>IF(Notes!$B$2="June",ROUND('Budget by Source'!F57/10,0)+S57,ROUND('Budget by Source'!F57/10,0))</f>
        <v>6552</v>
      </c>
      <c r="G57" s="22">
        <f>IF(Notes!$B$2="June",ROUND('Budget by Source'!G57/10,0)+T57,ROUND('Budget by Source'!G57/10,0))</f>
        <v>27833</v>
      </c>
      <c r="H57" s="22">
        <f t="shared" si="0"/>
        <v>369876</v>
      </c>
      <c r="I57" s="22">
        <f>INDEX(Data[],MATCH($A57,Data[Dist],0),MATCH(I$5,Data[#Headers],0))</f>
        <v>487708</v>
      </c>
      <c r="K57" s="69">
        <f>INDEX('Payment Total'!$A$7:$H$333,MATCH('Payment by Source'!$A57,'Payment Total'!$A$7:$A$333,0),3)-I57</f>
        <v>0</v>
      </c>
      <c r="P57" s="154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4</v>
      </c>
      <c r="Q57" s="154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-5</v>
      </c>
      <c r="R57" s="154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2</v>
      </c>
      <c r="S57" s="154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-5</v>
      </c>
      <c r="T57" s="154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5">
        <f>INDEX('Budget by Source'!$A$6:$I$332,MATCH('Payment by Source'!$A57,'Budget by Source'!$A$6:$A$332,0),MATCH(U$3,'Budget by Source'!$A$5:$I$5,0))</f>
        <v>3698760</v>
      </c>
      <c r="V57" s="152">
        <f t="shared" si="1"/>
        <v>369876</v>
      </c>
      <c r="W57" s="152">
        <f t="shared" si="2"/>
        <v>3698760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8487</v>
      </c>
      <c r="D58" s="22">
        <f>IF(Notes!$B$2="June",ROUND('Budget by Source'!D58/10,0)+Q58,ROUND('Budget by Source'!D58/10,0))</f>
        <v>28482</v>
      </c>
      <c r="E58" s="22">
        <f>IF(Notes!$B$2="June",ROUND('Budget by Source'!E58/10,0)+R58,ROUND('Budget by Source'!E58/10,0))</f>
        <v>2962</v>
      </c>
      <c r="F58" s="22">
        <f>IF(Notes!$B$2="June",ROUND('Budget by Source'!F58/10,0)+S58,ROUND('Budget by Source'!F58/10,0))</f>
        <v>2972</v>
      </c>
      <c r="G58" s="22">
        <f>IF(Notes!$B$2="June",ROUND('Budget by Source'!G58/10,0)+T58,ROUND('Budget by Source'!G58/10,0))</f>
        <v>15647</v>
      </c>
      <c r="H58" s="22">
        <f t="shared" si="0"/>
        <v>218837</v>
      </c>
      <c r="I58" s="22">
        <f>INDEX(Data[],MATCH($A58,Data[Dist],0),MATCH(I$5,Data[#Headers],0))</f>
        <v>277387</v>
      </c>
      <c r="K58" s="69">
        <f>INDEX('Payment Total'!$A$7:$H$333,MATCH('Payment by Source'!$A58,'Payment Total'!$A$7:$A$333,0),3)-I58</f>
        <v>0</v>
      </c>
      <c r="P58" s="154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-1</v>
      </c>
      <c r="Q58" s="154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-2</v>
      </c>
      <c r="R58" s="154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-2</v>
      </c>
      <c r="S58" s="154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3</v>
      </c>
      <c r="T58" s="154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-4</v>
      </c>
      <c r="U58" s="155">
        <f>INDEX('Budget by Source'!$A$6:$I$332,MATCH('Payment by Source'!$A58,'Budget by Source'!$A$6:$A$332,0),MATCH(U$3,'Budget by Source'!$A$5:$I$5,0))</f>
        <v>2188375</v>
      </c>
      <c r="V58" s="152">
        <f t="shared" si="1"/>
        <v>218838</v>
      </c>
      <c r="W58" s="152">
        <f t="shared" si="2"/>
        <v>2188380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32840</v>
      </c>
      <c r="D59" s="22">
        <f>IF(Notes!$B$2="June",ROUND('Budget by Source'!D59/10,0)+Q59,ROUND('Budget by Source'!D59/10,0))</f>
        <v>94997</v>
      </c>
      <c r="E59" s="22">
        <f>IF(Notes!$B$2="June",ROUND('Budget by Source'!E59/10,0)+R59,ROUND('Budget by Source'!E59/10,0))</f>
        <v>9894</v>
      </c>
      <c r="F59" s="22">
        <f>IF(Notes!$B$2="June",ROUND('Budget by Source'!F59/10,0)+S59,ROUND('Budget by Source'!F59/10,0))</f>
        <v>10331</v>
      </c>
      <c r="G59" s="22">
        <f>IF(Notes!$B$2="June",ROUND('Budget by Source'!G59/10,0)+T59,ROUND('Budget by Source'!G59/10,0))</f>
        <v>52260</v>
      </c>
      <c r="H59" s="22">
        <f t="shared" si="0"/>
        <v>797507</v>
      </c>
      <c r="I59" s="22">
        <f>INDEX(Data[],MATCH($A59,Data[Dist],0),MATCH(I$5,Data[#Headers],0))</f>
        <v>997829</v>
      </c>
      <c r="K59" s="69">
        <f>INDEX('Payment Total'!$A$7:$H$333,MATCH('Payment by Source'!$A59,'Payment Total'!$A$7:$A$333,0),3)-I59</f>
        <v>0</v>
      </c>
      <c r="P59" s="154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3</v>
      </c>
      <c r="Q59" s="154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4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1</v>
      </c>
      <c r="S59" s="154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-2</v>
      </c>
      <c r="T59" s="154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3</v>
      </c>
      <c r="U59" s="155">
        <f>INDEX('Budget by Source'!$A$6:$I$332,MATCH('Payment by Source'!$A59,'Budget by Source'!$A$6:$A$332,0),MATCH(U$3,'Budget by Source'!$A$5:$I$5,0))</f>
        <v>7975056</v>
      </c>
      <c r="V59" s="152">
        <f t="shared" si="1"/>
        <v>797506</v>
      </c>
      <c r="W59" s="152">
        <f t="shared" si="2"/>
        <v>7975060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7011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264581</v>
      </c>
      <c r="I60" s="22">
        <f>INDEX(Data[],MATCH($A60,Data[Dist],0),MATCH(I$5,Data[#Headers],0))</f>
        <v>327123</v>
      </c>
      <c r="K60" s="69">
        <f>INDEX('Payment Total'!$A$7:$H$333,MATCH('Payment by Source'!$A60,'Payment Total'!$A$7:$A$333,0),3)-I60</f>
        <v>0</v>
      </c>
      <c r="P60" s="154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-1</v>
      </c>
      <c r="Q60" s="154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4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4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4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5">
        <f>INDEX('Budget by Source'!$A$6:$I$332,MATCH('Payment by Source'!$A60,'Budget by Source'!$A$6:$A$332,0),MATCH(U$3,'Budget by Source'!$A$5:$I$5,0))</f>
        <v>2645810</v>
      </c>
      <c r="V60" s="152">
        <f t="shared" si="1"/>
        <v>264581</v>
      </c>
      <c r="W60" s="152">
        <f t="shared" si="2"/>
        <v>2645810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15498</v>
      </c>
      <c r="D61" s="22">
        <f>IF(Notes!$B$2="June",ROUND('Budget by Source'!D61/10,0)+Q61,ROUND('Budget by Source'!D61/10,0))</f>
        <v>42493</v>
      </c>
      <c r="E61" s="22">
        <f>IF(Notes!$B$2="June",ROUND('Budget by Source'!E61/10,0)+R61,ROUND('Budget by Source'!E61/10,0))</f>
        <v>5668</v>
      </c>
      <c r="F61" s="22">
        <f>IF(Notes!$B$2="June",ROUND('Budget by Source'!F61/10,0)+S61,ROUND('Budget by Source'!F61/10,0))</f>
        <v>4428</v>
      </c>
      <c r="G61" s="22">
        <f>IF(Notes!$B$2="June",ROUND('Budget by Source'!G61/10,0)+T61,ROUND('Budget by Source'!G61/10,0))</f>
        <v>23035</v>
      </c>
      <c r="H61" s="22">
        <f t="shared" si="0"/>
        <v>438718</v>
      </c>
      <c r="I61" s="22">
        <f>INDEX(Data[],MATCH($A61,Data[Dist],0),MATCH(I$5,Data[#Headers],0))</f>
        <v>529840</v>
      </c>
      <c r="K61" s="69">
        <f>INDEX('Payment Total'!$A$7:$H$333,MATCH('Payment by Source'!$A61,'Payment Total'!$A$7:$A$333,0),3)-I61</f>
        <v>0</v>
      </c>
      <c r="P61" s="154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-4</v>
      </c>
      <c r="Q61" s="154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-3</v>
      </c>
      <c r="R61" s="154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0</v>
      </c>
      <c r="S61" s="154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1</v>
      </c>
      <c r="T61" s="154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2</v>
      </c>
      <c r="U61" s="155">
        <f>INDEX('Budget by Source'!$A$6:$I$332,MATCH('Payment by Source'!$A61,'Budget by Source'!$A$6:$A$332,0),MATCH(U$3,'Budget by Source'!$A$5:$I$5,0))</f>
        <v>4387186</v>
      </c>
      <c r="V61" s="152">
        <f t="shared" si="1"/>
        <v>438719</v>
      </c>
      <c r="W61" s="152">
        <f t="shared" si="2"/>
        <v>4387190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16236</v>
      </c>
      <c r="D62" s="22">
        <f>IF(Notes!$B$2="June",ROUND('Budget by Source'!D62/10,0)+Q62,ROUND('Budget by Source'!D62/10,0))</f>
        <v>47074</v>
      </c>
      <c r="E62" s="22">
        <f>IF(Notes!$B$2="June",ROUND('Budget by Source'!E62/10,0)+R62,ROUND('Budget by Source'!E62/10,0))</f>
        <v>5082</v>
      </c>
      <c r="F62" s="22">
        <f>IF(Notes!$B$2="June",ROUND('Budget by Source'!F62/10,0)+S62,ROUND('Budget by Source'!F62/10,0))</f>
        <v>5415</v>
      </c>
      <c r="G62" s="22">
        <f>IF(Notes!$B$2="June",ROUND('Budget by Source'!G62/10,0)+T62,ROUND('Budget by Source'!G62/10,0))</f>
        <v>27179</v>
      </c>
      <c r="H62" s="22">
        <f t="shared" si="0"/>
        <v>393294</v>
      </c>
      <c r="I62" s="22">
        <f>INDEX(Data[],MATCH($A62,Data[Dist],0),MATCH(I$5,Data[#Headers],0))</f>
        <v>494280</v>
      </c>
      <c r="K62" s="69">
        <f>INDEX('Payment Total'!$A$7:$H$333,MATCH('Payment by Source'!$A62,'Payment Total'!$A$7:$A$333,0),3)-I62</f>
        <v>0</v>
      </c>
      <c r="P62" s="154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-4</v>
      </c>
      <c r="Q62" s="154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4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-3</v>
      </c>
      <c r="S62" s="154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2</v>
      </c>
      <c r="T62" s="154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-5</v>
      </c>
      <c r="U62" s="155">
        <f>INDEX('Budget by Source'!$A$6:$I$332,MATCH('Payment by Source'!$A62,'Budget by Source'!$A$6:$A$332,0),MATCH(U$3,'Budget by Source'!$A$5:$I$5,0))</f>
        <v>3932955</v>
      </c>
      <c r="V62" s="152">
        <f t="shared" si="1"/>
        <v>393296</v>
      </c>
      <c r="W62" s="152">
        <f t="shared" si="2"/>
        <v>3932960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24723</v>
      </c>
      <c r="D63" s="22">
        <f>IF(Notes!$B$2="June",ROUND('Budget by Source'!D63/10,0)+Q63,ROUND('Budget by Source'!D63/10,0))</f>
        <v>78402</v>
      </c>
      <c r="E63" s="22">
        <f>IF(Notes!$B$2="June",ROUND('Budget by Source'!E63/10,0)+R63,ROUND('Budget by Source'!E63/10,0))</f>
        <v>10715</v>
      </c>
      <c r="F63" s="22">
        <f>IF(Notes!$B$2="June",ROUND('Budget by Source'!F63/10,0)+S63,ROUND('Budget by Source'!F63/10,0))</f>
        <v>8427</v>
      </c>
      <c r="G63" s="22">
        <f>IF(Notes!$B$2="June",ROUND('Budget by Source'!G63/10,0)+T63,ROUND('Budget by Source'!G63/10,0))</f>
        <v>44807</v>
      </c>
      <c r="H63" s="22">
        <f t="shared" si="0"/>
        <v>760360</v>
      </c>
      <c r="I63" s="22">
        <f>INDEX(Data[],MATCH($A63,Data[Dist],0),MATCH(I$5,Data[#Headers],0))</f>
        <v>927434</v>
      </c>
      <c r="K63" s="69">
        <f>INDEX('Payment Total'!$A$7:$H$333,MATCH('Payment by Source'!$A63,'Payment Total'!$A$7:$A$333,0),3)-I63</f>
        <v>0</v>
      </c>
      <c r="P63" s="154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-5</v>
      </c>
      <c r="Q63" s="154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-5</v>
      </c>
      <c r="R63" s="154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-3</v>
      </c>
      <c r="S63" s="154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-3</v>
      </c>
      <c r="T63" s="154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5">
        <f>INDEX('Budget by Source'!$A$6:$I$332,MATCH('Payment by Source'!$A63,'Budget by Source'!$A$6:$A$332,0),MATCH(U$3,'Budget by Source'!$A$5:$I$5,0))</f>
        <v>7603609</v>
      </c>
      <c r="V63" s="152">
        <f t="shared" si="1"/>
        <v>760361</v>
      </c>
      <c r="W63" s="152">
        <f t="shared" si="2"/>
        <v>7603610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26936</v>
      </c>
      <c r="D64" s="22">
        <f>IF(Notes!$B$2="June",ROUND('Budget by Source'!D64/10,0)+Q64,ROUND('Budget by Source'!D64/10,0))</f>
        <v>98557</v>
      </c>
      <c r="E64" s="22">
        <f>IF(Notes!$B$2="June",ROUND('Budget by Source'!E64/10,0)+R64,ROUND('Budget by Source'!E64/10,0))</f>
        <v>11547</v>
      </c>
      <c r="F64" s="22">
        <f>IF(Notes!$B$2="June",ROUND('Budget by Source'!F64/10,0)+S64,ROUND('Budget by Source'!F64/10,0))</f>
        <v>11603</v>
      </c>
      <c r="G64" s="22">
        <f>IF(Notes!$B$2="June",ROUND('Budget by Source'!G64/10,0)+T64,ROUND('Budget by Source'!G64/10,0))</f>
        <v>55620</v>
      </c>
      <c r="H64" s="22">
        <f t="shared" si="0"/>
        <v>894341</v>
      </c>
      <c r="I64" s="22">
        <f>INDEX(Data[],MATCH($A64,Data[Dist],0),MATCH(I$5,Data[#Headers],0))</f>
        <v>1098604</v>
      </c>
      <c r="K64" s="69">
        <f>INDEX('Payment Total'!$A$7:$H$333,MATCH('Payment by Source'!$A64,'Payment Total'!$A$7:$A$333,0),3)-I64</f>
        <v>0</v>
      </c>
      <c r="P64" s="154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4</v>
      </c>
      <c r="Q64" s="154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-1</v>
      </c>
      <c r="R64" s="154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-2</v>
      </c>
      <c r="S64" s="154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-2</v>
      </c>
      <c r="T64" s="154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0</v>
      </c>
      <c r="U64" s="155">
        <f>INDEX('Budget by Source'!$A$6:$I$332,MATCH('Payment by Source'!$A64,'Budget by Source'!$A$6:$A$332,0),MATCH(U$3,'Budget by Source'!$A$5:$I$5,0))</f>
        <v>8943412</v>
      </c>
      <c r="V64" s="152">
        <f t="shared" si="1"/>
        <v>894341</v>
      </c>
      <c r="W64" s="152">
        <f t="shared" si="2"/>
        <v>8943410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4428</v>
      </c>
      <c r="D65" s="22">
        <f>IF(Notes!$B$2="June",ROUND('Budget by Source'!D65/10,0)+Q65,ROUND('Budget by Source'!D65/10,0))</f>
        <v>19382</v>
      </c>
      <c r="E65" s="22">
        <f>IF(Notes!$B$2="June",ROUND('Budget by Source'!E65/10,0)+R65,ROUND('Budget by Source'!E65/10,0))</f>
        <v>2238</v>
      </c>
      <c r="F65" s="22">
        <f>IF(Notes!$B$2="June",ROUND('Budget by Source'!F65/10,0)+S65,ROUND('Budget by Source'!F65/10,0))</f>
        <v>2043</v>
      </c>
      <c r="G65" s="22">
        <f>IF(Notes!$B$2="June",ROUND('Budget by Source'!G65/10,0)+T65,ROUND('Budget by Source'!G65/10,0))</f>
        <v>9868</v>
      </c>
      <c r="H65" s="22">
        <f t="shared" si="0"/>
        <v>118196</v>
      </c>
      <c r="I65" s="22">
        <f>INDEX(Data[],MATCH($A65,Data[Dist],0),MATCH(I$5,Data[#Headers],0))</f>
        <v>156155</v>
      </c>
      <c r="K65" s="69">
        <f>INDEX('Payment Total'!$A$7:$H$333,MATCH('Payment by Source'!$A65,'Payment Total'!$A$7:$A$333,0),3)-I65</f>
        <v>0</v>
      </c>
      <c r="P65" s="154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-1</v>
      </c>
      <c r="Q65" s="154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1</v>
      </c>
      <c r="R65" s="154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-4</v>
      </c>
      <c r="S65" s="154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1</v>
      </c>
      <c r="T65" s="154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1</v>
      </c>
      <c r="U65" s="155">
        <f>INDEX('Budget by Source'!$A$6:$I$332,MATCH('Payment by Source'!$A65,'Budget by Source'!$A$6:$A$332,0),MATCH(U$3,'Budget by Source'!$A$5:$I$5,0))</f>
        <v>1181964</v>
      </c>
      <c r="V65" s="152">
        <f t="shared" si="1"/>
        <v>118196</v>
      </c>
      <c r="W65" s="152">
        <f t="shared" si="2"/>
        <v>1181960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11070</v>
      </c>
      <c r="D66" s="22">
        <f>IF(Notes!$B$2="June",ROUND('Budget by Source'!D66/10,0)+Q66,ROUND('Budget by Source'!D66/10,0))</f>
        <v>67271</v>
      </c>
      <c r="E66" s="22">
        <f>IF(Notes!$B$2="June",ROUND('Budget by Source'!E66/10,0)+R66,ROUND('Budget by Source'!E66/10,0))</f>
        <v>8106</v>
      </c>
      <c r="F66" s="22">
        <f>IF(Notes!$B$2="June",ROUND('Budget by Source'!F66/10,0)+S66,ROUND('Budget by Source'!F66/10,0))</f>
        <v>7571</v>
      </c>
      <c r="G66" s="22">
        <f>IF(Notes!$B$2="June",ROUND('Budget by Source'!G66/10,0)+T66,ROUND('Budget by Source'!G66/10,0))</f>
        <v>37107</v>
      </c>
      <c r="H66" s="22">
        <f t="shared" si="0"/>
        <v>615101</v>
      </c>
      <c r="I66" s="22">
        <f>INDEX(Data[],MATCH($A66,Data[Dist],0),MATCH(I$5,Data[#Headers],0))</f>
        <v>746226</v>
      </c>
      <c r="K66" s="69">
        <f>INDEX('Payment Total'!$A$7:$H$333,MATCH('Payment by Source'!$A66,'Payment Total'!$A$7:$A$333,0),3)-I66</f>
        <v>0</v>
      </c>
      <c r="P66" s="154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-3</v>
      </c>
      <c r="Q66" s="154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-5</v>
      </c>
      <c r="R66" s="154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0</v>
      </c>
      <c r="S66" s="154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-2</v>
      </c>
      <c r="T66" s="154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4</v>
      </c>
      <c r="U66" s="155">
        <f>INDEX('Budget by Source'!$A$6:$I$332,MATCH('Payment by Source'!$A66,'Budget by Source'!$A$6:$A$332,0),MATCH(U$3,'Budget by Source'!$A$5:$I$5,0))</f>
        <v>6151012</v>
      </c>
      <c r="V66" s="152">
        <f t="shared" si="1"/>
        <v>615101</v>
      </c>
      <c r="W66" s="152">
        <f t="shared" si="2"/>
        <v>6151010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12546</v>
      </c>
      <c r="D67" s="22">
        <f>IF(Notes!$B$2="June",ROUND('Budget by Source'!D67/10,0)+Q67,ROUND('Budget by Source'!D67/10,0))</f>
        <v>59633</v>
      </c>
      <c r="E67" s="22">
        <f>IF(Notes!$B$2="June",ROUND('Budget by Source'!E67/10,0)+R67,ROUND('Budget by Source'!E67/10,0))</f>
        <v>6646</v>
      </c>
      <c r="F67" s="22">
        <f>IF(Notes!$B$2="June",ROUND('Budget by Source'!F67/10,0)+S67,ROUND('Budget by Source'!F67/10,0))</f>
        <v>5728</v>
      </c>
      <c r="G67" s="22">
        <f>IF(Notes!$B$2="June",ROUND('Budget by Source'!G67/10,0)+T67,ROUND('Budget by Source'!G67/10,0))</f>
        <v>34642</v>
      </c>
      <c r="H67" s="22">
        <f t="shared" si="0"/>
        <v>551129</v>
      </c>
      <c r="I67" s="22">
        <f>INDEX(Data[],MATCH($A67,Data[Dist],0),MATCH(I$5,Data[#Headers],0))</f>
        <v>670324</v>
      </c>
      <c r="K67" s="69">
        <f>INDEX('Payment Total'!$A$7:$H$333,MATCH('Payment by Source'!$A67,'Payment Total'!$A$7:$A$333,0),3)-I67</f>
        <v>0</v>
      </c>
      <c r="P67" s="154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-3</v>
      </c>
      <c r="Q67" s="154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4</v>
      </c>
      <c r="R67" s="154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-3</v>
      </c>
      <c r="S67" s="154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-1</v>
      </c>
      <c r="T67" s="154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2</v>
      </c>
      <c r="U67" s="155">
        <f>INDEX('Budget by Source'!$A$6:$I$332,MATCH('Payment by Source'!$A67,'Budget by Source'!$A$6:$A$332,0),MATCH(U$3,'Budget by Source'!$A$5:$I$5,0))</f>
        <v>5511291</v>
      </c>
      <c r="V67" s="152">
        <f t="shared" si="1"/>
        <v>551129</v>
      </c>
      <c r="W67" s="152">
        <f t="shared" si="2"/>
        <v>5511290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22878</v>
      </c>
      <c r="D68" s="22">
        <f>IF(Notes!$B$2="June",ROUND('Budget by Source'!D68/10,0)+Q68,ROUND('Budget by Source'!D68/10,0))</f>
        <v>63612</v>
      </c>
      <c r="E68" s="22">
        <f>IF(Notes!$B$2="June",ROUND('Budget by Source'!E68/10,0)+R68,ROUND('Budget by Source'!E68/10,0))</f>
        <v>7819</v>
      </c>
      <c r="F68" s="22">
        <f>IF(Notes!$B$2="June",ROUND('Budget by Source'!F68/10,0)+S68,ROUND('Budget by Source'!F68/10,0))</f>
        <v>7171</v>
      </c>
      <c r="G68" s="22">
        <f>IF(Notes!$B$2="June",ROUND('Budget by Source'!G68/10,0)+T68,ROUND('Budget by Source'!G68/10,0))</f>
        <v>35243</v>
      </c>
      <c r="H68" s="22">
        <f t="shared" si="0"/>
        <v>473392</v>
      </c>
      <c r="I68" s="22">
        <f>INDEX(Data[],MATCH($A68,Data[Dist],0),MATCH(I$5,Data[#Headers],0))</f>
        <v>610115</v>
      </c>
      <c r="K68" s="69">
        <f>INDEX('Payment Total'!$A$7:$H$333,MATCH('Payment by Source'!$A68,'Payment Total'!$A$7:$A$333,0),3)-I68</f>
        <v>0</v>
      </c>
      <c r="P68" s="154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4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3</v>
      </c>
      <c r="R68" s="154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-1</v>
      </c>
      <c r="S68" s="154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-2</v>
      </c>
      <c r="T68" s="154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3</v>
      </c>
      <c r="U68" s="155">
        <f>INDEX('Budget by Source'!$A$6:$I$332,MATCH('Payment by Source'!$A68,'Budget by Source'!$A$6:$A$332,0),MATCH(U$3,'Budget by Source'!$A$5:$I$5,0))</f>
        <v>4733917</v>
      </c>
      <c r="V68" s="152">
        <f t="shared" si="1"/>
        <v>473392</v>
      </c>
      <c r="W68" s="152">
        <f t="shared" si="2"/>
        <v>4733920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22878</v>
      </c>
      <c r="D69" s="22">
        <f>IF(Notes!$B$2="June",ROUND('Budget by Source'!D69/10,0)+Q69,ROUND('Budget by Source'!D69/10,0))</f>
        <v>89421</v>
      </c>
      <c r="E69" s="22">
        <f>IF(Notes!$B$2="June",ROUND('Budget by Source'!E69/10,0)+R69,ROUND('Budget by Source'!E69/10,0))</f>
        <v>11672</v>
      </c>
      <c r="F69" s="22">
        <f>IF(Notes!$B$2="June",ROUND('Budget by Source'!F69/10,0)+S69,ROUND('Budget by Source'!F69/10,0))</f>
        <v>9316</v>
      </c>
      <c r="G69" s="22">
        <f>IF(Notes!$B$2="June",ROUND('Budget by Source'!G69/10,0)+T69,ROUND('Budget by Source'!G69/10,0))</f>
        <v>50360</v>
      </c>
      <c r="H69" s="22">
        <f t="shared" si="0"/>
        <v>890565</v>
      </c>
      <c r="I69" s="22">
        <f>INDEX(Data[],MATCH($A69,Data[Dist],0),MATCH(I$5,Data[#Headers],0))</f>
        <v>1074212</v>
      </c>
      <c r="K69" s="69">
        <f>INDEX('Payment Total'!$A$7:$H$333,MATCH('Payment by Source'!$A69,'Payment Total'!$A$7:$A$333,0),3)-I69</f>
        <v>0</v>
      </c>
      <c r="P69" s="154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-5</v>
      </c>
      <c r="Q69" s="154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3</v>
      </c>
      <c r="R69" s="154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4</v>
      </c>
      <c r="S69" s="154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2</v>
      </c>
      <c r="T69" s="154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4</v>
      </c>
      <c r="U69" s="155">
        <f>INDEX('Budget by Source'!$A$6:$I$332,MATCH('Payment by Source'!$A69,'Budget by Source'!$A$6:$A$332,0),MATCH(U$3,'Budget by Source'!$A$5:$I$5,0))</f>
        <v>8905644</v>
      </c>
      <c r="V69" s="152">
        <f t="shared" si="1"/>
        <v>890564</v>
      </c>
      <c r="W69" s="152">
        <f t="shared" si="2"/>
        <v>8905640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3690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165037</v>
      </c>
      <c r="I70" s="22">
        <f>INDEX(Data[],MATCH($A70,Data[Dist],0),MATCH(I$5,Data[#Headers],0))</f>
        <v>205059</v>
      </c>
      <c r="K70" s="69">
        <f>INDEX('Payment Total'!$A$7:$H$333,MATCH('Payment by Source'!$A70,'Payment Total'!$A$7:$A$333,0),3)-I70</f>
        <v>0</v>
      </c>
      <c r="P70" s="154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-1</v>
      </c>
      <c r="Q70" s="154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4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4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4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5">
        <f>INDEX('Budget by Source'!$A$6:$I$332,MATCH('Payment by Source'!$A70,'Budget by Source'!$A$6:$A$332,0),MATCH(U$3,'Budget by Source'!$A$5:$I$5,0))</f>
        <v>1650366</v>
      </c>
      <c r="V70" s="152">
        <f t="shared" si="1"/>
        <v>165037</v>
      </c>
      <c r="W70" s="152">
        <f t="shared" si="2"/>
        <v>1650370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4059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76760</v>
      </c>
      <c r="I71" s="22">
        <f>INDEX(Data[],MATCH($A71,Data[Dist],0),MATCH(I$5,Data[#Headers],0))</f>
        <v>117546</v>
      </c>
      <c r="K71" s="69">
        <f>INDEX('Payment Total'!$A$7:$H$333,MATCH('Payment by Source'!$A71,'Payment Total'!$A$7:$A$333,0),3)-I71</f>
        <v>0</v>
      </c>
      <c r="P71" s="154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0</v>
      </c>
      <c r="Q71" s="154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4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4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4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5">
        <f>INDEX('Budget by Source'!$A$6:$I$332,MATCH('Payment by Source'!$A71,'Budget by Source'!$A$6:$A$332,0),MATCH(U$3,'Budget by Source'!$A$5:$I$5,0))</f>
        <v>767616</v>
      </c>
      <c r="V71" s="152">
        <f t="shared" ref="V71:V134" si="4">ROUND(U71/10,0)</f>
        <v>76762</v>
      </c>
      <c r="W71" s="152">
        <f t="shared" ref="W71:W134" si="5">V71*10</f>
        <v>767620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66050</v>
      </c>
      <c r="D72" s="22">
        <f>IF(Notes!$B$2="June",ROUND('Budget by Source'!D72/10,0)+Q72,ROUND('Budget by Source'!D72/10,0))</f>
        <v>178528</v>
      </c>
      <c r="E72" s="22">
        <f>IF(Notes!$B$2="June",ROUND('Budget by Source'!E72/10,0)+R72,ROUND('Budget by Source'!E72/10,0))</f>
        <v>17956</v>
      </c>
      <c r="F72" s="22">
        <f>IF(Notes!$B$2="June",ROUND('Budget by Source'!F72/10,0)+S72,ROUND('Budget by Source'!F72/10,0))</f>
        <v>19481</v>
      </c>
      <c r="G72" s="22">
        <f>IF(Notes!$B$2="June",ROUND('Budget by Source'!G72/10,0)+T72,ROUND('Budget by Source'!G72/10,0))</f>
        <v>100105</v>
      </c>
      <c r="H72" s="22">
        <f t="shared" si="3"/>
        <v>1402727</v>
      </c>
      <c r="I72" s="22">
        <f>INDEX(Data[],MATCH($A72,Data[Dist],0),MATCH(I$5,Data[#Headers],0))</f>
        <v>1784847</v>
      </c>
      <c r="K72" s="69">
        <f>INDEX('Payment Total'!$A$7:$H$333,MATCH('Payment by Source'!$A72,'Payment Total'!$A$7:$A$333,0),3)-I72</f>
        <v>0</v>
      </c>
      <c r="P72" s="154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-5</v>
      </c>
      <c r="Q72" s="154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-4</v>
      </c>
      <c r="R72" s="154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3</v>
      </c>
      <c r="S72" s="154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1</v>
      </c>
      <c r="T72" s="154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3</v>
      </c>
      <c r="U72" s="155">
        <f>INDEX('Budget by Source'!$A$6:$I$332,MATCH('Payment by Source'!$A72,'Budget by Source'!$A$6:$A$332,0),MATCH(U$3,'Budget by Source'!$A$5:$I$5,0))</f>
        <v>14027268</v>
      </c>
      <c r="V72" s="152">
        <f t="shared" si="4"/>
        <v>1402727</v>
      </c>
      <c r="W72" s="152">
        <f t="shared" si="5"/>
        <v>14027270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23247</v>
      </c>
      <c r="D73" s="22">
        <f>IF(Notes!$B$2="June",ROUND('Budget by Source'!D73/10,0)+Q73,ROUND('Budget by Source'!D73/10,0))</f>
        <v>72918</v>
      </c>
      <c r="E73" s="22">
        <f>IF(Notes!$B$2="June",ROUND('Budget by Source'!E73/10,0)+R73,ROUND('Budget by Source'!E73/10,0))</f>
        <v>8414</v>
      </c>
      <c r="F73" s="22">
        <f>IF(Notes!$B$2="June",ROUND('Budget by Source'!F73/10,0)+S73,ROUND('Budget by Source'!F73/10,0))</f>
        <v>8032</v>
      </c>
      <c r="G73" s="22">
        <f>IF(Notes!$B$2="June",ROUND('Budget by Source'!G73/10,0)+T73,ROUND('Budget by Source'!G73/10,0))</f>
        <v>42474</v>
      </c>
      <c r="H73" s="22">
        <f t="shared" si="3"/>
        <v>403513</v>
      </c>
      <c r="I73" s="22">
        <f>INDEX(Data[],MATCH($A73,Data[Dist],0),MATCH(I$5,Data[#Headers],0))</f>
        <v>558598</v>
      </c>
      <c r="K73" s="69">
        <f>INDEX('Payment Total'!$A$7:$H$333,MATCH('Payment by Source'!$A73,'Payment Total'!$A$7:$A$333,0),3)-I73</f>
        <v>0</v>
      </c>
      <c r="P73" s="154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-5</v>
      </c>
      <c r="Q73" s="154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-4</v>
      </c>
      <c r="R73" s="154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4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-1</v>
      </c>
      <c r="T73" s="154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5">
        <f>INDEX('Budget by Source'!$A$6:$I$332,MATCH('Payment by Source'!$A73,'Budget by Source'!$A$6:$A$332,0),MATCH(U$3,'Budget by Source'!$A$5:$I$5,0))</f>
        <v>4035130</v>
      </c>
      <c r="V73" s="152">
        <f t="shared" si="4"/>
        <v>403513</v>
      </c>
      <c r="W73" s="152">
        <f t="shared" si="5"/>
        <v>4035130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67157</v>
      </c>
      <c r="D74" s="22">
        <f>IF(Notes!$B$2="June",ROUND('Budget by Source'!D74/10,0)+Q74,ROUND('Budget by Source'!D74/10,0))</f>
        <v>230106</v>
      </c>
      <c r="E74" s="22">
        <f>IF(Notes!$B$2="June",ROUND('Budget by Source'!E74/10,0)+R74,ROUND('Budget by Source'!E74/10,0))</f>
        <v>30680</v>
      </c>
      <c r="F74" s="22">
        <f>IF(Notes!$B$2="June",ROUND('Budget by Source'!F74/10,0)+S74,ROUND('Budget by Source'!F74/10,0))</f>
        <v>26479</v>
      </c>
      <c r="G74" s="22">
        <f>IF(Notes!$B$2="June",ROUND('Budget by Source'!G74/10,0)+T74,ROUND('Budget by Source'!G74/10,0))</f>
        <v>129252</v>
      </c>
      <c r="H74" s="22">
        <f t="shared" si="3"/>
        <v>2531656</v>
      </c>
      <c r="I74" s="22">
        <f>INDEX(Data[],MATCH($A74,Data[Dist],0),MATCH(I$5,Data[#Headers],0))</f>
        <v>3015330</v>
      </c>
      <c r="K74" s="69">
        <f>INDEX('Payment Total'!$A$7:$H$333,MATCH('Payment by Source'!$A74,'Payment Total'!$A$7:$A$333,0),3)-I74</f>
        <v>0</v>
      </c>
      <c r="P74" s="154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-5</v>
      </c>
      <c r="Q74" s="154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3</v>
      </c>
      <c r="R74" s="154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1</v>
      </c>
      <c r="S74" s="154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-1</v>
      </c>
      <c r="T74" s="154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-3</v>
      </c>
      <c r="U74" s="155">
        <f>INDEX('Budget by Source'!$A$6:$I$332,MATCH('Payment by Source'!$A74,'Budget by Source'!$A$6:$A$332,0),MATCH(U$3,'Budget by Source'!$A$5:$I$5,0))</f>
        <v>25316562</v>
      </c>
      <c r="V74" s="152">
        <f t="shared" si="4"/>
        <v>2531656</v>
      </c>
      <c r="W74" s="152">
        <f t="shared" si="5"/>
        <v>25316560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17343</v>
      </c>
      <c r="D75" s="22">
        <f>IF(Notes!$B$2="June",ROUND('Budget by Source'!D75/10,0)+Q75,ROUND('Budget by Source'!D75/10,0))</f>
        <v>46148</v>
      </c>
      <c r="E75" s="22">
        <f>IF(Notes!$B$2="June",ROUND('Budget by Source'!E75/10,0)+R75,ROUND('Budget by Source'!E75/10,0))</f>
        <v>5336</v>
      </c>
      <c r="F75" s="22">
        <f>IF(Notes!$B$2="June",ROUND('Budget by Source'!F75/10,0)+S75,ROUND('Budget by Source'!F75/10,0))</f>
        <v>4581</v>
      </c>
      <c r="G75" s="22">
        <f>IF(Notes!$B$2="June",ROUND('Budget by Source'!G75/10,0)+T75,ROUND('Budget by Source'!G75/10,0))</f>
        <v>25994</v>
      </c>
      <c r="H75" s="22">
        <f t="shared" si="3"/>
        <v>406192</v>
      </c>
      <c r="I75" s="22">
        <f>INDEX(Data[],MATCH($A75,Data[Dist],0),MATCH(I$5,Data[#Headers],0))</f>
        <v>505594</v>
      </c>
      <c r="K75" s="69">
        <f>INDEX('Payment Total'!$A$7:$H$333,MATCH('Payment by Source'!$A75,'Payment Total'!$A$7:$A$333,0),3)-I75</f>
        <v>0</v>
      </c>
      <c r="P75" s="154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-3</v>
      </c>
      <c r="Q75" s="154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0</v>
      </c>
      <c r="R75" s="154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1</v>
      </c>
      <c r="S75" s="154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-4</v>
      </c>
      <c r="T75" s="154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5">
        <f>INDEX('Budget by Source'!$A$6:$I$332,MATCH('Payment by Source'!$A75,'Budget by Source'!$A$6:$A$332,0),MATCH(U$3,'Budget by Source'!$A$5:$I$5,0))</f>
        <v>4061923</v>
      </c>
      <c r="V75" s="152">
        <f t="shared" si="4"/>
        <v>406192</v>
      </c>
      <c r="W75" s="152">
        <f t="shared" si="5"/>
        <v>4061920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101104</v>
      </c>
      <c r="D76" s="22">
        <f>IF(Notes!$B$2="June",ROUND('Budget by Source'!D76/10,0)+Q76,ROUND('Budget by Source'!D76/10,0))</f>
        <v>311292</v>
      </c>
      <c r="E76" s="22">
        <f>IF(Notes!$B$2="June",ROUND('Budget by Source'!E76/10,0)+R76,ROUND('Budget by Source'!E76/10,0))</f>
        <v>40078</v>
      </c>
      <c r="F76" s="22">
        <f>IF(Notes!$B$2="June",ROUND('Budget by Source'!F76/10,0)+S76,ROUND('Budget by Source'!F76/10,0))</f>
        <v>38174</v>
      </c>
      <c r="G76" s="22">
        <f>IF(Notes!$B$2="June",ROUND('Budget by Source'!G76/10,0)+T76,ROUND('Budget by Source'!G76/10,0))</f>
        <v>183584</v>
      </c>
      <c r="H76" s="22">
        <f t="shared" si="3"/>
        <v>2556374</v>
      </c>
      <c r="I76" s="22">
        <f>INDEX(Data[],MATCH($A76,Data[Dist],0),MATCH(I$5,Data[#Headers],0))</f>
        <v>3230606</v>
      </c>
      <c r="K76" s="69">
        <f>INDEX('Payment Total'!$A$7:$H$333,MATCH('Payment by Source'!$A76,'Payment Total'!$A$7:$A$333,0),3)-I76</f>
        <v>0</v>
      </c>
      <c r="P76" s="154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-3</v>
      </c>
      <c r="Q76" s="154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-3</v>
      </c>
      <c r="R76" s="154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4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-1</v>
      </c>
      <c r="T76" s="154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-4</v>
      </c>
      <c r="U76" s="155">
        <f>INDEX('Budget by Source'!$A$6:$I$332,MATCH('Payment by Source'!$A76,'Budget by Source'!$A$6:$A$332,0),MATCH(U$3,'Budget by Source'!$A$5:$I$5,0))</f>
        <v>25563756</v>
      </c>
      <c r="V76" s="152">
        <f t="shared" si="4"/>
        <v>2556376</v>
      </c>
      <c r="W76" s="152">
        <f t="shared" si="5"/>
        <v>25563760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5166</v>
      </c>
      <c r="D77" s="22">
        <f>IF(Notes!$B$2="June",ROUND('Budget by Source'!D77/10,0)+Q77,ROUND('Budget by Source'!D77/10,0))</f>
        <v>30491</v>
      </c>
      <c r="E77" s="22">
        <f>IF(Notes!$B$2="June",ROUND('Budget by Source'!E77/10,0)+R77,ROUND('Budget by Source'!E77/10,0))</f>
        <v>3433</v>
      </c>
      <c r="F77" s="22">
        <f>IF(Notes!$B$2="June",ROUND('Budget by Source'!F77/10,0)+S77,ROUND('Budget by Source'!F77/10,0))</f>
        <v>3143</v>
      </c>
      <c r="G77" s="22">
        <f>IF(Notes!$B$2="June",ROUND('Budget by Source'!G77/10,0)+T77,ROUND('Budget by Source'!G77/10,0))</f>
        <v>16674</v>
      </c>
      <c r="H77" s="22">
        <f t="shared" si="3"/>
        <v>248353</v>
      </c>
      <c r="I77" s="22">
        <f>INDEX(Data[],MATCH($A77,Data[Dist],0),MATCH(I$5,Data[#Headers],0))</f>
        <v>307260</v>
      </c>
      <c r="K77" s="69">
        <f>INDEX('Payment Total'!$A$7:$H$333,MATCH('Payment by Source'!$A77,'Payment Total'!$A$7:$A$333,0),3)-I77</f>
        <v>0</v>
      </c>
      <c r="P77" s="154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-1</v>
      </c>
      <c r="Q77" s="154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-2</v>
      </c>
      <c r="R77" s="154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-4</v>
      </c>
      <c r="S77" s="154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2</v>
      </c>
      <c r="T77" s="154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-5</v>
      </c>
      <c r="U77" s="155">
        <f>INDEX('Budget by Source'!$A$6:$I$332,MATCH('Payment by Source'!$A77,'Budget by Source'!$A$6:$A$332,0),MATCH(U$3,'Budget by Source'!$A$5:$I$5,0))</f>
        <v>2483535</v>
      </c>
      <c r="V77" s="152">
        <f t="shared" si="4"/>
        <v>248354</v>
      </c>
      <c r="W77" s="152">
        <f t="shared" si="5"/>
        <v>2483540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8487</v>
      </c>
      <c r="D78" s="22">
        <f>IF(Notes!$B$2="June",ROUND('Budget by Source'!D78/10,0)+Q78,ROUND('Budget by Source'!D78/10,0))</f>
        <v>33003</v>
      </c>
      <c r="E78" s="22">
        <f>IF(Notes!$B$2="June",ROUND('Budget by Source'!E78/10,0)+R78,ROUND('Budget by Source'!E78/10,0))</f>
        <v>3549</v>
      </c>
      <c r="F78" s="22">
        <f>IF(Notes!$B$2="June",ROUND('Budget by Source'!F78/10,0)+S78,ROUND('Budget by Source'!F78/10,0))</f>
        <v>3336</v>
      </c>
      <c r="G78" s="22">
        <f>IF(Notes!$B$2="June",ROUND('Budget by Source'!G78/10,0)+T78,ROUND('Budget by Source'!G78/10,0))</f>
        <v>17246</v>
      </c>
      <c r="H78" s="22">
        <f t="shared" si="3"/>
        <v>183834</v>
      </c>
      <c r="I78" s="22">
        <f>INDEX(Data[],MATCH($A78,Data[Dist],0),MATCH(I$5,Data[#Headers],0))</f>
        <v>249455</v>
      </c>
      <c r="K78" s="69">
        <f>INDEX('Payment Total'!$A$7:$H$333,MATCH('Payment by Source'!$A78,'Payment Total'!$A$7:$A$333,0),3)-I78</f>
        <v>0</v>
      </c>
      <c r="P78" s="154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-1</v>
      </c>
      <c r="Q78" s="154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-5</v>
      </c>
      <c r="R78" s="154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-5</v>
      </c>
      <c r="S78" s="154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-1</v>
      </c>
      <c r="T78" s="154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0</v>
      </c>
      <c r="U78" s="155">
        <f>INDEX('Budget by Source'!$A$6:$I$332,MATCH('Payment by Source'!$A78,'Budget by Source'!$A$6:$A$332,0),MATCH(U$3,'Budget by Source'!$A$5:$I$5,0))</f>
        <v>1838351</v>
      </c>
      <c r="V78" s="152">
        <f t="shared" si="4"/>
        <v>183835</v>
      </c>
      <c r="W78" s="152">
        <f t="shared" si="5"/>
        <v>1838350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11808</v>
      </c>
      <c r="D79" s="22">
        <f>IF(Notes!$B$2="June",ROUND('Budget by Source'!D79/10,0)+Q79,ROUND('Budget by Source'!D79/10,0))</f>
        <v>50764</v>
      </c>
      <c r="E79" s="22">
        <f>IF(Notes!$B$2="June",ROUND('Budget by Source'!E79/10,0)+R79,ROUND('Budget by Source'!E79/10,0))</f>
        <v>6267</v>
      </c>
      <c r="F79" s="22">
        <f>IF(Notes!$B$2="June",ROUND('Budget by Source'!F79/10,0)+S79,ROUND('Budget by Source'!F79/10,0))</f>
        <v>6020</v>
      </c>
      <c r="G79" s="22">
        <f>IF(Notes!$B$2="June",ROUND('Budget by Source'!G79/10,0)+T79,ROUND('Budget by Source'!G79/10,0))</f>
        <v>27078</v>
      </c>
      <c r="H79" s="22">
        <f t="shared" si="3"/>
        <v>459289</v>
      </c>
      <c r="I79" s="22">
        <f>INDEX(Data[],MATCH($A79,Data[Dist],0),MATCH(I$5,Data[#Headers],0))</f>
        <v>561226</v>
      </c>
      <c r="K79" s="69">
        <f>INDEX('Payment Total'!$A$7:$H$333,MATCH('Payment by Source'!$A79,'Payment Total'!$A$7:$A$333,0),3)-I79</f>
        <v>0</v>
      </c>
      <c r="P79" s="154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-3</v>
      </c>
      <c r="Q79" s="154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-1</v>
      </c>
      <c r="R79" s="154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1</v>
      </c>
      <c r="S79" s="154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3</v>
      </c>
      <c r="T79" s="154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3</v>
      </c>
      <c r="U79" s="155">
        <f>INDEX('Budget by Source'!$A$6:$I$332,MATCH('Payment by Source'!$A79,'Budget by Source'!$A$6:$A$332,0),MATCH(U$3,'Budget by Source'!$A$5:$I$5,0))</f>
        <v>4592891</v>
      </c>
      <c r="V79" s="152">
        <f t="shared" si="4"/>
        <v>459289</v>
      </c>
      <c r="W79" s="152">
        <f t="shared" si="5"/>
        <v>4592890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9963</v>
      </c>
      <c r="D80" s="22">
        <f>IF(Notes!$B$2="June",ROUND('Budget by Source'!D80/10,0)+Q80,ROUND('Budget by Source'!D80/10,0))</f>
        <v>30412</v>
      </c>
      <c r="E80" s="22">
        <f>IF(Notes!$B$2="June",ROUND('Budget by Source'!E80/10,0)+R80,ROUND('Budget by Source'!E80/10,0))</f>
        <v>3512</v>
      </c>
      <c r="F80" s="22">
        <f>IF(Notes!$B$2="June",ROUND('Budget by Source'!F80/10,0)+S80,ROUND('Budget by Source'!F80/10,0))</f>
        <v>3267</v>
      </c>
      <c r="G80" s="22">
        <f>IF(Notes!$B$2="June",ROUND('Budget by Source'!G80/10,0)+T80,ROUND('Budget by Source'!G80/10,0))</f>
        <v>15278</v>
      </c>
      <c r="H80" s="22">
        <f t="shared" si="3"/>
        <v>217083</v>
      </c>
      <c r="I80" s="22">
        <f>INDEX(Data[],MATCH($A80,Data[Dist],0),MATCH(I$5,Data[#Headers],0))</f>
        <v>279515</v>
      </c>
      <c r="K80" s="69">
        <f>INDEX('Payment Total'!$A$7:$H$333,MATCH('Payment by Source'!$A80,'Payment Total'!$A$7:$A$333,0),3)-I80</f>
        <v>0</v>
      </c>
      <c r="P80" s="154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-2</v>
      </c>
      <c r="Q80" s="154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2</v>
      </c>
      <c r="R80" s="154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-4</v>
      </c>
      <c r="S80" s="154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0</v>
      </c>
      <c r="T80" s="154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1</v>
      </c>
      <c r="U80" s="155">
        <f>INDEX('Budget by Source'!$A$6:$I$332,MATCH('Payment by Source'!$A80,'Budget by Source'!$A$6:$A$332,0),MATCH(U$3,'Budget by Source'!$A$5:$I$5,0))</f>
        <v>2170831</v>
      </c>
      <c r="V80" s="152">
        <f t="shared" si="4"/>
        <v>217083</v>
      </c>
      <c r="W80" s="152">
        <f t="shared" si="5"/>
        <v>2170830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13284</v>
      </c>
      <c r="D81" s="22">
        <f>IF(Notes!$B$2="June",ROUND('Budget by Source'!D81/10,0)+Q81,ROUND('Budget by Source'!D81/10,0))</f>
        <v>29636</v>
      </c>
      <c r="E81" s="22">
        <f>IF(Notes!$B$2="June",ROUND('Budget by Source'!E81/10,0)+R81,ROUND('Budget by Source'!E81/10,0))</f>
        <v>3548</v>
      </c>
      <c r="F81" s="22">
        <f>IF(Notes!$B$2="June",ROUND('Budget by Source'!F81/10,0)+S81,ROUND('Budget by Source'!F81/10,0))</f>
        <v>3019</v>
      </c>
      <c r="G81" s="22">
        <f>IF(Notes!$B$2="June",ROUND('Budget by Source'!G81/10,0)+T81,ROUND('Budget by Source'!G81/10,0))</f>
        <v>14756</v>
      </c>
      <c r="H81" s="22">
        <f t="shared" si="3"/>
        <v>154223</v>
      </c>
      <c r="I81" s="22">
        <f>INDEX(Data[],MATCH($A81,Data[Dist],0),MATCH(I$5,Data[#Headers],0))</f>
        <v>218466</v>
      </c>
      <c r="K81" s="69">
        <f>INDEX('Payment Total'!$A$7:$H$333,MATCH('Payment by Source'!$A81,'Payment Total'!$A$7:$A$333,0),3)-I81</f>
        <v>0</v>
      </c>
      <c r="P81" s="154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-3</v>
      </c>
      <c r="Q81" s="154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-1</v>
      </c>
      <c r="R81" s="154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-1</v>
      </c>
      <c r="S81" s="154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2</v>
      </c>
      <c r="T81" s="154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-3</v>
      </c>
      <c r="U81" s="155">
        <f>INDEX('Budget by Source'!$A$6:$I$332,MATCH('Payment by Source'!$A81,'Budget by Source'!$A$6:$A$332,0),MATCH(U$3,'Budget by Source'!$A$5:$I$5,0))</f>
        <v>1542239</v>
      </c>
      <c r="V81" s="152">
        <f t="shared" si="4"/>
        <v>154224</v>
      </c>
      <c r="W81" s="152">
        <f t="shared" si="5"/>
        <v>1542240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142431</v>
      </c>
      <c r="D82" s="22">
        <f>IF(Notes!$B$2="June",ROUND('Budget by Source'!D82/10,0)+Q82,ROUND('Budget by Source'!D82/10,0))</f>
        <v>532398</v>
      </c>
      <c r="E82" s="22">
        <f>IF(Notes!$B$2="June",ROUND('Budget by Source'!E82/10,0)+R82,ROUND('Budget by Source'!E82/10,0))</f>
        <v>77938</v>
      </c>
      <c r="F82" s="22">
        <f>IF(Notes!$B$2="June",ROUND('Budget by Source'!F82/10,0)+S82,ROUND('Budget by Source'!F82/10,0))</f>
        <v>61668</v>
      </c>
      <c r="G82" s="22">
        <f>IF(Notes!$B$2="June",ROUND('Budget by Source'!G82/10,0)+T82,ROUND('Budget by Source'!G82/10,0))</f>
        <v>310860</v>
      </c>
      <c r="H82" s="22">
        <f t="shared" si="3"/>
        <v>6085667</v>
      </c>
      <c r="I82" s="22">
        <f>INDEX(Data[],MATCH($A82,Data[Dist],0),MATCH(I$5,Data[#Headers],0))</f>
        <v>7210962</v>
      </c>
      <c r="K82" s="69">
        <f>INDEX('Payment Total'!$A$7:$H$333,MATCH('Payment by Source'!$A82,'Payment Total'!$A$7:$A$333,0),3)-I82</f>
        <v>0</v>
      </c>
      <c r="P82" s="154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-3</v>
      </c>
      <c r="Q82" s="154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1</v>
      </c>
      <c r="R82" s="154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-5</v>
      </c>
      <c r="S82" s="154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1</v>
      </c>
      <c r="T82" s="154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2</v>
      </c>
      <c r="U82" s="155">
        <f>INDEX('Budget by Source'!$A$6:$I$332,MATCH('Payment by Source'!$A82,'Budget by Source'!$A$6:$A$332,0),MATCH(U$3,'Budget by Source'!$A$5:$I$5,0))</f>
        <v>60856669</v>
      </c>
      <c r="V82" s="152">
        <f t="shared" si="4"/>
        <v>6085667</v>
      </c>
      <c r="W82" s="152">
        <f t="shared" si="5"/>
        <v>60856670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29519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802756</v>
      </c>
      <c r="I83" s="22">
        <f>INDEX(Data[],MATCH($A83,Data[Dist],0),MATCH(I$5,Data[#Headers],0))</f>
        <v>997659</v>
      </c>
      <c r="K83" s="69">
        <f>INDEX('Payment Total'!$A$7:$H$333,MATCH('Payment by Source'!$A83,'Payment Total'!$A$7:$A$333,0),3)-I83</f>
        <v>0</v>
      </c>
      <c r="P83" s="154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3</v>
      </c>
      <c r="Q83" s="154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4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4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4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5">
        <f>INDEX('Budget by Source'!$A$6:$I$332,MATCH('Payment by Source'!$A83,'Budget by Source'!$A$6:$A$332,0),MATCH(U$3,'Budget by Source'!$A$5:$I$5,0))</f>
        <v>8027565</v>
      </c>
      <c r="V83" s="152">
        <f t="shared" si="4"/>
        <v>802757</v>
      </c>
      <c r="W83" s="152">
        <f t="shared" si="5"/>
        <v>8027570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59777</v>
      </c>
      <c r="D84" s="22">
        <f>IF(Notes!$B$2="June",ROUND('Budget by Source'!D84/10,0)+Q84,ROUND('Budget by Source'!D84/10,0))</f>
        <v>206816</v>
      </c>
      <c r="E84" s="22">
        <f>IF(Notes!$B$2="June",ROUND('Budget by Source'!E84/10,0)+R84,ROUND('Budget by Source'!E84/10,0))</f>
        <v>24631</v>
      </c>
      <c r="F84" s="22">
        <f>IF(Notes!$B$2="June",ROUND('Budget by Source'!F84/10,0)+S84,ROUND('Budget by Source'!F84/10,0))</f>
        <v>21953</v>
      </c>
      <c r="G84" s="22">
        <f>IF(Notes!$B$2="June",ROUND('Budget by Source'!G84/10,0)+T84,ROUND('Budget by Source'!G84/10,0))</f>
        <v>121441</v>
      </c>
      <c r="H84" s="22">
        <f t="shared" si="3"/>
        <v>1826382</v>
      </c>
      <c r="I84" s="22">
        <f>INDEX(Data[],MATCH($A84,Data[Dist],0),MATCH(I$5,Data[#Headers],0))</f>
        <v>2261000</v>
      </c>
      <c r="K84" s="69">
        <f>INDEX('Payment Total'!$A$7:$H$333,MATCH('Payment by Source'!$A84,'Payment Total'!$A$7:$A$333,0),3)-I84</f>
        <v>0</v>
      </c>
      <c r="P84" s="154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-4</v>
      </c>
      <c r="Q84" s="154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1</v>
      </c>
      <c r="R84" s="154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4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0</v>
      </c>
      <c r="T84" s="154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-1</v>
      </c>
      <c r="U84" s="155">
        <f>INDEX('Budget by Source'!$A$6:$I$332,MATCH('Payment by Source'!$A84,'Budget by Source'!$A$6:$A$332,0),MATCH(U$3,'Budget by Source'!$A$5:$I$5,0))</f>
        <v>18263827</v>
      </c>
      <c r="V84" s="152">
        <f t="shared" si="4"/>
        <v>1826383</v>
      </c>
      <c r="W84" s="152">
        <f t="shared" si="5"/>
        <v>18263830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7380</v>
      </c>
      <c r="D85" s="22">
        <f>IF(Notes!$B$2="June",ROUND('Budget by Source'!D85/10,0)+Q85,ROUND('Budget by Source'!D85/10,0))</f>
        <v>30731</v>
      </c>
      <c r="E85" s="22">
        <f>IF(Notes!$B$2="June",ROUND('Budget by Source'!E85/10,0)+R85,ROUND('Budget by Source'!E85/10,0))</f>
        <v>3723</v>
      </c>
      <c r="F85" s="22">
        <f>IF(Notes!$B$2="June",ROUND('Budget by Source'!F85/10,0)+S85,ROUND('Budget by Source'!F85/10,0))</f>
        <v>3345</v>
      </c>
      <c r="G85" s="22">
        <f>IF(Notes!$B$2="June",ROUND('Budget by Source'!G85/10,0)+T85,ROUND('Budget by Source'!G85/10,0))</f>
        <v>16892</v>
      </c>
      <c r="H85" s="22">
        <f t="shared" si="3"/>
        <v>259185</v>
      </c>
      <c r="I85" s="22">
        <f>INDEX(Data[],MATCH($A85,Data[Dist],0),MATCH(I$5,Data[#Headers],0))</f>
        <v>321256</v>
      </c>
      <c r="K85" s="69">
        <f>INDEX('Payment Total'!$A$7:$H$333,MATCH('Payment by Source'!$A85,'Payment Total'!$A$7:$A$333,0),3)-I85</f>
        <v>0</v>
      </c>
      <c r="P85" s="154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-2</v>
      </c>
      <c r="Q85" s="154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-4</v>
      </c>
      <c r="R85" s="154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1</v>
      </c>
      <c r="S85" s="154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-3</v>
      </c>
      <c r="T85" s="154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-5</v>
      </c>
      <c r="U85" s="155">
        <f>INDEX('Budget by Source'!$A$6:$I$332,MATCH('Payment by Source'!$A85,'Budget by Source'!$A$6:$A$332,0),MATCH(U$3,'Budget by Source'!$A$5:$I$5,0))</f>
        <v>2591861</v>
      </c>
      <c r="V85" s="152">
        <f t="shared" si="4"/>
        <v>259186</v>
      </c>
      <c r="W85" s="152">
        <f t="shared" si="5"/>
        <v>2591860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246163</v>
      </c>
      <c r="D86" s="22">
        <f>IF(Notes!$B$2="June",ROUND('Budget by Source'!D86/10,0)+Q86,ROUND('Budget by Source'!D86/10,0))</f>
        <v>898164</v>
      </c>
      <c r="E86" s="22">
        <f>IF(Notes!$B$2="June",ROUND('Budget by Source'!E86/10,0)+R86,ROUND('Budget by Source'!E86/10,0))</f>
        <v>128618</v>
      </c>
      <c r="F86" s="22">
        <f>IF(Notes!$B$2="June",ROUND('Budget by Source'!F86/10,0)+S86,ROUND('Budget by Source'!F86/10,0))</f>
        <v>109896</v>
      </c>
      <c r="G86" s="22">
        <f>IF(Notes!$B$2="June",ROUND('Budget by Source'!G86/10,0)+T86,ROUND('Budget by Source'!G86/10,0))</f>
        <v>515683</v>
      </c>
      <c r="H86" s="22">
        <f t="shared" si="3"/>
        <v>8661515</v>
      </c>
      <c r="I86" s="22">
        <f>INDEX(Data[],MATCH($A86,Data[Dist],0),MATCH(I$5,Data[#Headers],0))</f>
        <v>10560039</v>
      </c>
      <c r="K86" s="69">
        <f>INDEX('Payment Total'!$A$7:$H$333,MATCH('Payment by Source'!$A86,'Payment Total'!$A$7:$A$333,0),3)-I86</f>
        <v>0</v>
      </c>
      <c r="P86" s="154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2</v>
      </c>
      <c r="Q86" s="154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4</v>
      </c>
      <c r="R86" s="154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0</v>
      </c>
      <c r="S86" s="154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1</v>
      </c>
      <c r="T86" s="154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5">
        <f>INDEX('Budget by Source'!$A$6:$I$332,MATCH('Payment by Source'!$A86,'Budget by Source'!$A$6:$A$332,0),MATCH(U$3,'Budget by Source'!$A$5:$I$5,0))</f>
        <v>86615140</v>
      </c>
      <c r="V86" s="152">
        <f t="shared" si="4"/>
        <v>8661514</v>
      </c>
      <c r="W86" s="152">
        <f t="shared" si="5"/>
        <v>86615140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20664</v>
      </c>
      <c r="D87" s="22">
        <f>IF(Notes!$B$2="June",ROUND('Budget by Source'!D87/10,0)+Q87,ROUND('Budget by Source'!D87/10,0))</f>
        <v>75658</v>
      </c>
      <c r="E87" s="22">
        <f>IF(Notes!$B$2="June",ROUND('Budget by Source'!E87/10,0)+R87,ROUND('Budget by Source'!E87/10,0))</f>
        <v>8490</v>
      </c>
      <c r="F87" s="22">
        <f>IF(Notes!$B$2="June",ROUND('Budget by Source'!F87/10,0)+S87,ROUND('Budget by Source'!F87/10,0))</f>
        <v>8354</v>
      </c>
      <c r="G87" s="22">
        <f>IF(Notes!$B$2="June",ROUND('Budget by Source'!G87/10,0)+T87,ROUND('Budget by Source'!G87/10,0))</f>
        <v>42310</v>
      </c>
      <c r="H87" s="22">
        <f t="shared" si="3"/>
        <v>634045</v>
      </c>
      <c r="I87" s="22">
        <f>INDEX(Data[],MATCH($A87,Data[Dist],0),MATCH(I$5,Data[#Headers],0))</f>
        <v>789521</v>
      </c>
      <c r="K87" s="69">
        <f>INDEX('Payment Total'!$A$7:$H$333,MATCH('Payment by Source'!$A87,'Payment Total'!$A$7:$A$333,0),3)-I87</f>
        <v>0</v>
      </c>
      <c r="P87" s="154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-5</v>
      </c>
      <c r="Q87" s="154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-5</v>
      </c>
      <c r="R87" s="154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4</v>
      </c>
      <c r="S87" s="154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4</v>
      </c>
      <c r="T87" s="154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-1</v>
      </c>
      <c r="U87" s="155">
        <f>INDEX('Budget by Source'!$A$6:$I$332,MATCH('Payment by Source'!$A87,'Budget by Source'!$A$6:$A$332,0),MATCH(U$3,'Budget by Source'!$A$5:$I$5,0))</f>
        <v>6340456</v>
      </c>
      <c r="V87" s="152">
        <f t="shared" si="4"/>
        <v>634046</v>
      </c>
      <c r="W87" s="152">
        <f t="shared" si="5"/>
        <v>6340460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32102</v>
      </c>
      <c r="D88" s="22">
        <f>IF(Notes!$B$2="June",ROUND('Budget by Source'!D88/10,0)+Q88,ROUND('Budget by Source'!D88/10,0))</f>
        <v>97354</v>
      </c>
      <c r="E88" s="22">
        <f>IF(Notes!$B$2="June",ROUND('Budget by Source'!E88/10,0)+R88,ROUND('Budget by Source'!E88/10,0))</f>
        <v>11081</v>
      </c>
      <c r="F88" s="22">
        <f>IF(Notes!$B$2="June",ROUND('Budget by Source'!F88/10,0)+S88,ROUND('Budget by Source'!F88/10,0))</f>
        <v>11343</v>
      </c>
      <c r="G88" s="22">
        <f>IF(Notes!$B$2="June",ROUND('Budget by Source'!G88/10,0)+T88,ROUND('Budget by Source'!G88/10,0))</f>
        <v>54761</v>
      </c>
      <c r="H88" s="22">
        <f t="shared" si="3"/>
        <v>689062</v>
      </c>
      <c r="I88" s="22">
        <f>INDEX(Data[],MATCH($A88,Data[Dist],0),MATCH(I$5,Data[#Headers],0))</f>
        <v>895703</v>
      </c>
      <c r="K88" s="69">
        <f>INDEX('Payment Total'!$A$7:$H$333,MATCH('Payment by Source'!$A88,'Payment Total'!$A$7:$A$333,0),3)-I88</f>
        <v>0</v>
      </c>
      <c r="P88" s="154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3</v>
      </c>
      <c r="Q88" s="154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-4</v>
      </c>
      <c r="R88" s="154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-2</v>
      </c>
      <c r="S88" s="154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-5</v>
      </c>
      <c r="T88" s="154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3</v>
      </c>
      <c r="U88" s="155">
        <f>INDEX('Budget by Source'!$A$6:$I$332,MATCH('Payment by Source'!$A88,'Budget by Source'!$A$6:$A$332,0),MATCH(U$3,'Budget by Source'!$A$5:$I$5,0))</f>
        <v>6890627</v>
      </c>
      <c r="V88" s="152">
        <f t="shared" si="4"/>
        <v>689063</v>
      </c>
      <c r="W88" s="152">
        <f t="shared" si="5"/>
        <v>6890630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7380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100366</v>
      </c>
      <c r="I89" s="22">
        <f>INDEX(Data[],MATCH($A89,Data[Dist],0),MATCH(I$5,Data[#Headers],0))</f>
        <v>129412</v>
      </c>
      <c r="K89" s="69">
        <f>INDEX('Payment Total'!$A$7:$H$333,MATCH('Payment by Source'!$A89,'Payment Total'!$A$7:$A$333,0),3)-I89</f>
        <v>0</v>
      </c>
      <c r="P89" s="154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-2</v>
      </c>
      <c r="Q89" s="154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4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4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4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5">
        <f>INDEX('Budget by Source'!$A$6:$I$332,MATCH('Payment by Source'!$A89,'Budget by Source'!$A$6:$A$332,0),MATCH(U$3,'Budget by Source'!$A$5:$I$5,0))</f>
        <v>1003670</v>
      </c>
      <c r="V89" s="152">
        <f t="shared" si="4"/>
        <v>100367</v>
      </c>
      <c r="W89" s="152">
        <f t="shared" si="5"/>
        <v>1003670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45017</v>
      </c>
      <c r="D90" s="22">
        <f>IF(Notes!$B$2="June",ROUND('Budget by Source'!D90/10,0)+Q90,ROUND('Budget by Source'!D90/10,0))</f>
        <v>122698</v>
      </c>
      <c r="E90" s="22">
        <f>IF(Notes!$B$2="June",ROUND('Budget by Source'!E90/10,0)+R90,ROUND('Budget by Source'!E90/10,0))</f>
        <v>18029</v>
      </c>
      <c r="F90" s="22">
        <f>IF(Notes!$B$2="June",ROUND('Budget by Source'!F90/10,0)+S90,ROUND('Budget by Source'!F90/10,0))</f>
        <v>14896</v>
      </c>
      <c r="G90" s="22">
        <f>IF(Notes!$B$2="June",ROUND('Budget by Source'!G90/10,0)+T90,ROUND('Budget by Source'!G90/10,0))</f>
        <v>73163</v>
      </c>
      <c r="H90" s="22">
        <f t="shared" si="3"/>
        <v>1444240</v>
      </c>
      <c r="I90" s="22">
        <f>INDEX(Data[],MATCH($A90,Data[Dist],0),MATCH(I$5,Data[#Headers],0))</f>
        <v>1718043</v>
      </c>
      <c r="K90" s="69">
        <f>INDEX('Payment Total'!$A$7:$H$333,MATCH('Payment by Source'!$A90,'Payment Total'!$A$7:$A$333,0),3)-I90</f>
        <v>0</v>
      </c>
      <c r="P90" s="154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0</v>
      </c>
      <c r="Q90" s="154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2</v>
      </c>
      <c r="R90" s="154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0</v>
      </c>
      <c r="S90" s="154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4</v>
      </c>
      <c r="T90" s="154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-1</v>
      </c>
      <c r="U90" s="155">
        <f>INDEX('Budget by Source'!$A$6:$I$332,MATCH('Payment by Source'!$A90,'Budget by Source'!$A$6:$A$332,0),MATCH(U$3,'Budget by Source'!$A$5:$I$5,0))</f>
        <v>14442395</v>
      </c>
      <c r="V90" s="152">
        <f t="shared" si="4"/>
        <v>1444240</v>
      </c>
      <c r="W90" s="152">
        <f t="shared" si="5"/>
        <v>14442400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18819</v>
      </c>
      <c r="D91" s="22">
        <f>IF(Notes!$B$2="June",ROUND('Budget by Source'!D91/10,0)+Q91,ROUND('Budget by Source'!D91/10,0))</f>
        <v>55232</v>
      </c>
      <c r="E91" s="22">
        <f>IF(Notes!$B$2="June",ROUND('Budget by Source'!E91/10,0)+R91,ROUND('Budget by Source'!E91/10,0))</f>
        <v>5319</v>
      </c>
      <c r="F91" s="22">
        <f>IF(Notes!$B$2="June",ROUND('Budget by Source'!F91/10,0)+S91,ROUND('Budget by Source'!F91/10,0))</f>
        <v>5335</v>
      </c>
      <c r="G91" s="22">
        <f>IF(Notes!$B$2="June",ROUND('Budget by Source'!G91/10,0)+T91,ROUND('Budget by Source'!G91/10,0))</f>
        <v>30900</v>
      </c>
      <c r="H91" s="22">
        <f t="shared" si="3"/>
        <v>510587</v>
      </c>
      <c r="I91" s="22">
        <f>INDEX(Data[],MATCH($A91,Data[Dist],0),MATCH(I$5,Data[#Headers],0))</f>
        <v>626192</v>
      </c>
      <c r="K91" s="69">
        <f>INDEX('Payment Total'!$A$7:$H$333,MATCH('Payment by Source'!$A91,'Payment Total'!$A$7:$A$333,0),3)-I91</f>
        <v>0</v>
      </c>
      <c r="P91" s="154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-4</v>
      </c>
      <c r="Q91" s="154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4</v>
      </c>
      <c r="R91" s="154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-1</v>
      </c>
      <c r="S91" s="154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4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-4</v>
      </c>
      <c r="U91" s="155">
        <f>INDEX('Budget by Source'!$A$6:$I$332,MATCH('Payment by Source'!$A91,'Budget by Source'!$A$6:$A$332,0),MATCH(U$3,'Budget by Source'!$A$5:$I$5,0))</f>
        <v>5105867</v>
      </c>
      <c r="V91" s="152">
        <f t="shared" si="4"/>
        <v>510587</v>
      </c>
      <c r="W91" s="152">
        <f t="shared" si="5"/>
        <v>5105870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537628</v>
      </c>
      <c r="D92" s="22">
        <f>IF(Notes!$B$2="June",ROUND('Budget by Source'!D92/10,0)+Q92,ROUND('Budget by Source'!D92/10,0))</f>
        <v>2059205</v>
      </c>
      <c r="E92" s="22">
        <f>IF(Notes!$B$2="June",ROUND('Budget by Source'!E92/10,0)+R92,ROUND('Budget by Source'!E92/10,0))</f>
        <v>304468</v>
      </c>
      <c r="F92" s="22">
        <f>IF(Notes!$B$2="June",ROUND('Budget by Source'!F92/10,0)+S92,ROUND('Budget by Source'!F92/10,0))</f>
        <v>254519</v>
      </c>
      <c r="G92" s="22">
        <f>IF(Notes!$B$2="June",ROUND('Budget by Source'!G92/10,0)+T92,ROUND('Budget by Source'!G92/10,0))</f>
        <v>1110032</v>
      </c>
      <c r="H92" s="22">
        <f t="shared" si="3"/>
        <v>21185557</v>
      </c>
      <c r="I92" s="22">
        <f>INDEX(Data[],MATCH($A92,Data[Dist],0),MATCH(I$5,Data[#Headers],0))</f>
        <v>25451409</v>
      </c>
      <c r="K92" s="69">
        <f>INDEX('Payment Total'!$A$7:$H$333,MATCH('Payment by Source'!$A92,'Payment Total'!$A$7:$A$333,0),3)-I92</f>
        <v>0</v>
      </c>
      <c r="P92" s="154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2</v>
      </c>
      <c r="Q92" s="154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-3</v>
      </c>
      <c r="R92" s="154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-4</v>
      </c>
      <c r="S92" s="154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3</v>
      </c>
      <c r="T92" s="154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-4</v>
      </c>
      <c r="U92" s="155">
        <f>INDEX('Budget by Source'!$A$6:$I$332,MATCH('Payment by Source'!$A92,'Budget by Source'!$A$6:$A$332,0),MATCH(U$3,'Budget by Source'!$A$5:$I$5,0))</f>
        <v>211855576</v>
      </c>
      <c r="V92" s="152">
        <f t="shared" si="4"/>
        <v>21185558</v>
      </c>
      <c r="W92" s="152">
        <f t="shared" si="5"/>
        <v>211855580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3690</v>
      </c>
      <c r="D93" s="22">
        <f>IF(Notes!$B$2="June",ROUND('Budget by Source'!D93/10,0)+Q93,ROUND('Budget by Source'!D93/10,0))</f>
        <v>9796</v>
      </c>
      <c r="E93" s="22">
        <f>IF(Notes!$B$2="June",ROUND('Budget by Source'!E93/10,0)+R93,ROUND('Budget by Source'!E93/10,0))</f>
        <v>1208</v>
      </c>
      <c r="F93" s="22">
        <f>IF(Notes!$B$2="June",ROUND('Budget by Source'!F93/10,0)+S93,ROUND('Budget by Source'!F93/10,0))</f>
        <v>1098</v>
      </c>
      <c r="G93" s="22">
        <f>IF(Notes!$B$2="June",ROUND('Budget by Source'!G93/10,0)+T93,ROUND('Budget by Source'!G93/10,0))</f>
        <v>3900</v>
      </c>
      <c r="H93" s="22">
        <f t="shared" si="3"/>
        <v>68218</v>
      </c>
      <c r="I93" s="22">
        <f>INDEX(Data[],MATCH($A93,Data[Dist],0),MATCH(I$5,Data[#Headers],0))</f>
        <v>87910</v>
      </c>
      <c r="K93" s="69">
        <f>INDEX('Payment Total'!$A$7:$H$333,MATCH('Payment by Source'!$A93,'Payment Total'!$A$7:$A$333,0),3)-I93</f>
        <v>0</v>
      </c>
      <c r="P93" s="154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-1</v>
      </c>
      <c r="Q93" s="154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3</v>
      </c>
      <c r="R93" s="154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3</v>
      </c>
      <c r="S93" s="154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-5</v>
      </c>
      <c r="T93" s="154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0</v>
      </c>
      <c r="U93" s="155">
        <f>INDEX('Budget by Source'!$A$6:$I$332,MATCH('Payment by Source'!$A93,'Budget by Source'!$A$6:$A$332,0),MATCH(U$3,'Budget by Source'!$A$5:$I$5,0))</f>
        <v>682180</v>
      </c>
      <c r="V93" s="152">
        <f t="shared" si="4"/>
        <v>68218</v>
      </c>
      <c r="W93" s="152">
        <f t="shared" si="5"/>
        <v>682180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18081</v>
      </c>
      <c r="D94" s="22">
        <f>IF(Notes!$B$2="June",ROUND('Budget by Source'!D94/10,0)+Q94,ROUND('Budget by Source'!D94/10,0))</f>
        <v>57627</v>
      </c>
      <c r="E94" s="22">
        <f>IF(Notes!$B$2="June",ROUND('Budget by Source'!E94/10,0)+R94,ROUND('Budget by Source'!E94/10,0))</f>
        <v>5878</v>
      </c>
      <c r="F94" s="22">
        <f>IF(Notes!$B$2="June",ROUND('Budget by Source'!F94/10,0)+S94,ROUND('Budget by Source'!F94/10,0))</f>
        <v>6119</v>
      </c>
      <c r="G94" s="22">
        <f>IF(Notes!$B$2="June",ROUND('Budget by Source'!G94/10,0)+T94,ROUND('Budget by Source'!G94/10,0))</f>
        <v>31333</v>
      </c>
      <c r="H94" s="22">
        <f t="shared" si="3"/>
        <v>489430</v>
      </c>
      <c r="I94" s="22">
        <f>INDEX(Data[],MATCH($A94,Data[Dist],0),MATCH(I$5,Data[#Headers],0))</f>
        <v>608468</v>
      </c>
      <c r="K94" s="69">
        <f>INDEX('Payment Total'!$A$7:$H$333,MATCH('Payment by Source'!$A94,'Payment Total'!$A$7:$A$333,0),3)-I94</f>
        <v>0</v>
      </c>
      <c r="P94" s="154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-4</v>
      </c>
      <c r="Q94" s="154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2</v>
      </c>
      <c r="R94" s="154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-3</v>
      </c>
      <c r="S94" s="154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-5</v>
      </c>
      <c r="T94" s="154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-5</v>
      </c>
      <c r="U94" s="155">
        <f>INDEX('Budget by Source'!$A$6:$I$332,MATCH('Payment by Source'!$A94,'Budget by Source'!$A$6:$A$332,0),MATCH(U$3,'Budget by Source'!$A$5:$I$5,0))</f>
        <v>4894315</v>
      </c>
      <c r="V94" s="152">
        <f t="shared" si="4"/>
        <v>489432</v>
      </c>
      <c r="W94" s="152">
        <f t="shared" si="5"/>
        <v>4894320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232834</v>
      </c>
      <c r="D95" s="22">
        <f>IF(Notes!$B$2="June",ROUND('Budget by Source'!D95/10,0)+Q95,ROUND('Budget by Source'!D95/10,0))</f>
        <v>663416</v>
      </c>
      <c r="E95" s="22">
        <f>IF(Notes!$B$2="June",ROUND('Budget by Source'!E95/10,0)+R95,ROUND('Budget by Source'!E95/10,0))</f>
        <v>79637</v>
      </c>
      <c r="F95" s="22">
        <f>IF(Notes!$B$2="June",ROUND('Budget by Source'!F95/10,0)+S95,ROUND('Budget by Source'!F95/10,0))</f>
        <v>78402</v>
      </c>
      <c r="G95" s="22">
        <f>IF(Notes!$B$2="June",ROUND('Budget by Source'!G95/10,0)+T95,ROUND('Budget by Source'!G95/10,0))</f>
        <v>362104</v>
      </c>
      <c r="H95" s="22">
        <f t="shared" si="3"/>
        <v>5830637</v>
      </c>
      <c r="I95" s="22">
        <f>INDEX(Data[],MATCH($A95,Data[Dist],0),MATCH(I$5,Data[#Headers],0))</f>
        <v>7247030</v>
      </c>
      <c r="K95" s="69">
        <f>INDEX('Payment Total'!$A$7:$H$333,MATCH('Payment by Source'!$A95,'Payment Total'!$A$7:$A$333,0),3)-I95</f>
        <v>0</v>
      </c>
      <c r="P95" s="154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-3</v>
      </c>
      <c r="Q95" s="154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0</v>
      </c>
      <c r="R95" s="154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4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0</v>
      </c>
      <c r="T95" s="154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3</v>
      </c>
      <c r="U95" s="155">
        <f>INDEX('Budget by Source'!$A$6:$I$332,MATCH('Payment by Source'!$A95,'Budget by Source'!$A$6:$A$332,0),MATCH(U$3,'Budget by Source'!$A$5:$I$5,0))</f>
        <v>58306377</v>
      </c>
      <c r="V95" s="152">
        <f t="shared" si="4"/>
        <v>5830638</v>
      </c>
      <c r="W95" s="152">
        <f t="shared" si="5"/>
        <v>58306380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9225</v>
      </c>
      <c r="D96" s="22">
        <f>IF(Notes!$B$2="June",ROUND('Budget by Source'!D96/10,0)+Q96,ROUND('Budget by Source'!D96/10,0))</f>
        <v>25346</v>
      </c>
      <c r="E96" s="22">
        <f>IF(Notes!$B$2="June",ROUND('Budget by Source'!E96/10,0)+R96,ROUND('Budget by Source'!E96/10,0))</f>
        <v>2866</v>
      </c>
      <c r="F96" s="22">
        <f>IF(Notes!$B$2="June",ROUND('Budget by Source'!F96/10,0)+S96,ROUND('Budget by Source'!F96/10,0))</f>
        <v>2662</v>
      </c>
      <c r="G96" s="22">
        <f>IF(Notes!$B$2="June",ROUND('Budget by Source'!G96/10,0)+T96,ROUND('Budget by Source'!G96/10,0))</f>
        <v>13636</v>
      </c>
      <c r="H96" s="22">
        <f t="shared" si="3"/>
        <v>198253</v>
      </c>
      <c r="I96" s="22">
        <f>INDEX(Data[],MATCH($A96,Data[Dist],0),MATCH(I$5,Data[#Headers],0))</f>
        <v>251988</v>
      </c>
      <c r="K96" s="69">
        <f>INDEX('Payment Total'!$A$7:$H$333,MATCH('Payment by Source'!$A96,'Payment Total'!$A$7:$A$333,0),3)-I96</f>
        <v>0</v>
      </c>
      <c r="P96" s="154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-2</v>
      </c>
      <c r="Q96" s="154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2</v>
      </c>
      <c r="R96" s="154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-1</v>
      </c>
      <c r="S96" s="154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4</v>
      </c>
      <c r="T96" s="154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-2</v>
      </c>
      <c r="U96" s="155">
        <f>INDEX('Budget by Source'!$A$6:$I$332,MATCH('Payment by Source'!$A96,'Budget by Source'!$A$6:$A$332,0),MATCH(U$3,'Budget by Source'!$A$5:$I$5,0))</f>
        <v>1982530</v>
      </c>
      <c r="V96" s="152">
        <f t="shared" si="4"/>
        <v>198253</v>
      </c>
      <c r="W96" s="152">
        <f t="shared" si="5"/>
        <v>1982530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8118</v>
      </c>
      <c r="D97" s="22">
        <f>IF(Notes!$B$2="June",ROUND('Budget by Source'!D97/10,0)+Q97,ROUND('Budget by Source'!D97/10,0))</f>
        <v>28098</v>
      </c>
      <c r="E97" s="22">
        <f>IF(Notes!$B$2="June",ROUND('Budget by Source'!E97/10,0)+R97,ROUND('Budget by Source'!E97/10,0))</f>
        <v>3213</v>
      </c>
      <c r="F97" s="22">
        <f>IF(Notes!$B$2="June",ROUND('Budget by Source'!F97/10,0)+S97,ROUND('Budget by Source'!F97/10,0))</f>
        <v>3350</v>
      </c>
      <c r="G97" s="22">
        <f>IF(Notes!$B$2="June",ROUND('Budget by Source'!G97/10,0)+T97,ROUND('Budget by Source'!G97/10,0))</f>
        <v>14194</v>
      </c>
      <c r="H97" s="22">
        <f t="shared" si="3"/>
        <v>168358</v>
      </c>
      <c r="I97" s="22">
        <f>INDEX(Data[],MATCH($A97,Data[Dist],0),MATCH(I$5,Data[#Headers],0))</f>
        <v>225331</v>
      </c>
      <c r="K97" s="69">
        <f>INDEX('Payment Total'!$A$7:$H$333,MATCH('Payment by Source'!$A97,'Payment Total'!$A$7:$A$333,0),3)-I97</f>
        <v>0</v>
      </c>
      <c r="P97" s="154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4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-1</v>
      </c>
      <c r="R97" s="154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-5</v>
      </c>
      <c r="S97" s="154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4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5">
        <f>INDEX('Budget by Source'!$A$6:$I$332,MATCH('Payment by Source'!$A97,'Budget by Source'!$A$6:$A$332,0),MATCH(U$3,'Budget by Source'!$A$5:$I$5,0))</f>
        <v>1683587</v>
      </c>
      <c r="V97" s="152">
        <f t="shared" si="4"/>
        <v>168359</v>
      </c>
      <c r="W97" s="152">
        <f t="shared" si="5"/>
        <v>1683590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6642</v>
      </c>
      <c r="D98" s="22">
        <f>IF(Notes!$B$2="June",ROUND('Budget by Source'!D98/10,0)+Q98,ROUND('Budget by Source'!D98/10,0))</f>
        <v>39220</v>
      </c>
      <c r="E98" s="22">
        <f>IF(Notes!$B$2="June",ROUND('Budget by Source'!E98/10,0)+R98,ROUND('Budget by Source'!E98/10,0))</f>
        <v>3670</v>
      </c>
      <c r="F98" s="22">
        <f>IF(Notes!$B$2="June",ROUND('Budget by Source'!F98/10,0)+S98,ROUND('Budget by Source'!F98/10,0))</f>
        <v>4438</v>
      </c>
      <c r="G98" s="22">
        <f>IF(Notes!$B$2="June",ROUND('Budget by Source'!G98/10,0)+T98,ROUND('Budget by Source'!G98/10,0))</f>
        <v>18999</v>
      </c>
      <c r="H98" s="22">
        <f t="shared" si="3"/>
        <v>255677</v>
      </c>
      <c r="I98" s="22">
        <f>INDEX(Data[],MATCH($A98,Data[Dist],0),MATCH(I$5,Data[#Headers],0))</f>
        <v>328646</v>
      </c>
      <c r="K98" s="69">
        <f>INDEX('Payment Total'!$A$7:$H$333,MATCH('Payment by Source'!$A98,'Payment Total'!$A$7:$A$333,0),3)-I98</f>
        <v>0</v>
      </c>
      <c r="P98" s="154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-2</v>
      </c>
      <c r="Q98" s="154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-3</v>
      </c>
      <c r="R98" s="154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3</v>
      </c>
      <c r="S98" s="154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1</v>
      </c>
      <c r="T98" s="154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2</v>
      </c>
      <c r="U98" s="155">
        <f>INDEX('Budget by Source'!$A$6:$I$332,MATCH('Payment by Source'!$A98,'Budget by Source'!$A$6:$A$332,0),MATCH(U$3,'Budget by Source'!$A$5:$I$5,0))</f>
        <v>2556767</v>
      </c>
      <c r="V98" s="152">
        <f t="shared" si="4"/>
        <v>255677</v>
      </c>
      <c r="W98" s="152">
        <f t="shared" si="5"/>
        <v>2556770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16974</v>
      </c>
      <c r="D99" s="22">
        <f>IF(Notes!$B$2="June",ROUND('Budget by Source'!D99/10,0)+Q99,ROUND('Budget by Source'!D99/10,0))</f>
        <v>64988</v>
      </c>
      <c r="E99" s="22">
        <f>IF(Notes!$B$2="June",ROUND('Budget by Source'!E99/10,0)+R99,ROUND('Budget by Source'!E99/10,0))</f>
        <v>6970</v>
      </c>
      <c r="F99" s="22">
        <f>IF(Notes!$B$2="June",ROUND('Budget by Source'!F99/10,0)+S99,ROUND('Budget by Source'!F99/10,0))</f>
        <v>5822</v>
      </c>
      <c r="G99" s="22">
        <f>IF(Notes!$B$2="June",ROUND('Budget by Source'!G99/10,0)+T99,ROUND('Budget by Source'!G99/10,0))</f>
        <v>35544</v>
      </c>
      <c r="H99" s="22">
        <f t="shared" si="3"/>
        <v>506253</v>
      </c>
      <c r="I99" s="22">
        <f>INDEX(Data[],MATCH($A99,Data[Dist],0),MATCH(I$5,Data[#Headers],0))</f>
        <v>636551</v>
      </c>
      <c r="K99" s="69">
        <f>INDEX('Payment Total'!$A$7:$H$333,MATCH('Payment by Source'!$A99,'Payment Total'!$A$7:$A$333,0),3)-I99</f>
        <v>0</v>
      </c>
      <c r="P99" s="154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-4</v>
      </c>
      <c r="Q99" s="154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2</v>
      </c>
      <c r="R99" s="154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-3</v>
      </c>
      <c r="S99" s="154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3</v>
      </c>
      <c r="T99" s="154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-1</v>
      </c>
      <c r="U99" s="155">
        <f>INDEX('Budget by Source'!$A$6:$I$332,MATCH('Payment by Source'!$A99,'Budget by Source'!$A$6:$A$332,0),MATCH(U$3,'Budget by Source'!$A$5:$I$5,0))</f>
        <v>5062536</v>
      </c>
      <c r="V99" s="152">
        <f t="shared" si="4"/>
        <v>506254</v>
      </c>
      <c r="W99" s="152">
        <f t="shared" si="5"/>
        <v>5062540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23247</v>
      </c>
      <c r="D100" s="22">
        <f>IF(Notes!$B$2="June",ROUND('Budget by Source'!D100/10,0)+Q100,ROUND('Budget by Source'!D100/10,0))</f>
        <v>63226</v>
      </c>
      <c r="E100" s="22">
        <f>IF(Notes!$B$2="June",ROUND('Budget by Source'!E100/10,0)+R100,ROUND('Budget by Source'!E100/10,0))</f>
        <v>7797</v>
      </c>
      <c r="F100" s="22">
        <f>IF(Notes!$B$2="June",ROUND('Budget by Source'!F100/10,0)+S100,ROUND('Budget by Source'!F100/10,0))</f>
        <v>6942</v>
      </c>
      <c r="G100" s="22">
        <f>IF(Notes!$B$2="June",ROUND('Budget by Source'!G100/10,0)+T100,ROUND('Budget by Source'!G100/10,0))</f>
        <v>34778</v>
      </c>
      <c r="H100" s="22">
        <f t="shared" si="3"/>
        <v>611626</v>
      </c>
      <c r="I100" s="22">
        <f>INDEX(Data[],MATCH($A100,Data[Dist],0),MATCH(I$5,Data[#Headers],0))</f>
        <v>747616</v>
      </c>
      <c r="K100" s="69">
        <f>INDEX('Payment Total'!$A$7:$H$333,MATCH('Payment by Source'!$A100,'Payment Total'!$A$7:$A$333,0),3)-I100</f>
        <v>0</v>
      </c>
      <c r="P100" s="154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-5</v>
      </c>
      <c r="Q100" s="154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-3</v>
      </c>
      <c r="R100" s="154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4</v>
      </c>
      <c r="S100" s="154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4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2</v>
      </c>
      <c r="U100" s="155">
        <f>INDEX('Budget by Source'!$A$6:$I$332,MATCH('Payment by Source'!$A100,'Budget by Source'!$A$6:$A$332,0),MATCH(U$3,'Budget by Source'!$A$5:$I$5,0))</f>
        <v>6116259</v>
      </c>
      <c r="V100" s="152">
        <f t="shared" si="4"/>
        <v>611626</v>
      </c>
      <c r="W100" s="152">
        <f t="shared" si="5"/>
        <v>6116260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11439</v>
      </c>
      <c r="D101" s="22">
        <f>IF(Notes!$B$2="June",ROUND('Budget by Source'!D101/10,0)+Q101,ROUND('Budget by Source'!D101/10,0))</f>
        <v>38916</v>
      </c>
      <c r="E101" s="22">
        <f>IF(Notes!$B$2="June",ROUND('Budget by Source'!E101/10,0)+R101,ROUND('Budget by Source'!E101/10,0))</f>
        <v>4500</v>
      </c>
      <c r="F101" s="22">
        <f>IF(Notes!$B$2="June",ROUND('Budget by Source'!F101/10,0)+S101,ROUND('Budget by Source'!F101/10,0))</f>
        <v>3976</v>
      </c>
      <c r="G101" s="22">
        <f>IF(Notes!$B$2="June",ROUND('Budget by Source'!G101/10,0)+T101,ROUND('Budget by Source'!G101/10,0))</f>
        <v>20781</v>
      </c>
      <c r="H101" s="22">
        <f t="shared" si="3"/>
        <v>302306</v>
      </c>
      <c r="I101" s="22">
        <f>INDEX(Data[],MATCH($A101,Data[Dist],0),MATCH(I$5,Data[#Headers],0))</f>
        <v>381918</v>
      </c>
      <c r="K101" s="69">
        <f>INDEX('Payment Total'!$A$7:$H$333,MATCH('Payment by Source'!$A101,'Payment Total'!$A$7:$A$333,0),3)-I101</f>
        <v>0</v>
      </c>
      <c r="P101" s="154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-2</v>
      </c>
      <c r="Q101" s="154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-1</v>
      </c>
      <c r="R101" s="154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-5</v>
      </c>
      <c r="S101" s="154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2</v>
      </c>
      <c r="T101" s="154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0</v>
      </c>
      <c r="U101" s="155">
        <f>INDEX('Budget by Source'!$A$6:$I$332,MATCH('Payment by Source'!$A101,'Budget by Source'!$A$6:$A$332,0),MATCH(U$3,'Budget by Source'!$A$5:$I$5,0))</f>
        <v>3023062</v>
      </c>
      <c r="V101" s="152">
        <f t="shared" si="4"/>
        <v>302306</v>
      </c>
      <c r="W101" s="152">
        <f t="shared" si="5"/>
        <v>3023060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11070</v>
      </c>
      <c r="D102" s="22">
        <f>IF(Notes!$B$2="June",ROUND('Budget by Source'!D102/10,0)+Q102,ROUND('Budget by Source'!D102/10,0))</f>
        <v>38370</v>
      </c>
      <c r="E102" s="22">
        <f>IF(Notes!$B$2="June",ROUND('Budget by Source'!E102/10,0)+R102,ROUND('Budget by Source'!E102/10,0))</f>
        <v>4097</v>
      </c>
      <c r="F102" s="22">
        <f>IF(Notes!$B$2="June",ROUND('Budget by Source'!F102/10,0)+S102,ROUND('Budget by Source'!F102/10,0))</f>
        <v>3886</v>
      </c>
      <c r="G102" s="22">
        <f>IF(Notes!$B$2="June",ROUND('Budget by Source'!G102/10,0)+T102,ROUND('Budget by Source'!G102/10,0))</f>
        <v>19769</v>
      </c>
      <c r="H102" s="22">
        <f t="shared" si="3"/>
        <v>305690</v>
      </c>
      <c r="I102" s="22">
        <f>INDEX(Data[],MATCH($A102,Data[Dist],0),MATCH(I$5,Data[#Headers],0))</f>
        <v>382882</v>
      </c>
      <c r="K102" s="69">
        <f>INDEX('Payment Total'!$A$7:$H$333,MATCH('Payment by Source'!$A102,'Payment Total'!$A$7:$A$333,0),3)-I102</f>
        <v>0</v>
      </c>
      <c r="P102" s="154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-3</v>
      </c>
      <c r="Q102" s="154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0</v>
      </c>
      <c r="R102" s="154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4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4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5">
        <f>INDEX('Budget by Source'!$A$6:$I$332,MATCH('Payment by Source'!$A102,'Budget by Source'!$A$6:$A$332,0),MATCH(U$3,'Budget by Source'!$A$5:$I$5,0))</f>
        <v>3056917</v>
      </c>
      <c r="V102" s="152">
        <f t="shared" si="4"/>
        <v>305692</v>
      </c>
      <c r="W102" s="152">
        <f t="shared" si="5"/>
        <v>3056920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8118</v>
      </c>
      <c r="D103" s="22">
        <f>IF(Notes!$B$2="June",ROUND('Budget by Source'!D103/10,0)+Q103,ROUND('Budget by Source'!D103/10,0))</f>
        <v>36165</v>
      </c>
      <c r="E103" s="22">
        <f>IF(Notes!$B$2="June",ROUND('Budget by Source'!E103/10,0)+R103,ROUND('Budget by Source'!E103/10,0))</f>
        <v>3747</v>
      </c>
      <c r="F103" s="22">
        <f>IF(Notes!$B$2="June",ROUND('Budget by Source'!F103/10,0)+S103,ROUND('Budget by Source'!F103/10,0))</f>
        <v>3979</v>
      </c>
      <c r="G103" s="22">
        <f>IF(Notes!$B$2="June",ROUND('Budget by Source'!G103/10,0)+T103,ROUND('Budget by Source'!G103/10,0))</f>
        <v>19997</v>
      </c>
      <c r="H103" s="22">
        <f t="shared" si="3"/>
        <v>304079</v>
      </c>
      <c r="I103" s="22">
        <f>INDEX(Data[],MATCH($A103,Data[Dist],0),MATCH(I$5,Data[#Headers],0))</f>
        <v>376085</v>
      </c>
      <c r="K103" s="69">
        <f>INDEX('Payment Total'!$A$7:$H$333,MATCH('Payment by Source'!$A103,'Payment Total'!$A$7:$A$333,0),3)-I103</f>
        <v>0</v>
      </c>
      <c r="P103" s="154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-2</v>
      </c>
      <c r="Q103" s="154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-3</v>
      </c>
      <c r="R103" s="154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-1</v>
      </c>
      <c r="S103" s="154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4</v>
      </c>
      <c r="T103" s="154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4</v>
      </c>
      <c r="U103" s="155">
        <f>INDEX('Budget by Source'!$A$6:$I$332,MATCH('Payment by Source'!$A103,'Budget by Source'!$A$6:$A$332,0),MATCH(U$3,'Budget by Source'!$A$5:$I$5,0))</f>
        <v>3040788</v>
      </c>
      <c r="V103" s="152">
        <f t="shared" si="4"/>
        <v>304079</v>
      </c>
      <c r="W103" s="152">
        <f t="shared" si="5"/>
        <v>3040790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8487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293106</v>
      </c>
      <c r="I104" s="22">
        <f>INDEX(Data[],MATCH($A104,Data[Dist],0),MATCH(I$5,Data[#Headers],0))</f>
        <v>358707</v>
      </c>
      <c r="K104" s="69">
        <f>INDEX('Payment Total'!$A$7:$H$333,MATCH('Payment by Source'!$A104,'Payment Total'!$A$7:$A$333,0),3)-I104</f>
        <v>0</v>
      </c>
      <c r="P104" s="154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-1</v>
      </c>
      <c r="Q104" s="154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4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4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4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5">
        <f>INDEX('Budget by Source'!$A$6:$I$332,MATCH('Payment by Source'!$A104,'Budget by Source'!$A$6:$A$332,0),MATCH(U$3,'Budget by Source'!$A$5:$I$5,0))</f>
        <v>2931058</v>
      </c>
      <c r="V104" s="152">
        <f t="shared" si="4"/>
        <v>293106</v>
      </c>
      <c r="W104" s="152">
        <f t="shared" si="5"/>
        <v>2931060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11808</v>
      </c>
      <c r="D105" s="22">
        <f>IF(Notes!$B$2="June",ROUND('Budget by Source'!D105/10,0)+Q105,ROUND('Budget by Source'!D105/10,0))</f>
        <v>23438</v>
      </c>
      <c r="E105" s="22">
        <f>IF(Notes!$B$2="June",ROUND('Budget by Source'!E105/10,0)+R105,ROUND('Budget by Source'!E105/10,0))</f>
        <v>2723</v>
      </c>
      <c r="F105" s="22">
        <f>IF(Notes!$B$2="June",ROUND('Budget by Source'!F105/10,0)+S105,ROUND('Budget by Source'!F105/10,0))</f>
        <v>2262</v>
      </c>
      <c r="G105" s="22">
        <f>IF(Notes!$B$2="June",ROUND('Budget by Source'!G105/10,0)+T105,ROUND('Budget by Source'!G105/10,0))</f>
        <v>11818</v>
      </c>
      <c r="H105" s="22">
        <f t="shared" si="3"/>
        <v>140065</v>
      </c>
      <c r="I105" s="22">
        <f>INDEX(Data[],MATCH($A105,Data[Dist],0),MATCH(I$5,Data[#Headers],0))</f>
        <v>192114</v>
      </c>
      <c r="K105" s="69">
        <f>INDEX('Payment Total'!$A$7:$H$333,MATCH('Payment by Source'!$A105,'Payment Total'!$A$7:$A$333,0),3)-I105</f>
        <v>0</v>
      </c>
      <c r="P105" s="154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-3</v>
      </c>
      <c r="Q105" s="154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-2</v>
      </c>
      <c r="R105" s="154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4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-4</v>
      </c>
      <c r="T105" s="154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5">
        <f>INDEX('Budget by Source'!$A$6:$I$332,MATCH('Payment by Source'!$A105,'Budget by Source'!$A$6:$A$332,0),MATCH(U$3,'Budget by Source'!$A$5:$I$5,0))</f>
        <v>1400662</v>
      </c>
      <c r="V105" s="152">
        <f t="shared" si="4"/>
        <v>140066</v>
      </c>
      <c r="W105" s="152">
        <f t="shared" si="5"/>
        <v>1400660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6273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152638</v>
      </c>
      <c r="I106" s="22">
        <f>INDEX(Data[],MATCH($A106,Data[Dist],0),MATCH(I$5,Data[#Headers],0))</f>
        <v>206793</v>
      </c>
      <c r="K106" s="69">
        <f>INDEX('Payment Total'!$A$7:$H$333,MATCH('Payment by Source'!$A106,'Payment Total'!$A$7:$A$333,0),3)-I106</f>
        <v>0</v>
      </c>
      <c r="P106" s="154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-1</v>
      </c>
      <c r="Q106" s="154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4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4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4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5">
        <f>INDEX('Budget by Source'!$A$6:$I$332,MATCH('Payment by Source'!$A106,'Budget by Source'!$A$6:$A$332,0),MATCH(U$3,'Budget by Source'!$A$5:$I$5,0))</f>
        <v>1526382</v>
      </c>
      <c r="V106" s="152">
        <f t="shared" si="4"/>
        <v>152638</v>
      </c>
      <c r="W106" s="152">
        <f t="shared" si="5"/>
        <v>1526380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12177</v>
      </c>
      <c r="D107" s="22">
        <f>IF(Notes!$B$2="June",ROUND('Budget by Source'!D107/10,0)+Q107,ROUND('Budget by Source'!D107/10,0))</f>
        <v>27608</v>
      </c>
      <c r="E107" s="22">
        <f>IF(Notes!$B$2="June",ROUND('Budget by Source'!E107/10,0)+R107,ROUND('Budget by Source'!E107/10,0))</f>
        <v>3315</v>
      </c>
      <c r="F107" s="22">
        <f>IF(Notes!$B$2="June",ROUND('Budget by Source'!F107/10,0)+S107,ROUND('Budget by Source'!F107/10,0))</f>
        <v>3085</v>
      </c>
      <c r="G107" s="22">
        <f>IF(Notes!$B$2="June",ROUND('Budget by Source'!G107/10,0)+T107,ROUND('Budget by Source'!G107/10,0))</f>
        <v>14276</v>
      </c>
      <c r="H107" s="22">
        <f t="shared" si="3"/>
        <v>194028</v>
      </c>
      <c r="I107" s="22">
        <f>INDEX(Data[],MATCH($A107,Data[Dist],0),MATCH(I$5,Data[#Headers],0))</f>
        <v>254489</v>
      </c>
      <c r="K107" s="69">
        <f>INDEX('Payment Total'!$A$7:$H$333,MATCH('Payment by Source'!$A107,'Payment Total'!$A$7:$A$333,0),3)-I107</f>
        <v>0</v>
      </c>
      <c r="P107" s="154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-2</v>
      </c>
      <c r="Q107" s="154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-4</v>
      </c>
      <c r="R107" s="154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-1</v>
      </c>
      <c r="S107" s="154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-3</v>
      </c>
      <c r="T107" s="154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2</v>
      </c>
      <c r="U107" s="155">
        <f>INDEX('Budget by Source'!$A$6:$I$332,MATCH('Payment by Source'!$A107,'Budget by Source'!$A$6:$A$332,0),MATCH(U$3,'Budget by Source'!$A$5:$I$5,0))</f>
        <v>1940289</v>
      </c>
      <c r="V107" s="152">
        <f t="shared" si="4"/>
        <v>194029</v>
      </c>
      <c r="W107" s="152">
        <f t="shared" si="5"/>
        <v>1940290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14022</v>
      </c>
      <c r="D108" s="22">
        <f>IF(Notes!$B$2="June",ROUND('Budget by Source'!D108/10,0)+Q108,ROUND('Budget by Source'!D108/10,0))</f>
        <v>37171</v>
      </c>
      <c r="E108" s="22">
        <f>IF(Notes!$B$2="June",ROUND('Budget by Source'!E108/10,0)+R108,ROUND('Budget by Source'!E108/10,0))</f>
        <v>4317</v>
      </c>
      <c r="F108" s="22">
        <f>IF(Notes!$B$2="June",ROUND('Budget by Source'!F108/10,0)+S108,ROUND('Budget by Source'!F108/10,0))</f>
        <v>4320</v>
      </c>
      <c r="G108" s="22">
        <f>IF(Notes!$B$2="June",ROUND('Budget by Source'!G108/10,0)+T108,ROUND('Budget by Source'!G108/10,0))</f>
        <v>19991</v>
      </c>
      <c r="H108" s="22">
        <f t="shared" si="3"/>
        <v>308638</v>
      </c>
      <c r="I108" s="22">
        <f>INDEX(Data[],MATCH($A108,Data[Dist],0),MATCH(I$5,Data[#Headers],0))</f>
        <v>388459</v>
      </c>
      <c r="K108" s="69">
        <f>INDEX('Payment Total'!$A$7:$H$333,MATCH('Payment by Source'!$A108,'Payment Total'!$A$7:$A$333,0),3)-I108</f>
        <v>0</v>
      </c>
      <c r="P108" s="154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-3</v>
      </c>
      <c r="Q108" s="154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-5</v>
      </c>
      <c r="R108" s="154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0</v>
      </c>
      <c r="S108" s="154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4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2</v>
      </c>
      <c r="U108" s="155">
        <f>INDEX('Budget by Source'!$A$6:$I$332,MATCH('Payment by Source'!$A108,'Budget by Source'!$A$6:$A$332,0),MATCH(U$3,'Budget by Source'!$A$5:$I$5,0))</f>
        <v>3086386</v>
      </c>
      <c r="V108" s="152">
        <f t="shared" si="4"/>
        <v>308639</v>
      </c>
      <c r="W108" s="152">
        <f t="shared" si="5"/>
        <v>3086390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21402</v>
      </c>
      <c r="D109" s="22">
        <f>IF(Notes!$B$2="June",ROUND('Budget by Source'!D109/10,0)+Q109,ROUND('Budget by Source'!D109/10,0))</f>
        <v>41318</v>
      </c>
      <c r="E109" s="22">
        <f>IF(Notes!$B$2="June",ROUND('Budget by Source'!E109/10,0)+R109,ROUND('Budget by Source'!E109/10,0))</f>
        <v>4964</v>
      </c>
      <c r="F109" s="22">
        <f>IF(Notes!$B$2="June",ROUND('Budget by Source'!F109/10,0)+S109,ROUND('Budget by Source'!F109/10,0))</f>
        <v>4818</v>
      </c>
      <c r="G109" s="22">
        <f>IF(Notes!$B$2="June",ROUND('Budget by Source'!G109/10,0)+T109,ROUND('Budget by Source'!G109/10,0))</f>
        <v>23236</v>
      </c>
      <c r="H109" s="22">
        <f t="shared" si="3"/>
        <v>300784</v>
      </c>
      <c r="I109" s="22">
        <f>INDEX(Data[],MATCH($A109,Data[Dist],0),MATCH(I$5,Data[#Headers],0))</f>
        <v>396522</v>
      </c>
      <c r="K109" s="69">
        <f>INDEX('Payment Total'!$A$7:$H$333,MATCH('Payment by Source'!$A109,'Payment Total'!$A$7:$A$333,0),3)-I109</f>
        <v>0</v>
      </c>
      <c r="P109" s="154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-5</v>
      </c>
      <c r="Q109" s="154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1</v>
      </c>
      <c r="R109" s="154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4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-1</v>
      </c>
      <c r="T109" s="154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-5</v>
      </c>
      <c r="U109" s="155">
        <f>INDEX('Budget by Source'!$A$6:$I$332,MATCH('Payment by Source'!$A109,'Budget by Source'!$A$6:$A$332,0),MATCH(U$3,'Budget by Source'!$A$5:$I$5,0))</f>
        <v>3007846</v>
      </c>
      <c r="V109" s="152">
        <f t="shared" si="4"/>
        <v>300785</v>
      </c>
      <c r="W109" s="152">
        <f t="shared" si="5"/>
        <v>3007850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12162</v>
      </c>
      <c r="D110" s="22">
        <f>IF(Notes!$B$2="June",ROUND('Budget by Source'!D110/10,0)+Q110,ROUND('Budget by Source'!D110/10,0))</f>
        <v>35418</v>
      </c>
      <c r="E110" s="22">
        <f>IF(Notes!$B$2="June",ROUND('Budget by Source'!E110/10,0)+R110,ROUND('Budget by Source'!E110/10,0))</f>
        <v>3873</v>
      </c>
      <c r="F110" s="22">
        <f>IF(Notes!$B$2="June",ROUND('Budget by Source'!F110/10,0)+S110,ROUND('Budget by Source'!F110/10,0))</f>
        <v>3757</v>
      </c>
      <c r="G110" s="22">
        <f>IF(Notes!$B$2="June",ROUND('Budget by Source'!G110/10,0)+T110,ROUND('Budget by Source'!G110/10,0))</f>
        <v>17225</v>
      </c>
      <c r="H110" s="22">
        <f t="shared" si="3"/>
        <v>246650</v>
      </c>
      <c r="I110" s="22">
        <f>INDEX(Data[],MATCH($A110,Data[Dist],0),MATCH(I$5,Data[#Headers],0))</f>
        <v>319085</v>
      </c>
      <c r="K110" s="69">
        <f>INDEX('Payment Total'!$A$7:$H$333,MATCH('Payment by Source'!$A110,'Payment Total'!$A$7:$A$333,0),3)-I110</f>
        <v>0</v>
      </c>
      <c r="P110" s="154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-5</v>
      </c>
      <c r="Q110" s="154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-4</v>
      </c>
      <c r="R110" s="154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3</v>
      </c>
      <c r="S110" s="154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3</v>
      </c>
      <c r="T110" s="154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-5</v>
      </c>
      <c r="U110" s="155">
        <f>INDEX('Budget by Source'!$A$6:$I$332,MATCH('Payment by Source'!$A110,'Budget by Source'!$A$6:$A$332,0),MATCH(U$3,'Budget by Source'!$A$5:$I$5,0))</f>
        <v>2466507</v>
      </c>
      <c r="V110" s="152">
        <f t="shared" si="4"/>
        <v>246651</v>
      </c>
      <c r="W110" s="152">
        <f t="shared" si="5"/>
        <v>2466510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6273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96042</v>
      </c>
      <c r="I111" s="22">
        <f>INDEX(Data[],MATCH($A111,Data[Dist],0),MATCH(I$5,Data[#Headers],0))</f>
        <v>125780</v>
      </c>
      <c r="K111" s="69">
        <f>INDEX('Payment Total'!$A$7:$H$333,MATCH('Payment by Source'!$A111,'Payment Total'!$A$7:$A$333,0),3)-I111</f>
        <v>0</v>
      </c>
      <c r="P111" s="154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4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4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4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4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5">
        <f>INDEX('Budget by Source'!$A$6:$I$332,MATCH('Payment by Source'!$A111,'Budget by Source'!$A$6:$A$332,0),MATCH(U$3,'Budget by Source'!$A$5:$I$5,0))</f>
        <v>960433</v>
      </c>
      <c r="V111" s="152">
        <f t="shared" si="4"/>
        <v>96043</v>
      </c>
      <c r="W111" s="152">
        <f t="shared" si="5"/>
        <v>960430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23616</v>
      </c>
      <c r="D112" s="22">
        <f>IF(Notes!$B$2="June",ROUND('Budget by Source'!D112/10,0)+Q112,ROUND('Budget by Source'!D112/10,0))</f>
        <v>78472</v>
      </c>
      <c r="E112" s="22">
        <f>IF(Notes!$B$2="June",ROUND('Budget by Source'!E112/10,0)+R112,ROUND('Budget by Source'!E112/10,0))</f>
        <v>9963</v>
      </c>
      <c r="F112" s="22">
        <f>IF(Notes!$B$2="June",ROUND('Budget by Source'!F112/10,0)+S112,ROUND('Budget by Source'!F112/10,0))</f>
        <v>8800</v>
      </c>
      <c r="G112" s="22">
        <f>IF(Notes!$B$2="June",ROUND('Budget by Source'!G112/10,0)+T112,ROUND('Budget by Source'!G112/10,0))</f>
        <v>43727</v>
      </c>
      <c r="H112" s="22">
        <f t="shared" si="3"/>
        <v>699201</v>
      </c>
      <c r="I112" s="22">
        <f>INDEX(Data[],MATCH($A112,Data[Dist],0),MATCH(I$5,Data[#Headers],0))</f>
        <v>863779</v>
      </c>
      <c r="K112" s="69">
        <f>INDEX('Payment Total'!$A$7:$H$333,MATCH('Payment by Source'!$A112,'Payment Total'!$A$7:$A$333,0),3)-I112</f>
        <v>0</v>
      </c>
      <c r="P112" s="154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-5</v>
      </c>
      <c r="Q112" s="154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3</v>
      </c>
      <c r="R112" s="154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-4</v>
      </c>
      <c r="S112" s="154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3</v>
      </c>
      <c r="T112" s="154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5">
        <f>INDEX('Budget by Source'!$A$6:$I$332,MATCH('Payment by Source'!$A112,'Budget by Source'!$A$6:$A$332,0),MATCH(U$3,'Budget by Source'!$A$5:$I$5,0))</f>
        <v>6992014</v>
      </c>
      <c r="V112" s="152">
        <f t="shared" si="4"/>
        <v>699201</v>
      </c>
      <c r="W112" s="152">
        <f t="shared" si="5"/>
        <v>6992010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8487</v>
      </c>
      <c r="D113" s="22">
        <f>IF(Notes!$B$2="June",ROUND('Budget by Source'!D113/10,0)+Q113,ROUND('Budget by Source'!D113/10,0))</f>
        <v>29410</v>
      </c>
      <c r="E113" s="22">
        <f>IF(Notes!$B$2="June",ROUND('Budget by Source'!E113/10,0)+R113,ROUND('Budget by Source'!E113/10,0))</f>
        <v>3020</v>
      </c>
      <c r="F113" s="22">
        <f>IF(Notes!$B$2="June",ROUND('Budget by Source'!F113/10,0)+S113,ROUND('Budget by Source'!F113/10,0))</f>
        <v>3118</v>
      </c>
      <c r="G113" s="22">
        <f>IF(Notes!$B$2="June",ROUND('Budget by Source'!G113/10,0)+T113,ROUND('Budget by Source'!G113/10,0))</f>
        <v>14563</v>
      </c>
      <c r="H113" s="22">
        <f t="shared" si="3"/>
        <v>186473</v>
      </c>
      <c r="I113" s="22">
        <f>INDEX(Data[],MATCH($A113,Data[Dist],0),MATCH(I$5,Data[#Headers],0))</f>
        <v>245071</v>
      </c>
      <c r="K113" s="69">
        <f>INDEX('Payment Total'!$A$7:$H$333,MATCH('Payment by Source'!$A113,'Payment Total'!$A$7:$A$333,0),3)-I113</f>
        <v>0</v>
      </c>
      <c r="P113" s="154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-1</v>
      </c>
      <c r="Q113" s="154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2</v>
      </c>
      <c r="R113" s="154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3</v>
      </c>
      <c r="S113" s="154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0</v>
      </c>
      <c r="T113" s="154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-5</v>
      </c>
      <c r="U113" s="155">
        <f>INDEX('Budget by Source'!$A$6:$I$332,MATCH('Payment by Source'!$A113,'Budget by Source'!$A$6:$A$332,0),MATCH(U$3,'Budget by Source'!$A$5:$I$5,0))</f>
        <v>1864728</v>
      </c>
      <c r="V113" s="152">
        <f t="shared" si="4"/>
        <v>186473</v>
      </c>
      <c r="W113" s="152">
        <f t="shared" si="5"/>
        <v>1864730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22140</v>
      </c>
      <c r="D114" s="22">
        <f>IF(Notes!$B$2="June",ROUND('Budget by Source'!D114/10,0)+Q114,ROUND('Budget by Source'!D114/10,0))</f>
        <v>104873</v>
      </c>
      <c r="E114" s="22">
        <f>IF(Notes!$B$2="June",ROUND('Budget by Source'!E114/10,0)+R114,ROUND('Budget by Source'!E114/10,0))</f>
        <v>12121</v>
      </c>
      <c r="F114" s="22">
        <f>IF(Notes!$B$2="June",ROUND('Budget by Source'!F114/10,0)+S114,ROUND('Budget by Source'!F114/10,0))</f>
        <v>11053</v>
      </c>
      <c r="G114" s="22">
        <f>IF(Notes!$B$2="June",ROUND('Budget by Source'!G114/10,0)+T114,ROUND('Budget by Source'!G114/10,0))</f>
        <v>57513</v>
      </c>
      <c r="H114" s="22">
        <f t="shared" si="3"/>
        <v>788027</v>
      </c>
      <c r="I114" s="22">
        <f>INDEX(Data[],MATCH($A114,Data[Dist],0),MATCH(I$5,Data[#Headers],0))</f>
        <v>995727</v>
      </c>
      <c r="K114" s="69">
        <f>INDEX('Payment Total'!$A$7:$H$333,MATCH('Payment by Source'!$A114,'Payment Total'!$A$7:$A$333,0),3)-I114</f>
        <v>0</v>
      </c>
      <c r="P114" s="154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-5</v>
      </c>
      <c r="Q114" s="154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2</v>
      </c>
      <c r="R114" s="154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4</v>
      </c>
      <c r="S114" s="154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-5</v>
      </c>
      <c r="T114" s="154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-2</v>
      </c>
      <c r="U114" s="155">
        <f>INDEX('Budget by Source'!$A$6:$I$332,MATCH('Payment by Source'!$A114,'Budget by Source'!$A$6:$A$332,0),MATCH(U$3,'Budget by Source'!$A$5:$I$5,0))</f>
        <v>7880277</v>
      </c>
      <c r="V114" s="152">
        <f t="shared" si="4"/>
        <v>788028</v>
      </c>
      <c r="W114" s="152">
        <f t="shared" si="5"/>
        <v>7880280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25829</v>
      </c>
      <c r="D115" s="22">
        <f>IF(Notes!$B$2="June",ROUND('Budget by Source'!D115/10,0)+Q115,ROUND('Budget by Source'!D115/10,0))</f>
        <v>70860</v>
      </c>
      <c r="E115" s="22">
        <f>IF(Notes!$B$2="June",ROUND('Budget by Source'!E115/10,0)+R115,ROUND('Budget by Source'!E115/10,0))</f>
        <v>8038</v>
      </c>
      <c r="F115" s="22">
        <f>IF(Notes!$B$2="June",ROUND('Budget by Source'!F115/10,0)+S115,ROUND('Budget by Source'!F115/10,0))</f>
        <v>8231</v>
      </c>
      <c r="G115" s="22">
        <f>IF(Notes!$B$2="June",ROUND('Budget by Source'!G115/10,0)+T115,ROUND('Budget by Source'!G115/10,0))</f>
        <v>37855</v>
      </c>
      <c r="H115" s="22">
        <f t="shared" si="3"/>
        <v>562869</v>
      </c>
      <c r="I115" s="22">
        <f>INDEX(Data[],MATCH($A115,Data[Dist],0),MATCH(I$5,Data[#Headers],0))</f>
        <v>713682</v>
      </c>
      <c r="K115" s="69">
        <f>INDEX('Payment Total'!$A$7:$H$333,MATCH('Payment by Source'!$A115,'Payment Total'!$A$7:$A$333,0),3)-I115</f>
        <v>0</v>
      </c>
      <c r="P115" s="154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4</v>
      </c>
      <c r="Q115" s="154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-4</v>
      </c>
      <c r="R115" s="154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-4</v>
      </c>
      <c r="S115" s="154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2</v>
      </c>
      <c r="T115" s="154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5">
        <f>INDEX('Budget by Source'!$A$6:$I$332,MATCH('Payment by Source'!$A115,'Budget by Source'!$A$6:$A$332,0),MATCH(U$3,'Budget by Source'!$A$5:$I$5,0))</f>
        <v>5628694</v>
      </c>
      <c r="V115" s="152">
        <f t="shared" si="4"/>
        <v>562869</v>
      </c>
      <c r="W115" s="152">
        <f t="shared" si="5"/>
        <v>5628690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79702</v>
      </c>
      <c r="D116" s="22">
        <f>IF(Notes!$B$2="June",ROUND('Budget by Source'!D116/10,0)+Q116,ROUND('Budget by Source'!D116/10,0))</f>
        <v>236720</v>
      </c>
      <c r="E116" s="22">
        <f>IF(Notes!$B$2="June",ROUND('Budget by Source'!E116/10,0)+R116,ROUND('Budget by Source'!E116/10,0))</f>
        <v>31067</v>
      </c>
      <c r="F116" s="22">
        <f>IF(Notes!$B$2="June",ROUND('Budget by Source'!F116/10,0)+S116,ROUND('Budget by Source'!F116/10,0))</f>
        <v>27484</v>
      </c>
      <c r="G116" s="22">
        <f>IF(Notes!$B$2="June",ROUND('Budget by Source'!G116/10,0)+T116,ROUND('Budget by Source'!G116/10,0))</f>
        <v>130805</v>
      </c>
      <c r="H116" s="22">
        <f t="shared" si="3"/>
        <v>2283748</v>
      </c>
      <c r="I116" s="22">
        <f>INDEX(Data[],MATCH($A116,Data[Dist],0),MATCH(I$5,Data[#Headers],0))</f>
        <v>2789526</v>
      </c>
      <c r="K116" s="69">
        <f>INDEX('Payment Total'!$A$7:$H$333,MATCH('Payment by Source'!$A116,'Payment Total'!$A$7:$A$333,0),3)-I116</f>
        <v>0</v>
      </c>
      <c r="P116" s="154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2</v>
      </c>
      <c r="Q116" s="154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4</v>
      </c>
      <c r="R116" s="154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0</v>
      </c>
      <c r="S116" s="154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3</v>
      </c>
      <c r="T116" s="154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-5</v>
      </c>
      <c r="U116" s="155">
        <f>INDEX('Budget by Source'!$A$6:$I$332,MATCH('Payment by Source'!$A116,'Budget by Source'!$A$6:$A$332,0),MATCH(U$3,'Budget by Source'!$A$5:$I$5,0))</f>
        <v>22837473</v>
      </c>
      <c r="V116" s="152">
        <f t="shared" si="4"/>
        <v>2283747</v>
      </c>
      <c r="W116" s="152">
        <f t="shared" si="5"/>
        <v>22837470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28405</v>
      </c>
      <c r="D117" s="22">
        <f>IF(Notes!$B$2="June",ROUND('Budget by Source'!D117/10,0)+Q117,ROUND('Budget by Source'!D117/10,0))</f>
        <v>124693</v>
      </c>
      <c r="E117" s="22">
        <f>IF(Notes!$B$2="June",ROUND('Budget by Source'!E117/10,0)+R117,ROUND('Budget by Source'!E117/10,0))</f>
        <v>15567</v>
      </c>
      <c r="F117" s="22">
        <f>IF(Notes!$B$2="June",ROUND('Budget by Source'!F117/10,0)+S117,ROUND('Budget by Source'!F117/10,0))</f>
        <v>13989</v>
      </c>
      <c r="G117" s="22">
        <f>IF(Notes!$B$2="June",ROUND('Budget by Source'!G117/10,0)+T117,ROUND('Budget by Source'!G117/10,0))</f>
        <v>73220</v>
      </c>
      <c r="H117" s="22">
        <f t="shared" si="3"/>
        <v>1156722</v>
      </c>
      <c r="I117" s="22">
        <f>INDEX(Data[],MATCH($A117,Data[Dist],0),MATCH(I$5,Data[#Headers],0))</f>
        <v>1412596</v>
      </c>
      <c r="K117" s="69">
        <f>INDEX('Payment Total'!$A$7:$H$333,MATCH('Payment by Source'!$A117,'Payment Total'!$A$7:$A$333,0),3)-I117</f>
        <v>0</v>
      </c>
      <c r="P117" s="154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4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3</v>
      </c>
      <c r="R117" s="154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0</v>
      </c>
      <c r="S117" s="154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2</v>
      </c>
      <c r="T117" s="154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2</v>
      </c>
      <c r="U117" s="155">
        <f>INDEX('Budget by Source'!$A$6:$I$332,MATCH('Payment by Source'!$A117,'Budget by Source'!$A$6:$A$332,0),MATCH(U$3,'Budget by Source'!$A$5:$I$5,0))</f>
        <v>11567212</v>
      </c>
      <c r="V117" s="152">
        <f t="shared" si="4"/>
        <v>1156721</v>
      </c>
      <c r="W117" s="152">
        <f t="shared" si="5"/>
        <v>11567210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8856</v>
      </c>
      <c r="D118" s="22">
        <f>IF(Notes!$B$2="June",ROUND('Budget by Source'!D118/10,0)+Q118,ROUND('Budget by Source'!D118/10,0))</f>
        <v>27763</v>
      </c>
      <c r="E118" s="22">
        <f>IF(Notes!$B$2="June",ROUND('Budget by Source'!E118/10,0)+R118,ROUND('Budget by Source'!E118/10,0))</f>
        <v>3561</v>
      </c>
      <c r="F118" s="22">
        <f>IF(Notes!$B$2="June",ROUND('Budget by Source'!F118/10,0)+S118,ROUND('Budget by Source'!F118/10,0))</f>
        <v>2737</v>
      </c>
      <c r="G118" s="22">
        <f>IF(Notes!$B$2="June",ROUND('Budget by Source'!G118/10,0)+T118,ROUND('Budget by Source'!G118/10,0))</f>
        <v>15600</v>
      </c>
      <c r="H118" s="22">
        <f t="shared" si="3"/>
        <v>236783</v>
      </c>
      <c r="I118" s="22">
        <f>INDEX(Data[],MATCH($A118,Data[Dist],0),MATCH(I$5,Data[#Headers],0))</f>
        <v>295300</v>
      </c>
      <c r="K118" s="69">
        <f>INDEX('Payment Total'!$A$7:$H$333,MATCH('Payment by Source'!$A118,'Payment Total'!$A$7:$A$333,0),3)-I118</f>
        <v>0</v>
      </c>
      <c r="P118" s="154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-2</v>
      </c>
      <c r="Q118" s="154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2</v>
      </c>
      <c r="R118" s="154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-2</v>
      </c>
      <c r="S118" s="154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-2</v>
      </c>
      <c r="T118" s="154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1</v>
      </c>
      <c r="U118" s="155">
        <f>INDEX('Budget by Source'!$A$6:$I$332,MATCH('Payment by Source'!$A118,'Budget by Source'!$A$6:$A$332,0),MATCH(U$3,'Budget by Source'!$A$5:$I$5,0))</f>
        <v>2367837</v>
      </c>
      <c r="V118" s="152">
        <f t="shared" si="4"/>
        <v>236784</v>
      </c>
      <c r="W118" s="152">
        <f t="shared" si="5"/>
        <v>2367840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9963</v>
      </c>
      <c r="D119" s="22">
        <f>IF(Notes!$B$2="June",ROUND('Budget by Source'!D119/10,0)+Q119,ROUND('Budget by Source'!D119/10,0))</f>
        <v>32261</v>
      </c>
      <c r="E119" s="22">
        <f>IF(Notes!$B$2="June",ROUND('Budget by Source'!E119/10,0)+R119,ROUND('Budget by Source'!E119/10,0))</f>
        <v>3539</v>
      </c>
      <c r="F119" s="22">
        <f>IF(Notes!$B$2="June",ROUND('Budget by Source'!F119/10,0)+S119,ROUND('Budget by Source'!F119/10,0))</f>
        <v>3378</v>
      </c>
      <c r="G119" s="22">
        <f>IF(Notes!$B$2="June",ROUND('Budget by Source'!G119/10,0)+T119,ROUND('Budget by Source'!G119/10,0))</f>
        <v>16888</v>
      </c>
      <c r="H119" s="22">
        <f t="shared" si="3"/>
        <v>198115</v>
      </c>
      <c r="I119" s="22">
        <f>INDEX(Data[],MATCH($A119,Data[Dist],0),MATCH(I$5,Data[#Headers],0))</f>
        <v>264144</v>
      </c>
      <c r="K119" s="69">
        <f>INDEX('Payment Total'!$A$7:$H$333,MATCH('Payment by Source'!$A119,'Payment Total'!$A$7:$A$333,0),3)-I119</f>
        <v>0</v>
      </c>
      <c r="P119" s="154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-2</v>
      </c>
      <c r="Q119" s="154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-3</v>
      </c>
      <c r="R119" s="154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1</v>
      </c>
      <c r="S119" s="154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4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2</v>
      </c>
      <c r="U119" s="155">
        <f>INDEX('Budget by Source'!$A$6:$I$332,MATCH('Payment by Source'!$A119,'Budget by Source'!$A$6:$A$332,0),MATCH(U$3,'Budget by Source'!$A$5:$I$5,0))</f>
        <v>1981153</v>
      </c>
      <c r="V119" s="152">
        <f t="shared" si="4"/>
        <v>198115</v>
      </c>
      <c r="W119" s="152">
        <f t="shared" si="5"/>
        <v>1981150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26567</v>
      </c>
      <c r="D120" s="22">
        <f>IF(Notes!$B$2="June",ROUND('Budget by Source'!D120/10,0)+Q120,ROUND('Budget by Source'!D120/10,0))</f>
        <v>56138</v>
      </c>
      <c r="E120" s="22">
        <f>IF(Notes!$B$2="June",ROUND('Budget by Source'!E120/10,0)+R120,ROUND('Budget by Source'!E120/10,0))</f>
        <v>6497</v>
      </c>
      <c r="F120" s="22">
        <f>IF(Notes!$B$2="June",ROUND('Budget by Source'!F120/10,0)+S120,ROUND('Budget by Source'!F120/10,0))</f>
        <v>6242</v>
      </c>
      <c r="G120" s="22">
        <f>IF(Notes!$B$2="June",ROUND('Budget by Source'!G120/10,0)+T120,ROUND('Budget by Source'!G120/10,0))</f>
        <v>29926</v>
      </c>
      <c r="H120" s="22">
        <f t="shared" si="3"/>
        <v>281404</v>
      </c>
      <c r="I120" s="22">
        <f>INDEX(Data[],MATCH($A120,Data[Dist],0),MATCH(I$5,Data[#Headers],0))</f>
        <v>406774</v>
      </c>
      <c r="K120" s="69">
        <f>INDEX('Payment Total'!$A$7:$H$333,MATCH('Payment by Source'!$A120,'Payment Total'!$A$7:$A$333,0),3)-I120</f>
        <v>0</v>
      </c>
      <c r="P120" s="154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4</v>
      </c>
      <c r="Q120" s="154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3</v>
      </c>
      <c r="R120" s="154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2</v>
      </c>
      <c r="S120" s="154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1</v>
      </c>
      <c r="T120" s="154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4</v>
      </c>
      <c r="U120" s="155">
        <f>INDEX('Budget by Source'!$A$6:$I$332,MATCH('Payment by Source'!$A120,'Budget by Source'!$A$6:$A$332,0),MATCH(U$3,'Budget by Source'!$A$5:$I$5,0))</f>
        <v>2814026</v>
      </c>
      <c r="V120" s="152">
        <f t="shared" si="4"/>
        <v>281403</v>
      </c>
      <c r="W120" s="152">
        <f t="shared" si="5"/>
        <v>2814030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9225</v>
      </c>
      <c r="D121" s="22">
        <f>IF(Notes!$B$2="June",ROUND('Budget by Source'!D121/10,0)+Q121,ROUND('Budget by Source'!D121/10,0))</f>
        <v>30083</v>
      </c>
      <c r="E121" s="22">
        <f>IF(Notes!$B$2="June",ROUND('Budget by Source'!E121/10,0)+R121,ROUND('Budget by Source'!E121/10,0))</f>
        <v>3431</v>
      </c>
      <c r="F121" s="22">
        <f>IF(Notes!$B$2="June",ROUND('Budget by Source'!F121/10,0)+S121,ROUND('Budget by Source'!F121/10,0))</f>
        <v>3350</v>
      </c>
      <c r="G121" s="22">
        <f>IF(Notes!$B$2="June",ROUND('Budget by Source'!G121/10,0)+T121,ROUND('Budget by Source'!G121/10,0))</f>
        <v>16305</v>
      </c>
      <c r="H121" s="22">
        <f t="shared" si="3"/>
        <v>209552</v>
      </c>
      <c r="I121" s="22">
        <f>INDEX(Data[],MATCH($A121,Data[Dist],0),MATCH(I$5,Data[#Headers],0))</f>
        <v>271946</v>
      </c>
      <c r="K121" s="69">
        <f>INDEX('Payment Total'!$A$7:$H$333,MATCH('Payment by Source'!$A121,'Payment Total'!$A$7:$A$333,0),3)-I121</f>
        <v>0</v>
      </c>
      <c r="P121" s="154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4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-4</v>
      </c>
      <c r="R121" s="154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4</v>
      </c>
      <c r="S121" s="154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-1</v>
      </c>
      <c r="T121" s="154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-1</v>
      </c>
      <c r="U121" s="155">
        <f>INDEX('Budget by Source'!$A$6:$I$332,MATCH('Payment by Source'!$A121,'Budget by Source'!$A$6:$A$332,0),MATCH(U$3,'Budget by Source'!$A$5:$I$5,0))</f>
        <v>2095523</v>
      </c>
      <c r="V121" s="152">
        <f t="shared" si="4"/>
        <v>209552</v>
      </c>
      <c r="W121" s="152">
        <f t="shared" si="5"/>
        <v>2095520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18450</v>
      </c>
      <c r="D122" s="22">
        <f>IF(Notes!$B$2="June",ROUND('Budget by Source'!D122/10,0)+Q122,ROUND('Budget by Source'!D122/10,0))</f>
        <v>94511</v>
      </c>
      <c r="E122" s="22">
        <f>IF(Notes!$B$2="June",ROUND('Budget by Source'!E122/10,0)+R122,ROUND('Budget by Source'!E122/10,0))</f>
        <v>9353</v>
      </c>
      <c r="F122" s="22">
        <f>IF(Notes!$B$2="June",ROUND('Budget by Source'!F122/10,0)+S122,ROUND('Budget by Source'!F122/10,0))</f>
        <v>10498</v>
      </c>
      <c r="G122" s="22">
        <f>IF(Notes!$B$2="June",ROUND('Budget by Source'!G122/10,0)+T122,ROUND('Budget by Source'!G122/10,0))</f>
        <v>55913</v>
      </c>
      <c r="H122" s="22">
        <f t="shared" si="3"/>
        <v>759818</v>
      </c>
      <c r="I122" s="22">
        <f>INDEX(Data[],MATCH($A122,Data[Dist],0),MATCH(I$5,Data[#Headers],0))</f>
        <v>948543</v>
      </c>
      <c r="K122" s="69">
        <f>INDEX('Payment Total'!$A$7:$H$333,MATCH('Payment by Source'!$A122,'Payment Total'!$A$7:$A$333,0),3)-I122</f>
        <v>0</v>
      </c>
      <c r="P122" s="154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-4</v>
      </c>
      <c r="Q122" s="154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-5</v>
      </c>
      <c r="R122" s="154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-2</v>
      </c>
      <c r="S122" s="154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2</v>
      </c>
      <c r="T122" s="154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4</v>
      </c>
      <c r="U122" s="155">
        <f>INDEX('Budget by Source'!$A$6:$I$332,MATCH('Payment by Source'!$A122,'Budget by Source'!$A$6:$A$332,0),MATCH(U$3,'Budget by Source'!$A$5:$I$5,0))</f>
        <v>7598181</v>
      </c>
      <c r="V122" s="152">
        <f t="shared" si="4"/>
        <v>759818</v>
      </c>
      <c r="W122" s="152">
        <f t="shared" si="5"/>
        <v>7598180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5904</v>
      </c>
      <c r="D123" s="22">
        <f>IF(Notes!$B$2="June",ROUND('Budget by Source'!D123/10,0)+Q123,ROUND('Budget by Source'!D123/10,0))</f>
        <v>11646</v>
      </c>
      <c r="E123" s="22">
        <f>IF(Notes!$B$2="June",ROUND('Budget by Source'!E123/10,0)+R123,ROUND('Budget by Source'!E123/10,0))</f>
        <v>981</v>
      </c>
      <c r="F123" s="22">
        <f>IF(Notes!$B$2="June",ROUND('Budget by Source'!F123/10,0)+S123,ROUND('Budget by Source'!F123/10,0))</f>
        <v>1371</v>
      </c>
      <c r="G123" s="22">
        <f>IF(Notes!$B$2="June",ROUND('Budget by Source'!G123/10,0)+T123,ROUND('Budget by Source'!G123/10,0))</f>
        <v>5868</v>
      </c>
      <c r="H123" s="22">
        <f t="shared" si="3"/>
        <v>75538</v>
      </c>
      <c r="I123" s="22">
        <f>INDEX(Data[],MATCH($A123,Data[Dist],0),MATCH(I$5,Data[#Headers],0))</f>
        <v>101308</v>
      </c>
      <c r="K123" s="69">
        <f>INDEX('Payment Total'!$A$7:$H$333,MATCH('Payment by Source'!$A123,'Payment Total'!$A$7:$A$333,0),3)-I123</f>
        <v>0</v>
      </c>
      <c r="P123" s="154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-1</v>
      </c>
      <c r="Q123" s="154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-2</v>
      </c>
      <c r="R123" s="154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-4</v>
      </c>
      <c r="S123" s="154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-3</v>
      </c>
      <c r="T123" s="154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-1</v>
      </c>
      <c r="U123" s="155">
        <f>INDEX('Budget by Source'!$A$6:$I$332,MATCH('Payment by Source'!$A123,'Budget by Source'!$A$6:$A$332,0),MATCH(U$3,'Budget by Source'!$A$5:$I$5,0))</f>
        <v>755387</v>
      </c>
      <c r="V123" s="152">
        <f t="shared" si="4"/>
        <v>75539</v>
      </c>
      <c r="W123" s="152">
        <f t="shared" si="5"/>
        <v>755390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9594</v>
      </c>
      <c r="D124" s="22">
        <f>IF(Notes!$B$2="June",ROUND('Budget by Source'!D124/10,0)+Q124,ROUND('Budget by Source'!D124/10,0))</f>
        <v>42268</v>
      </c>
      <c r="E124" s="22">
        <f>IF(Notes!$B$2="June",ROUND('Budget by Source'!E124/10,0)+R124,ROUND('Budget by Source'!E124/10,0))</f>
        <v>3839</v>
      </c>
      <c r="F124" s="22">
        <f>IF(Notes!$B$2="June",ROUND('Budget by Source'!F124/10,0)+S124,ROUND('Budget by Source'!F124/10,0))</f>
        <v>4390</v>
      </c>
      <c r="G124" s="22">
        <f>IF(Notes!$B$2="June",ROUND('Budget by Source'!G124/10,0)+T124,ROUND('Budget by Source'!G124/10,0))</f>
        <v>22069</v>
      </c>
      <c r="H124" s="22">
        <f t="shared" si="3"/>
        <v>296296</v>
      </c>
      <c r="I124" s="22">
        <f>INDEX(Data[],MATCH($A124,Data[Dist],0),MATCH(I$5,Data[#Headers],0))</f>
        <v>378456</v>
      </c>
      <c r="K124" s="69">
        <f>INDEX('Payment Total'!$A$7:$H$333,MATCH('Payment by Source'!$A124,'Payment Total'!$A$7:$A$333,0),3)-I124</f>
        <v>0</v>
      </c>
      <c r="P124" s="154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-2</v>
      </c>
      <c r="Q124" s="154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-5</v>
      </c>
      <c r="R124" s="154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0</v>
      </c>
      <c r="S124" s="154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4</v>
      </c>
      <c r="T124" s="154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5">
        <f>INDEX('Budget by Source'!$A$6:$I$332,MATCH('Payment by Source'!$A124,'Budget by Source'!$A$6:$A$332,0),MATCH(U$3,'Budget by Source'!$A$5:$I$5,0))</f>
        <v>2962964</v>
      </c>
      <c r="V124" s="152">
        <f t="shared" si="4"/>
        <v>296296</v>
      </c>
      <c r="W124" s="152">
        <f t="shared" si="5"/>
        <v>2962960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23985</v>
      </c>
      <c r="D125" s="22">
        <f>IF(Notes!$B$2="June",ROUND('Budget by Source'!D125/10,0)+Q125,ROUND('Budget by Source'!D125/10,0))</f>
        <v>118187</v>
      </c>
      <c r="E125" s="22">
        <f>IF(Notes!$B$2="June",ROUND('Budget by Source'!E125/10,0)+R125,ROUND('Budget by Source'!E125/10,0))</f>
        <v>14625</v>
      </c>
      <c r="F125" s="22">
        <f>IF(Notes!$B$2="June",ROUND('Budget by Source'!F125/10,0)+S125,ROUND('Budget by Source'!F125/10,0))</f>
        <v>12844</v>
      </c>
      <c r="G125" s="22">
        <f>IF(Notes!$B$2="June",ROUND('Budget by Source'!G125/10,0)+T125,ROUND('Budget by Source'!G125/10,0))</f>
        <v>69181</v>
      </c>
      <c r="H125" s="22">
        <f t="shared" si="3"/>
        <v>1059349</v>
      </c>
      <c r="I125" s="22">
        <f>INDEX(Data[],MATCH($A125,Data[Dist],0),MATCH(I$5,Data[#Headers],0))</f>
        <v>1298171</v>
      </c>
      <c r="K125" s="69">
        <f>INDEX('Payment Total'!$A$7:$H$333,MATCH('Payment by Source'!$A125,'Payment Total'!$A$7:$A$333,0),3)-I125</f>
        <v>0</v>
      </c>
      <c r="P125" s="154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-5</v>
      </c>
      <c r="Q125" s="154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1</v>
      </c>
      <c r="R125" s="154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4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2</v>
      </c>
      <c r="T125" s="154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-4</v>
      </c>
      <c r="U125" s="155">
        <f>INDEX('Budget by Source'!$A$6:$I$332,MATCH('Payment by Source'!$A125,'Budget by Source'!$A$6:$A$332,0),MATCH(U$3,'Budget by Source'!$A$5:$I$5,0))</f>
        <v>10593500</v>
      </c>
      <c r="V125" s="152">
        <f t="shared" si="4"/>
        <v>1059350</v>
      </c>
      <c r="W125" s="152">
        <f t="shared" si="5"/>
        <v>10593500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8118</v>
      </c>
      <c r="D126" s="22">
        <f>IF(Notes!$B$2="June",ROUND('Budget by Source'!D126/10,0)+Q126,ROUND('Budget by Source'!D126/10,0))</f>
        <v>19186</v>
      </c>
      <c r="E126" s="22">
        <f>IF(Notes!$B$2="June",ROUND('Budget by Source'!E126/10,0)+R126,ROUND('Budget by Source'!E126/10,0))</f>
        <v>2100</v>
      </c>
      <c r="F126" s="22">
        <f>IF(Notes!$B$2="June",ROUND('Budget by Source'!F126/10,0)+S126,ROUND('Budget by Source'!F126/10,0))</f>
        <v>2042</v>
      </c>
      <c r="G126" s="22">
        <f>IF(Notes!$B$2="June",ROUND('Budget by Source'!G126/10,0)+T126,ROUND('Budget by Source'!G126/10,0))</f>
        <v>9983</v>
      </c>
      <c r="H126" s="22">
        <f t="shared" si="3"/>
        <v>113948</v>
      </c>
      <c r="I126" s="22">
        <f>INDEX(Data[],MATCH($A126,Data[Dist],0),MATCH(I$5,Data[#Headers],0))</f>
        <v>155377</v>
      </c>
      <c r="K126" s="69">
        <f>INDEX('Payment Total'!$A$7:$H$333,MATCH('Payment by Source'!$A126,'Payment Total'!$A$7:$A$333,0),3)-I126</f>
        <v>0</v>
      </c>
      <c r="P126" s="154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-2</v>
      </c>
      <c r="Q126" s="154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4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0</v>
      </c>
      <c r="S126" s="154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0</v>
      </c>
      <c r="T126" s="154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5">
        <f>INDEX('Budget by Source'!$A$6:$I$332,MATCH('Payment by Source'!$A126,'Budget by Source'!$A$6:$A$332,0),MATCH(U$3,'Budget by Source'!$A$5:$I$5,0))</f>
        <v>1139490</v>
      </c>
      <c r="V126" s="152">
        <f t="shared" si="4"/>
        <v>113949</v>
      </c>
      <c r="W126" s="152">
        <f t="shared" si="5"/>
        <v>1139490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6273</v>
      </c>
      <c r="D127" s="22">
        <f>IF(Notes!$B$2="June",ROUND('Budget by Source'!D127/10,0)+Q127,ROUND('Budget by Source'!D127/10,0))</f>
        <v>25847</v>
      </c>
      <c r="E127" s="22">
        <f>IF(Notes!$B$2="June",ROUND('Budget by Source'!E127/10,0)+R127,ROUND('Budget by Source'!E127/10,0))</f>
        <v>3015</v>
      </c>
      <c r="F127" s="22">
        <f>IF(Notes!$B$2="June",ROUND('Budget by Source'!F127/10,0)+S127,ROUND('Budget by Source'!F127/10,0))</f>
        <v>2488</v>
      </c>
      <c r="G127" s="22">
        <f>IF(Notes!$B$2="June",ROUND('Budget by Source'!G127/10,0)+T127,ROUND('Budget by Source'!G127/10,0))</f>
        <v>13783</v>
      </c>
      <c r="H127" s="22">
        <f t="shared" si="3"/>
        <v>146902</v>
      </c>
      <c r="I127" s="22">
        <f>INDEX(Data[],MATCH($A127,Data[Dist],0),MATCH(I$5,Data[#Headers],0))</f>
        <v>198308</v>
      </c>
      <c r="K127" s="69">
        <f>INDEX('Payment Total'!$A$7:$H$333,MATCH('Payment by Source'!$A127,'Payment Total'!$A$7:$A$333,0),3)-I127</f>
        <v>0</v>
      </c>
      <c r="P127" s="154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-1</v>
      </c>
      <c r="Q127" s="154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4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-4</v>
      </c>
      <c r="S127" s="154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-4</v>
      </c>
      <c r="T127" s="154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-5</v>
      </c>
      <c r="U127" s="155">
        <f>INDEX('Budget by Source'!$A$6:$I$332,MATCH('Payment by Source'!$A127,'Budget by Source'!$A$6:$A$332,0),MATCH(U$3,'Budget by Source'!$A$5:$I$5,0))</f>
        <v>1469030</v>
      </c>
      <c r="V127" s="152">
        <f t="shared" si="4"/>
        <v>146903</v>
      </c>
      <c r="W127" s="152">
        <f t="shared" si="5"/>
        <v>1469030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9963</v>
      </c>
      <c r="D128" s="22">
        <f>IF(Notes!$B$2="June",ROUND('Budget by Source'!D128/10,0)+Q128,ROUND('Budget by Source'!D128/10,0))</f>
        <v>41484</v>
      </c>
      <c r="E128" s="22">
        <f>IF(Notes!$B$2="June",ROUND('Budget by Source'!E128/10,0)+R128,ROUND('Budget by Source'!E128/10,0))</f>
        <v>4710</v>
      </c>
      <c r="F128" s="22">
        <f>IF(Notes!$B$2="June",ROUND('Budget by Source'!F128/10,0)+S128,ROUND('Budget by Source'!F128/10,0))</f>
        <v>4747</v>
      </c>
      <c r="G128" s="22">
        <f>IF(Notes!$B$2="June",ROUND('Budget by Source'!G128/10,0)+T128,ROUND('Budget by Source'!G128/10,0))</f>
        <v>22023</v>
      </c>
      <c r="H128" s="22">
        <f t="shared" si="3"/>
        <v>307608</v>
      </c>
      <c r="I128" s="22">
        <f>INDEX(Data[],MATCH($A128,Data[Dist],0),MATCH(I$5,Data[#Headers],0))</f>
        <v>390535</v>
      </c>
      <c r="K128" s="69">
        <f>INDEX('Payment Total'!$A$7:$H$333,MATCH('Payment by Source'!$A128,'Payment Total'!$A$7:$A$333,0),3)-I128</f>
        <v>0</v>
      </c>
      <c r="P128" s="154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-2</v>
      </c>
      <c r="Q128" s="154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-5</v>
      </c>
      <c r="R128" s="154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-2</v>
      </c>
      <c r="S128" s="154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-3</v>
      </c>
      <c r="T128" s="154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-4</v>
      </c>
      <c r="U128" s="155">
        <f>INDEX('Budget by Source'!$A$6:$I$332,MATCH('Payment by Source'!$A128,'Budget by Source'!$A$6:$A$332,0),MATCH(U$3,'Budget by Source'!$A$5:$I$5,0))</f>
        <v>3076098</v>
      </c>
      <c r="V128" s="152">
        <f t="shared" si="4"/>
        <v>307610</v>
      </c>
      <c r="W128" s="152">
        <f t="shared" si="5"/>
        <v>3076100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11808</v>
      </c>
      <c r="D129" s="22">
        <f>IF(Notes!$B$2="June",ROUND('Budget by Source'!D129/10,0)+Q129,ROUND('Budget by Source'!D129/10,0))</f>
        <v>18721</v>
      </c>
      <c r="E129" s="22">
        <f>IF(Notes!$B$2="June",ROUND('Budget by Source'!E129/10,0)+R129,ROUND('Budget by Source'!E129/10,0))</f>
        <v>2230</v>
      </c>
      <c r="F129" s="22">
        <f>IF(Notes!$B$2="June",ROUND('Budget by Source'!F129/10,0)+S129,ROUND('Budget by Source'!F129/10,0))</f>
        <v>2207</v>
      </c>
      <c r="G129" s="22">
        <f>IF(Notes!$B$2="June",ROUND('Budget by Source'!G129/10,0)+T129,ROUND('Budget by Source'!G129/10,0))</f>
        <v>9131</v>
      </c>
      <c r="H129" s="22">
        <f t="shared" si="3"/>
        <v>85861</v>
      </c>
      <c r="I129" s="22">
        <f>INDEX(Data[],MATCH($A129,Data[Dist],0),MATCH(I$5,Data[#Headers],0))</f>
        <v>129958</v>
      </c>
      <c r="K129" s="69">
        <f>INDEX('Payment Total'!$A$7:$H$333,MATCH('Payment by Source'!$A129,'Payment Total'!$A$7:$A$333,0),3)-I129</f>
        <v>0</v>
      </c>
      <c r="P129" s="154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-3</v>
      </c>
      <c r="Q129" s="154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-3</v>
      </c>
      <c r="R129" s="154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4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2</v>
      </c>
      <c r="T129" s="154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1</v>
      </c>
      <c r="U129" s="155">
        <f>INDEX('Budget by Source'!$A$6:$I$332,MATCH('Payment by Source'!$A129,'Budget by Source'!$A$6:$A$332,0),MATCH(U$3,'Budget by Source'!$A$5:$I$5,0))</f>
        <v>858611</v>
      </c>
      <c r="V129" s="152">
        <f t="shared" si="4"/>
        <v>85861</v>
      </c>
      <c r="W129" s="152">
        <f t="shared" si="5"/>
        <v>858610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29881</v>
      </c>
      <c r="D130" s="22">
        <f>IF(Notes!$B$2="June",ROUND('Budget by Source'!D130/10,0)+Q130,ROUND('Budget by Source'!D130/10,0))</f>
        <v>96003</v>
      </c>
      <c r="E130" s="22">
        <f>IF(Notes!$B$2="June",ROUND('Budget by Source'!E130/10,0)+R130,ROUND('Budget by Source'!E130/10,0))</f>
        <v>11696</v>
      </c>
      <c r="F130" s="22">
        <f>IF(Notes!$B$2="June",ROUND('Budget by Source'!F130/10,0)+S130,ROUND('Budget by Source'!F130/10,0))</f>
        <v>10527</v>
      </c>
      <c r="G130" s="22">
        <f>IF(Notes!$B$2="June",ROUND('Budget by Source'!G130/10,0)+T130,ROUND('Budget by Source'!G130/10,0))</f>
        <v>54860</v>
      </c>
      <c r="H130" s="22">
        <f t="shared" si="3"/>
        <v>794609</v>
      </c>
      <c r="I130" s="22">
        <f>INDEX(Data[],MATCH($A130,Data[Dist],0),MATCH(I$5,Data[#Headers],0))</f>
        <v>997576</v>
      </c>
      <c r="K130" s="69">
        <f>INDEX('Payment Total'!$A$7:$H$333,MATCH('Payment by Source'!$A130,'Payment Total'!$A$7:$A$333,0),3)-I130</f>
        <v>0</v>
      </c>
      <c r="P130" s="154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-3</v>
      </c>
      <c r="Q130" s="154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-2</v>
      </c>
      <c r="R130" s="154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-2</v>
      </c>
      <c r="S130" s="154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-4</v>
      </c>
      <c r="T130" s="154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-2</v>
      </c>
      <c r="U130" s="155">
        <f>INDEX('Budget by Source'!$A$6:$I$332,MATCH('Payment by Source'!$A130,'Budget by Source'!$A$6:$A$332,0),MATCH(U$3,'Budget by Source'!$A$5:$I$5,0))</f>
        <v>7946099</v>
      </c>
      <c r="V130" s="152">
        <f t="shared" si="4"/>
        <v>794610</v>
      </c>
      <c r="W130" s="152">
        <f t="shared" si="5"/>
        <v>7946100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5904</v>
      </c>
      <c r="D131" s="22">
        <f>IF(Notes!$B$2="June",ROUND('Budget by Source'!D131/10,0)+Q131,ROUND('Budget by Source'!D131/10,0))</f>
        <v>28515</v>
      </c>
      <c r="E131" s="22">
        <f>IF(Notes!$B$2="June",ROUND('Budget by Source'!E131/10,0)+R131,ROUND('Budget by Source'!E131/10,0))</f>
        <v>3042</v>
      </c>
      <c r="F131" s="22">
        <f>IF(Notes!$B$2="June",ROUND('Budget by Source'!F131/10,0)+S131,ROUND('Budget by Source'!F131/10,0))</f>
        <v>2991</v>
      </c>
      <c r="G131" s="22">
        <f>IF(Notes!$B$2="June",ROUND('Budget by Source'!G131/10,0)+T131,ROUND('Budget by Source'!G131/10,0))</f>
        <v>16341</v>
      </c>
      <c r="H131" s="22">
        <f t="shared" si="3"/>
        <v>212447</v>
      </c>
      <c r="I131" s="22">
        <f>INDEX(Data[],MATCH($A131,Data[Dist],0),MATCH(I$5,Data[#Headers],0))</f>
        <v>269240</v>
      </c>
      <c r="K131" s="69">
        <f>INDEX('Payment Total'!$A$7:$H$333,MATCH('Payment by Source'!$A131,'Payment Total'!$A$7:$A$333,0),3)-I131</f>
        <v>0</v>
      </c>
      <c r="P131" s="154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-1</v>
      </c>
      <c r="Q131" s="154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4</v>
      </c>
      <c r="R131" s="154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1</v>
      </c>
      <c r="S131" s="154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-5</v>
      </c>
      <c r="T131" s="154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-3</v>
      </c>
      <c r="U131" s="155">
        <f>INDEX('Budget by Source'!$A$6:$I$332,MATCH('Payment by Source'!$A131,'Budget by Source'!$A$6:$A$332,0),MATCH(U$3,'Budget by Source'!$A$5:$I$5,0))</f>
        <v>2124474</v>
      </c>
      <c r="V131" s="152">
        <f t="shared" si="4"/>
        <v>212447</v>
      </c>
      <c r="W131" s="152">
        <f t="shared" si="5"/>
        <v>2124470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12177</v>
      </c>
      <c r="D132" s="22">
        <f>IF(Notes!$B$2="June",ROUND('Budget by Source'!D132/10,0)+Q132,ROUND('Budget by Source'!D132/10,0))</f>
        <v>45993</v>
      </c>
      <c r="E132" s="22">
        <f>IF(Notes!$B$2="June",ROUND('Budget by Source'!E132/10,0)+R132,ROUND('Budget by Source'!E132/10,0))</f>
        <v>4536</v>
      </c>
      <c r="F132" s="22">
        <f>IF(Notes!$B$2="June",ROUND('Budget by Source'!F132/10,0)+S132,ROUND('Budget by Source'!F132/10,0))</f>
        <v>4943</v>
      </c>
      <c r="G132" s="22">
        <f>IF(Notes!$B$2="June",ROUND('Budget by Source'!G132/10,0)+T132,ROUND('Budget by Source'!G132/10,0))</f>
        <v>23908</v>
      </c>
      <c r="H132" s="22">
        <f t="shared" si="3"/>
        <v>360656</v>
      </c>
      <c r="I132" s="22">
        <f>INDEX(Data[],MATCH($A132,Data[Dist],0),MATCH(I$5,Data[#Headers],0))</f>
        <v>452213</v>
      </c>
      <c r="K132" s="69">
        <f>INDEX('Payment Total'!$A$7:$H$333,MATCH('Payment by Source'!$A132,'Payment Total'!$A$7:$A$333,0),3)-I132</f>
        <v>0</v>
      </c>
      <c r="P132" s="154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-2</v>
      </c>
      <c r="Q132" s="154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4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-3</v>
      </c>
      <c r="S132" s="154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3</v>
      </c>
      <c r="T132" s="154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5">
        <f>INDEX('Budget by Source'!$A$6:$I$332,MATCH('Payment by Source'!$A132,'Budget by Source'!$A$6:$A$332,0),MATCH(U$3,'Budget by Source'!$A$5:$I$5,0))</f>
        <v>3606557</v>
      </c>
      <c r="V132" s="152">
        <f t="shared" si="4"/>
        <v>360656</v>
      </c>
      <c r="W132" s="152">
        <f t="shared" si="5"/>
        <v>3606560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9963</v>
      </c>
      <c r="D133" s="22">
        <f>IF(Notes!$B$2="June",ROUND('Budget by Source'!D133/10,0)+Q133,ROUND('Budget by Source'!D133/10,0))</f>
        <v>26312</v>
      </c>
      <c r="E133" s="22">
        <f>IF(Notes!$B$2="June",ROUND('Budget by Source'!E133/10,0)+R133,ROUND('Budget by Source'!E133/10,0))</f>
        <v>3205</v>
      </c>
      <c r="F133" s="22">
        <f>IF(Notes!$B$2="June",ROUND('Budget by Source'!F133/10,0)+S133,ROUND('Budget by Source'!F133/10,0))</f>
        <v>2709</v>
      </c>
      <c r="G133" s="22">
        <f>IF(Notes!$B$2="June",ROUND('Budget by Source'!G133/10,0)+T133,ROUND('Budget by Source'!G133/10,0))</f>
        <v>14176</v>
      </c>
      <c r="H133" s="22">
        <f t="shared" si="3"/>
        <v>190098</v>
      </c>
      <c r="I133" s="22">
        <f>INDEX(Data[],MATCH($A133,Data[Dist],0),MATCH(I$5,Data[#Headers],0))</f>
        <v>246463</v>
      </c>
      <c r="K133" s="69">
        <f>INDEX('Payment Total'!$A$7:$H$333,MATCH('Payment by Source'!$A133,'Payment Total'!$A$7:$A$333,0),3)-I133</f>
        <v>0</v>
      </c>
      <c r="P133" s="154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-2</v>
      </c>
      <c r="Q133" s="154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-4</v>
      </c>
      <c r="R133" s="154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-5</v>
      </c>
      <c r="S133" s="154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4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0</v>
      </c>
      <c r="U133" s="155">
        <f>INDEX('Budget by Source'!$A$6:$I$332,MATCH('Payment by Source'!$A133,'Budget by Source'!$A$6:$A$332,0),MATCH(U$3,'Budget by Source'!$A$5:$I$5,0))</f>
        <v>1900989</v>
      </c>
      <c r="V133" s="152">
        <f t="shared" si="4"/>
        <v>190099</v>
      </c>
      <c r="W133" s="152">
        <f t="shared" si="5"/>
        <v>1900990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14022</v>
      </c>
      <c r="D134" s="22">
        <f>IF(Notes!$B$2="June",ROUND('Budget by Source'!D134/10,0)+Q134,ROUND('Budget by Source'!D134/10,0))</f>
        <v>38510</v>
      </c>
      <c r="E134" s="22">
        <f>IF(Notes!$B$2="June",ROUND('Budget by Source'!E134/10,0)+R134,ROUND('Budget by Source'!E134/10,0))</f>
        <v>3986</v>
      </c>
      <c r="F134" s="22">
        <f>IF(Notes!$B$2="June",ROUND('Budget by Source'!F134/10,0)+S134,ROUND('Budget by Source'!F134/10,0))</f>
        <v>4359</v>
      </c>
      <c r="G134" s="22">
        <f>IF(Notes!$B$2="June",ROUND('Budget by Source'!G134/10,0)+T134,ROUND('Budget by Source'!G134/10,0))</f>
        <v>21532</v>
      </c>
      <c r="H134" s="22">
        <f t="shared" si="3"/>
        <v>239282</v>
      </c>
      <c r="I134" s="22">
        <f>INDEX(Data[],MATCH($A134,Data[Dist],0),MATCH(I$5,Data[#Headers],0))</f>
        <v>321691</v>
      </c>
      <c r="K134" s="69">
        <f>INDEX('Payment Total'!$A$7:$H$333,MATCH('Payment by Source'!$A134,'Payment Total'!$A$7:$A$333,0),3)-I134</f>
        <v>0</v>
      </c>
      <c r="P134" s="154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-3</v>
      </c>
      <c r="Q134" s="154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-2</v>
      </c>
      <c r="R134" s="154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3</v>
      </c>
      <c r="S134" s="154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-2</v>
      </c>
      <c r="T134" s="154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4</v>
      </c>
      <c r="U134" s="155">
        <f>INDEX('Budget by Source'!$A$6:$I$332,MATCH('Payment by Source'!$A134,'Budget by Source'!$A$6:$A$332,0),MATCH(U$3,'Budget by Source'!$A$5:$I$5,0))</f>
        <v>2392818</v>
      </c>
      <c r="V134" s="152">
        <f t="shared" si="4"/>
        <v>239282</v>
      </c>
      <c r="W134" s="152">
        <f t="shared" si="5"/>
        <v>2392820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2583</v>
      </c>
      <c r="D135" s="22">
        <f>IF(Notes!$B$2="June",ROUND('Budget by Source'!D135/10,0)+Q135,ROUND('Budget by Source'!D135/10,0))</f>
        <v>21663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158375</v>
      </c>
      <c r="I135" s="22">
        <f>INDEX(Data[],MATCH($A135,Data[Dist],0),MATCH(I$5,Data[#Headers],0))</f>
        <v>198884</v>
      </c>
      <c r="K135" s="69">
        <f>INDEX('Payment Total'!$A$7:$H$333,MATCH('Payment by Source'!$A135,'Payment Total'!$A$7:$A$333,0),3)-I135</f>
        <v>0</v>
      </c>
      <c r="P135" s="154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0</v>
      </c>
      <c r="Q135" s="154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1</v>
      </c>
      <c r="R135" s="154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4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4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5">
        <f>INDEX('Budget by Source'!$A$6:$I$332,MATCH('Payment by Source'!$A135,'Budget by Source'!$A$6:$A$332,0),MATCH(U$3,'Budget by Source'!$A$5:$I$5,0))</f>
        <v>1583749</v>
      </c>
      <c r="V135" s="152">
        <f t="shared" ref="V135:V198" si="7">ROUND(U135/10,0)</f>
        <v>158375</v>
      </c>
      <c r="W135" s="152">
        <f t="shared" ref="W135:W198" si="8">V135*10</f>
        <v>1583750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3321</v>
      </c>
      <c r="D136" s="22">
        <f>IF(Notes!$B$2="June",ROUND('Budget by Source'!D136/10,0)+Q136,ROUND('Budget by Source'!D136/10,0))</f>
        <v>14738</v>
      </c>
      <c r="E136" s="22">
        <f>IF(Notes!$B$2="June",ROUND('Budget by Source'!E136/10,0)+R136,ROUND('Budget by Source'!E136/10,0))</f>
        <v>1728</v>
      </c>
      <c r="F136" s="22">
        <f>IF(Notes!$B$2="June",ROUND('Budget by Source'!F136/10,0)+S136,ROUND('Budget by Source'!F136/10,0))</f>
        <v>1534</v>
      </c>
      <c r="G136" s="22">
        <f>IF(Notes!$B$2="June",ROUND('Budget by Source'!G136/10,0)+T136,ROUND('Budget by Source'!G136/10,0))</f>
        <v>8122</v>
      </c>
      <c r="H136" s="22">
        <f t="shared" si="6"/>
        <v>110064</v>
      </c>
      <c r="I136" s="22">
        <f>INDEX(Data[],MATCH($A136,Data[Dist],0),MATCH(I$5,Data[#Headers],0))</f>
        <v>139507</v>
      </c>
      <c r="K136" s="69">
        <f>INDEX('Payment Total'!$A$7:$H$333,MATCH('Payment by Source'!$A136,'Payment Total'!$A$7:$A$333,0),3)-I136</f>
        <v>0</v>
      </c>
      <c r="P136" s="154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0</v>
      </c>
      <c r="Q136" s="154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-5</v>
      </c>
      <c r="R136" s="154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2</v>
      </c>
      <c r="S136" s="154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4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1</v>
      </c>
      <c r="U136" s="155">
        <f>INDEX('Budget by Source'!$A$6:$I$332,MATCH('Payment by Source'!$A136,'Budget by Source'!$A$6:$A$332,0),MATCH(U$3,'Budget by Source'!$A$5:$I$5,0))</f>
        <v>1100637</v>
      </c>
      <c r="V136" s="152">
        <f t="shared" si="7"/>
        <v>110064</v>
      </c>
      <c r="W136" s="152">
        <f t="shared" si="8"/>
        <v>1100640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20295</v>
      </c>
      <c r="D137" s="22">
        <f>IF(Notes!$B$2="June",ROUND('Budget by Source'!D137/10,0)+Q137,ROUND('Budget by Source'!D137/10,0))</f>
        <v>73186</v>
      </c>
      <c r="E137" s="22">
        <f>IF(Notes!$B$2="June",ROUND('Budget by Source'!E137/10,0)+R137,ROUND('Budget by Source'!E137/10,0))</f>
        <v>9402</v>
      </c>
      <c r="F137" s="22">
        <f>IF(Notes!$B$2="June",ROUND('Budget by Source'!F137/10,0)+S137,ROUND('Budget by Source'!F137/10,0))</f>
        <v>7958</v>
      </c>
      <c r="G137" s="22">
        <f>IF(Notes!$B$2="June",ROUND('Budget by Source'!G137/10,0)+T137,ROUND('Budget by Source'!G137/10,0))</f>
        <v>39655</v>
      </c>
      <c r="H137" s="22">
        <f t="shared" si="6"/>
        <v>631045</v>
      </c>
      <c r="I137" s="22">
        <f>INDEX(Data[],MATCH($A137,Data[Dist],0),MATCH(I$5,Data[#Headers],0))</f>
        <v>781541</v>
      </c>
      <c r="K137" s="69">
        <f>INDEX('Payment Total'!$A$7:$H$333,MATCH('Payment by Source'!$A137,'Payment Total'!$A$7:$A$333,0),3)-I137</f>
        <v>0</v>
      </c>
      <c r="P137" s="154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-4</v>
      </c>
      <c r="Q137" s="154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-5</v>
      </c>
      <c r="R137" s="154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-3</v>
      </c>
      <c r="S137" s="154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-4</v>
      </c>
      <c r="T137" s="154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0</v>
      </c>
      <c r="U137" s="155">
        <f>INDEX('Budget by Source'!$A$6:$I$332,MATCH('Payment by Source'!$A137,'Budget by Source'!$A$6:$A$332,0),MATCH(U$3,'Budget by Source'!$A$5:$I$5,0))</f>
        <v>6310468</v>
      </c>
      <c r="V137" s="152">
        <f t="shared" si="7"/>
        <v>631047</v>
      </c>
      <c r="W137" s="152">
        <f t="shared" si="8"/>
        <v>6310470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28781</v>
      </c>
      <c r="D138" s="22">
        <f>IF(Notes!$B$2="June",ROUND('Budget by Source'!D138/10,0)+Q138,ROUND('Budget by Source'!D138/10,0))</f>
        <v>85935</v>
      </c>
      <c r="E138" s="22">
        <f>IF(Notes!$B$2="June",ROUND('Budget by Source'!E138/10,0)+R138,ROUND('Budget by Source'!E138/10,0))</f>
        <v>10048</v>
      </c>
      <c r="F138" s="22">
        <f>IF(Notes!$B$2="June",ROUND('Budget by Source'!F138/10,0)+S138,ROUND('Budget by Source'!F138/10,0))</f>
        <v>10060</v>
      </c>
      <c r="G138" s="22">
        <f>IF(Notes!$B$2="June",ROUND('Budget by Source'!G138/10,0)+T138,ROUND('Budget by Source'!G138/10,0))</f>
        <v>48360</v>
      </c>
      <c r="H138" s="22">
        <f t="shared" si="6"/>
        <v>698975</v>
      </c>
      <c r="I138" s="22">
        <f>INDEX(Data[],MATCH($A138,Data[Dist],0),MATCH(I$5,Data[#Headers],0))</f>
        <v>882159</v>
      </c>
      <c r="K138" s="69">
        <f>INDEX('Payment Total'!$A$7:$H$333,MATCH('Payment by Source'!$A138,'Payment Total'!$A$7:$A$333,0),3)-I138</f>
        <v>0</v>
      </c>
      <c r="P138" s="154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3</v>
      </c>
      <c r="Q138" s="154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-3</v>
      </c>
      <c r="R138" s="154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-2</v>
      </c>
      <c r="S138" s="154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0</v>
      </c>
      <c r="T138" s="154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2</v>
      </c>
      <c r="U138" s="155">
        <f>INDEX('Budget by Source'!$A$6:$I$332,MATCH('Payment by Source'!$A138,'Budget by Source'!$A$6:$A$332,0),MATCH(U$3,'Budget by Source'!$A$5:$I$5,0))</f>
        <v>6989751</v>
      </c>
      <c r="V138" s="152">
        <f t="shared" si="7"/>
        <v>698975</v>
      </c>
      <c r="W138" s="152">
        <f t="shared" si="8"/>
        <v>6989750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6642</v>
      </c>
      <c r="D139" s="22">
        <f>IF(Notes!$B$2="June",ROUND('Budget by Source'!D139/10,0)+Q139,ROUND('Budget by Source'!D139/10,0))</f>
        <v>19422</v>
      </c>
      <c r="E139" s="22">
        <f>IF(Notes!$B$2="June",ROUND('Budget by Source'!E139/10,0)+R139,ROUND('Budget by Source'!E139/10,0))</f>
        <v>2608</v>
      </c>
      <c r="F139" s="22">
        <f>IF(Notes!$B$2="June",ROUND('Budget by Source'!F139/10,0)+S139,ROUND('Budget by Source'!F139/10,0))</f>
        <v>2040</v>
      </c>
      <c r="G139" s="22">
        <f>IF(Notes!$B$2="June",ROUND('Budget by Source'!G139/10,0)+T139,ROUND('Budget by Source'!G139/10,0))</f>
        <v>10484</v>
      </c>
      <c r="H139" s="22">
        <f t="shared" si="6"/>
        <v>68860</v>
      </c>
      <c r="I139" s="22">
        <f>INDEX(Data[],MATCH($A139,Data[Dist],0),MATCH(I$5,Data[#Headers],0))</f>
        <v>110056</v>
      </c>
      <c r="K139" s="69">
        <f>INDEX('Payment Total'!$A$7:$H$333,MATCH('Payment by Source'!$A139,'Payment Total'!$A$7:$A$333,0),3)-I139</f>
        <v>0</v>
      </c>
      <c r="P139" s="154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4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1</v>
      </c>
      <c r="R139" s="154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3</v>
      </c>
      <c r="S139" s="154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4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-5</v>
      </c>
      <c r="U139" s="155">
        <f>INDEX('Budget by Source'!$A$6:$I$332,MATCH('Payment by Source'!$A139,'Budget by Source'!$A$6:$A$332,0),MATCH(U$3,'Budget by Source'!$A$5:$I$5,0))</f>
        <v>688602</v>
      </c>
      <c r="V139" s="152">
        <f t="shared" si="7"/>
        <v>68860</v>
      </c>
      <c r="W139" s="152">
        <f t="shared" si="8"/>
        <v>688600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12546</v>
      </c>
      <c r="D140" s="22">
        <f>IF(Notes!$B$2="June",ROUND('Budget by Source'!D140/10,0)+Q140,ROUND('Budget by Source'!D140/10,0))</f>
        <v>43048</v>
      </c>
      <c r="E140" s="22">
        <f>IF(Notes!$B$2="June",ROUND('Budget by Source'!E140/10,0)+R140,ROUND('Budget by Source'!E140/10,0))</f>
        <v>4412</v>
      </c>
      <c r="F140" s="22">
        <f>IF(Notes!$B$2="June",ROUND('Budget by Source'!F140/10,0)+S140,ROUND('Budget by Source'!F140/10,0))</f>
        <v>4664</v>
      </c>
      <c r="G140" s="22">
        <f>IF(Notes!$B$2="June",ROUND('Budget by Source'!G140/10,0)+T140,ROUND('Budget by Source'!G140/10,0))</f>
        <v>22999</v>
      </c>
      <c r="H140" s="22">
        <f t="shared" si="6"/>
        <v>249982</v>
      </c>
      <c r="I140" s="22">
        <f>INDEX(Data[],MATCH($A140,Data[Dist],0),MATCH(I$5,Data[#Headers],0))</f>
        <v>337651</v>
      </c>
      <c r="K140" s="69">
        <f>INDEX('Payment Total'!$A$7:$H$333,MATCH('Payment by Source'!$A140,'Payment Total'!$A$7:$A$333,0),3)-I140</f>
        <v>0</v>
      </c>
      <c r="P140" s="154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-3</v>
      </c>
      <c r="Q140" s="154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-3</v>
      </c>
      <c r="R140" s="154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-5</v>
      </c>
      <c r="S140" s="154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-5</v>
      </c>
      <c r="T140" s="154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4</v>
      </c>
      <c r="U140" s="155">
        <f>INDEX('Budget by Source'!$A$6:$I$332,MATCH('Payment by Source'!$A140,'Budget by Source'!$A$6:$A$332,0),MATCH(U$3,'Budget by Source'!$A$5:$I$5,0))</f>
        <v>2499833</v>
      </c>
      <c r="V140" s="152">
        <f t="shared" si="7"/>
        <v>249983</v>
      </c>
      <c r="W140" s="152">
        <f t="shared" si="8"/>
        <v>2499830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9963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262769</v>
      </c>
      <c r="I141" s="22">
        <f>INDEX(Data[],MATCH($A141,Data[Dist],0),MATCH(I$5,Data[#Headers],0))</f>
        <v>342669</v>
      </c>
      <c r="K141" s="69">
        <f>INDEX('Payment Total'!$A$7:$H$333,MATCH('Payment by Source'!$A141,'Payment Total'!$A$7:$A$333,0),3)-I141</f>
        <v>0</v>
      </c>
      <c r="P141" s="154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-2</v>
      </c>
      <c r="Q141" s="154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4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4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4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5">
        <f>INDEX('Budget by Source'!$A$6:$I$332,MATCH('Payment by Source'!$A141,'Budget by Source'!$A$6:$A$332,0),MATCH(U$3,'Budget by Source'!$A$5:$I$5,0))</f>
        <v>2627695</v>
      </c>
      <c r="V141" s="152">
        <f t="shared" si="7"/>
        <v>262770</v>
      </c>
      <c r="W141" s="152">
        <f t="shared" si="8"/>
        <v>2627700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13284</v>
      </c>
      <c r="D142" s="22">
        <f>IF(Notes!$B$2="June",ROUND('Budget by Source'!D142/10,0)+Q142,ROUND('Budget by Source'!D142/10,0))</f>
        <v>36715</v>
      </c>
      <c r="E142" s="22">
        <f>IF(Notes!$B$2="June",ROUND('Budget by Source'!E142/10,0)+R142,ROUND('Budget by Source'!E142/10,0))</f>
        <v>4446</v>
      </c>
      <c r="F142" s="22">
        <f>IF(Notes!$B$2="June",ROUND('Budget by Source'!F142/10,0)+S142,ROUND('Budget by Source'!F142/10,0))</f>
        <v>4126</v>
      </c>
      <c r="G142" s="22">
        <f>IF(Notes!$B$2="June",ROUND('Budget by Source'!G142/10,0)+T142,ROUND('Budget by Source'!G142/10,0))</f>
        <v>19937</v>
      </c>
      <c r="H142" s="22">
        <f t="shared" si="6"/>
        <v>279599</v>
      </c>
      <c r="I142" s="22">
        <f>INDEX(Data[],MATCH($A142,Data[Dist],0),MATCH(I$5,Data[#Headers],0))</f>
        <v>358107</v>
      </c>
      <c r="K142" s="69">
        <f>INDEX('Payment Total'!$A$7:$H$333,MATCH('Payment by Source'!$A142,'Payment Total'!$A$7:$A$333,0),3)-I142</f>
        <v>0</v>
      </c>
      <c r="P142" s="154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-3</v>
      </c>
      <c r="Q142" s="154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0</v>
      </c>
      <c r="R142" s="154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-1</v>
      </c>
      <c r="S142" s="154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-5</v>
      </c>
      <c r="T142" s="154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-4</v>
      </c>
      <c r="U142" s="155">
        <f>INDEX('Budget by Source'!$A$6:$I$332,MATCH('Payment by Source'!$A142,'Budget by Source'!$A$6:$A$332,0),MATCH(U$3,'Budget by Source'!$A$5:$I$5,0))</f>
        <v>2796005</v>
      </c>
      <c r="V142" s="152">
        <f t="shared" si="7"/>
        <v>279601</v>
      </c>
      <c r="W142" s="152">
        <f t="shared" si="8"/>
        <v>2796010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20664</v>
      </c>
      <c r="D143" s="22">
        <f>IF(Notes!$B$2="June",ROUND('Budget by Source'!D143/10,0)+Q143,ROUND('Budget by Source'!D143/10,0))</f>
        <v>75986</v>
      </c>
      <c r="E143" s="22">
        <f>IF(Notes!$B$2="June",ROUND('Budget by Source'!E143/10,0)+R143,ROUND('Budget by Source'!E143/10,0))</f>
        <v>8151</v>
      </c>
      <c r="F143" s="22">
        <f>IF(Notes!$B$2="June",ROUND('Budget by Source'!F143/10,0)+S143,ROUND('Budget by Source'!F143/10,0))</f>
        <v>8216</v>
      </c>
      <c r="G143" s="22">
        <f>IF(Notes!$B$2="June",ROUND('Budget by Source'!G143/10,0)+T143,ROUND('Budget by Source'!G143/10,0))</f>
        <v>41326</v>
      </c>
      <c r="H143" s="22">
        <f t="shared" si="6"/>
        <v>569215</v>
      </c>
      <c r="I143" s="22">
        <f>INDEX(Data[],MATCH($A143,Data[Dist],0),MATCH(I$5,Data[#Headers],0))</f>
        <v>723558</v>
      </c>
      <c r="K143" s="69">
        <f>INDEX('Payment Total'!$A$7:$H$333,MATCH('Payment by Source'!$A143,'Payment Total'!$A$7:$A$333,0),3)-I143</f>
        <v>0</v>
      </c>
      <c r="P143" s="154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-5</v>
      </c>
      <c r="Q143" s="154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3</v>
      </c>
      <c r="R143" s="154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4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-5</v>
      </c>
      <c r="T143" s="154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5">
        <f>INDEX('Budget by Source'!$A$6:$I$332,MATCH('Payment by Source'!$A143,'Budget by Source'!$A$6:$A$332,0),MATCH(U$3,'Budget by Source'!$A$5:$I$5,0))</f>
        <v>5692157</v>
      </c>
      <c r="V143" s="152">
        <f t="shared" si="7"/>
        <v>569216</v>
      </c>
      <c r="W143" s="152">
        <f t="shared" si="8"/>
        <v>5692160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6642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2615</v>
      </c>
      <c r="F144" s="22">
        <f>IF(Notes!$B$2="June",ROUND('Budget by Source'!F144/10,0)+S144,ROUND('Budget by Source'!F144/10,0))</f>
        <v>2269</v>
      </c>
      <c r="G144" s="22">
        <f>IF(Notes!$B$2="June",ROUND('Budget by Source'!G144/10,0)+T144,ROUND('Budget by Source'!G144/10,0))</f>
        <v>14647</v>
      </c>
      <c r="H144" s="22">
        <f t="shared" si="6"/>
        <v>132289</v>
      </c>
      <c r="I144" s="22">
        <f>INDEX(Data[],MATCH($A144,Data[Dist],0),MATCH(I$5,Data[#Headers],0))</f>
        <v>184271</v>
      </c>
      <c r="K144" s="69">
        <f>INDEX('Payment Total'!$A$7:$H$333,MATCH('Payment by Source'!$A144,'Payment Total'!$A$7:$A$333,0),3)-I144</f>
        <v>0</v>
      </c>
      <c r="P144" s="154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-2</v>
      </c>
      <c r="Q144" s="154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4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4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3</v>
      </c>
      <c r="T144" s="154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5">
        <f>INDEX('Budget by Source'!$A$6:$I$332,MATCH('Payment by Source'!$A144,'Budget by Source'!$A$6:$A$332,0),MATCH(U$3,'Budget by Source'!$A$5:$I$5,0))</f>
        <v>1322884</v>
      </c>
      <c r="V144" s="152">
        <f t="shared" si="7"/>
        <v>132288</v>
      </c>
      <c r="W144" s="152">
        <f t="shared" si="8"/>
        <v>1322880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12546</v>
      </c>
      <c r="D145" s="22">
        <f>IF(Notes!$B$2="June",ROUND('Budget by Source'!D145/10,0)+Q145,ROUND('Budget by Source'!D145/10,0))</f>
        <v>46276</v>
      </c>
      <c r="E145" s="22">
        <f>IF(Notes!$B$2="June",ROUND('Budget by Source'!E145/10,0)+R145,ROUND('Budget by Source'!E145/10,0))</f>
        <v>4212</v>
      </c>
      <c r="F145" s="22">
        <f>IF(Notes!$B$2="June",ROUND('Budget by Source'!F145/10,0)+S145,ROUND('Budget by Source'!F145/10,0))</f>
        <v>5238</v>
      </c>
      <c r="G145" s="22">
        <f>IF(Notes!$B$2="June",ROUND('Budget by Source'!G145/10,0)+T145,ROUND('Budget by Source'!G145/10,0))</f>
        <v>24266</v>
      </c>
      <c r="H145" s="22">
        <f t="shared" si="6"/>
        <v>396862</v>
      </c>
      <c r="I145" s="22">
        <f>INDEX(Data[],MATCH($A145,Data[Dist],0),MATCH(I$5,Data[#Headers],0))</f>
        <v>489400</v>
      </c>
      <c r="K145" s="69">
        <f>INDEX('Payment Total'!$A$7:$H$333,MATCH('Payment by Source'!$A145,'Payment Total'!$A$7:$A$333,0),3)-I145</f>
        <v>0</v>
      </c>
      <c r="P145" s="154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4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-4</v>
      </c>
      <c r="R145" s="154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-4</v>
      </c>
      <c r="S145" s="154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4</v>
      </c>
      <c r="T145" s="154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0</v>
      </c>
      <c r="U145" s="155">
        <f>INDEX('Budget by Source'!$A$6:$I$332,MATCH('Payment by Source'!$A145,'Budget by Source'!$A$6:$A$332,0),MATCH(U$3,'Budget by Source'!$A$5:$I$5,0))</f>
        <v>3968622</v>
      </c>
      <c r="V145" s="152">
        <f t="shared" si="7"/>
        <v>396862</v>
      </c>
      <c r="W145" s="152">
        <f t="shared" si="8"/>
        <v>3968620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30257</v>
      </c>
      <c r="D146" s="22">
        <f>IF(Notes!$B$2="June",ROUND('Budget by Source'!D146/10,0)+Q146,ROUND('Budget by Source'!D146/10,0))</f>
        <v>80455</v>
      </c>
      <c r="E146" s="22">
        <f>IF(Notes!$B$2="June",ROUND('Budget by Source'!E146/10,0)+R146,ROUND('Budget by Source'!E146/10,0))</f>
        <v>9792</v>
      </c>
      <c r="F146" s="22">
        <f>IF(Notes!$B$2="June",ROUND('Budget by Source'!F146/10,0)+S146,ROUND('Budget by Source'!F146/10,0))</f>
        <v>8833</v>
      </c>
      <c r="G146" s="22">
        <f>IF(Notes!$B$2="June",ROUND('Budget by Source'!G146/10,0)+T146,ROUND('Budget by Source'!G146/10,0))</f>
        <v>44238</v>
      </c>
      <c r="H146" s="22">
        <f t="shared" si="6"/>
        <v>640518</v>
      </c>
      <c r="I146" s="22">
        <f>INDEX(Data[],MATCH($A146,Data[Dist],0),MATCH(I$5,Data[#Headers],0))</f>
        <v>814093</v>
      </c>
      <c r="K146" s="69">
        <f>INDEX('Payment Total'!$A$7:$H$333,MATCH('Payment by Source'!$A146,'Payment Total'!$A$7:$A$333,0),3)-I146</f>
        <v>0</v>
      </c>
      <c r="P146" s="154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3</v>
      </c>
      <c r="Q146" s="154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0</v>
      </c>
      <c r="R146" s="154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3</v>
      </c>
      <c r="S146" s="154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-2</v>
      </c>
      <c r="T146" s="154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4</v>
      </c>
      <c r="U146" s="155">
        <f>INDEX('Budget by Source'!$A$6:$I$332,MATCH('Payment by Source'!$A146,'Budget by Source'!$A$6:$A$332,0),MATCH(U$3,'Budget by Source'!$A$5:$I$5,0))</f>
        <v>6405175</v>
      </c>
      <c r="V146" s="152">
        <f t="shared" si="7"/>
        <v>640518</v>
      </c>
      <c r="W146" s="152">
        <f t="shared" si="8"/>
        <v>6405180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34685</v>
      </c>
      <c r="D147" s="22">
        <f>IF(Notes!$B$2="June",ROUND('Budget by Source'!D147/10,0)+Q147,ROUND('Budget by Source'!D147/10,0))</f>
        <v>93177</v>
      </c>
      <c r="E147" s="22">
        <f>IF(Notes!$B$2="June",ROUND('Budget by Source'!E147/10,0)+R147,ROUND('Budget by Source'!E147/10,0))</f>
        <v>10472</v>
      </c>
      <c r="F147" s="22">
        <f>IF(Notes!$B$2="June",ROUND('Budget by Source'!F147/10,0)+S147,ROUND('Budget by Source'!F147/10,0))</f>
        <v>10933</v>
      </c>
      <c r="G147" s="22">
        <f>IF(Notes!$B$2="June",ROUND('Budget by Source'!G147/10,0)+T147,ROUND('Budget by Source'!G147/10,0))</f>
        <v>50332</v>
      </c>
      <c r="H147" s="22">
        <f t="shared" si="6"/>
        <v>784987</v>
      </c>
      <c r="I147" s="22">
        <f>INDEX(Data[],MATCH($A147,Data[Dist],0),MATCH(I$5,Data[#Headers],0))</f>
        <v>984586</v>
      </c>
      <c r="K147" s="69">
        <f>INDEX('Payment Total'!$A$7:$H$333,MATCH('Payment by Source'!$A147,'Payment Total'!$A$7:$A$333,0),3)-I147</f>
        <v>0</v>
      </c>
      <c r="P147" s="154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4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0</v>
      </c>
      <c r="R147" s="154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-5</v>
      </c>
      <c r="S147" s="154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-1</v>
      </c>
      <c r="T147" s="154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-3</v>
      </c>
      <c r="U147" s="155">
        <f>INDEX('Budget by Source'!$A$6:$I$332,MATCH('Payment by Source'!$A147,'Budget by Source'!$A$6:$A$332,0),MATCH(U$3,'Budget by Source'!$A$5:$I$5,0))</f>
        <v>7849879</v>
      </c>
      <c r="V147" s="152">
        <f t="shared" si="7"/>
        <v>784988</v>
      </c>
      <c r="W147" s="152">
        <f t="shared" si="8"/>
        <v>7849880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45755</v>
      </c>
      <c r="D148" s="22">
        <f>IF(Notes!$B$2="June",ROUND('Budget by Source'!D148/10,0)+Q148,ROUND('Budget by Source'!D148/10,0))</f>
        <v>206361</v>
      </c>
      <c r="E148" s="22">
        <f>IF(Notes!$B$2="June",ROUND('Budget by Source'!E148/10,0)+R148,ROUND('Budget by Source'!E148/10,0))</f>
        <v>23627</v>
      </c>
      <c r="F148" s="22">
        <f>IF(Notes!$B$2="June",ROUND('Budget by Source'!F148/10,0)+S148,ROUND('Budget by Source'!F148/10,0))</f>
        <v>24360</v>
      </c>
      <c r="G148" s="22">
        <f>IF(Notes!$B$2="June",ROUND('Budget by Source'!G148/10,0)+T148,ROUND('Budget by Source'!G148/10,0))</f>
        <v>124318</v>
      </c>
      <c r="H148" s="22">
        <f t="shared" si="6"/>
        <v>2132764</v>
      </c>
      <c r="I148" s="22">
        <f>INDEX(Data[],MATCH($A148,Data[Dist],0),MATCH(I$5,Data[#Headers],0))</f>
        <v>2557185</v>
      </c>
      <c r="K148" s="69">
        <f>INDEX('Payment Total'!$A$7:$H$333,MATCH('Payment by Source'!$A148,'Payment Total'!$A$7:$A$333,0),3)-I148</f>
        <v>0</v>
      </c>
      <c r="P148" s="154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-1</v>
      </c>
      <c r="Q148" s="154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0</v>
      </c>
      <c r="R148" s="154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-4</v>
      </c>
      <c r="S148" s="154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-3</v>
      </c>
      <c r="T148" s="154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-4</v>
      </c>
      <c r="U148" s="155">
        <f>INDEX('Budget by Source'!$A$6:$I$332,MATCH('Payment by Source'!$A148,'Budget by Source'!$A$6:$A$332,0),MATCH(U$3,'Budget by Source'!$A$5:$I$5,0))</f>
        <v>21327656</v>
      </c>
      <c r="V148" s="152">
        <f t="shared" si="7"/>
        <v>2132766</v>
      </c>
      <c r="W148" s="152">
        <f t="shared" si="8"/>
        <v>21327660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16236</v>
      </c>
      <c r="D149" s="22">
        <f>IF(Notes!$B$2="June",ROUND('Budget by Source'!D149/10,0)+Q149,ROUND('Budget by Source'!D149/10,0))</f>
        <v>54714</v>
      </c>
      <c r="E149" s="22">
        <f>IF(Notes!$B$2="June",ROUND('Budget by Source'!E149/10,0)+R149,ROUND('Budget by Source'!E149/10,0))</f>
        <v>5867</v>
      </c>
      <c r="F149" s="22">
        <f>IF(Notes!$B$2="June",ROUND('Budget by Source'!F149/10,0)+S149,ROUND('Budget by Source'!F149/10,0))</f>
        <v>5166</v>
      </c>
      <c r="G149" s="22">
        <f>IF(Notes!$B$2="June",ROUND('Budget by Source'!G149/10,0)+T149,ROUND('Budget by Source'!G149/10,0))</f>
        <v>30316</v>
      </c>
      <c r="H149" s="22">
        <f t="shared" si="6"/>
        <v>479297</v>
      </c>
      <c r="I149" s="22">
        <f>INDEX(Data[],MATCH($A149,Data[Dist],0),MATCH(I$5,Data[#Headers],0))</f>
        <v>591596</v>
      </c>
      <c r="K149" s="69">
        <f>INDEX('Payment Total'!$A$7:$H$333,MATCH('Payment by Source'!$A149,'Payment Total'!$A$7:$A$333,0),3)-I149</f>
        <v>0</v>
      </c>
      <c r="P149" s="154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-4</v>
      </c>
      <c r="Q149" s="154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-4</v>
      </c>
      <c r="R149" s="154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-3</v>
      </c>
      <c r="S149" s="154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0</v>
      </c>
      <c r="T149" s="154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4</v>
      </c>
      <c r="U149" s="155">
        <f>INDEX('Budget by Source'!$A$6:$I$332,MATCH('Payment by Source'!$A149,'Budget by Source'!$A$6:$A$332,0),MATCH(U$3,'Budget by Source'!$A$5:$I$5,0))</f>
        <v>4792976</v>
      </c>
      <c r="V149" s="152">
        <f t="shared" si="7"/>
        <v>479298</v>
      </c>
      <c r="W149" s="152">
        <f t="shared" si="8"/>
        <v>4792980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192107</v>
      </c>
      <c r="D150" s="22">
        <f>IF(Notes!$B$2="June",ROUND('Budget by Source'!D150/10,0)+Q150,ROUND('Budget by Source'!D150/10,0))</f>
        <v>883004</v>
      </c>
      <c r="E150" s="22">
        <f>IF(Notes!$B$2="June",ROUND('Budget by Source'!E150/10,0)+R150,ROUND('Budget by Source'!E150/10,0))</f>
        <v>111633</v>
      </c>
      <c r="F150" s="22">
        <f>IF(Notes!$B$2="June",ROUND('Budget by Source'!F150/10,0)+S150,ROUND('Budget by Source'!F150/10,0))</f>
        <v>108308</v>
      </c>
      <c r="G150" s="22">
        <f>IF(Notes!$B$2="June",ROUND('Budget by Source'!G150/10,0)+T150,ROUND('Budget by Source'!G150/10,0))</f>
        <v>515053</v>
      </c>
      <c r="H150" s="22">
        <f t="shared" si="6"/>
        <v>6970262</v>
      </c>
      <c r="I150" s="22">
        <f>INDEX(Data[],MATCH($A150,Data[Dist],0),MATCH(I$5,Data[#Headers],0))</f>
        <v>8780367</v>
      </c>
      <c r="K150" s="69">
        <f>INDEX('Payment Total'!$A$7:$H$333,MATCH('Payment by Source'!$A150,'Payment Total'!$A$7:$A$333,0),3)-I150</f>
        <v>0</v>
      </c>
      <c r="P150" s="154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1</v>
      </c>
      <c r="Q150" s="154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4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2</v>
      </c>
      <c r="S150" s="154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0</v>
      </c>
      <c r="T150" s="154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1</v>
      </c>
      <c r="U150" s="155">
        <f>INDEX('Budget by Source'!$A$6:$I$332,MATCH('Payment by Source'!$A150,'Budget by Source'!$A$6:$A$332,0),MATCH(U$3,'Budget by Source'!$A$5:$I$5,0))</f>
        <v>69702618</v>
      </c>
      <c r="V150" s="152">
        <f t="shared" si="7"/>
        <v>6970262</v>
      </c>
      <c r="W150" s="152">
        <f t="shared" si="8"/>
        <v>69702620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22140</v>
      </c>
      <c r="D151" s="22">
        <f>IF(Notes!$B$2="June",ROUND('Budget by Source'!D151/10,0)+Q151,ROUND('Budget by Source'!D151/10,0))</f>
        <v>65505</v>
      </c>
      <c r="E151" s="22">
        <f>IF(Notes!$B$2="June",ROUND('Budget by Source'!E151/10,0)+R151,ROUND('Budget by Source'!E151/10,0))</f>
        <v>8204</v>
      </c>
      <c r="F151" s="22">
        <f>IF(Notes!$B$2="June",ROUND('Budget by Source'!F151/10,0)+S151,ROUND('Budget by Source'!F151/10,0))</f>
        <v>7600</v>
      </c>
      <c r="G151" s="22">
        <f>IF(Notes!$B$2="June",ROUND('Budget by Source'!G151/10,0)+T151,ROUND('Budget by Source'!G151/10,0))</f>
        <v>36320</v>
      </c>
      <c r="H151" s="22">
        <f t="shared" si="6"/>
        <v>547495</v>
      </c>
      <c r="I151" s="22">
        <f>INDEX(Data[],MATCH($A151,Data[Dist],0),MATCH(I$5,Data[#Headers],0))</f>
        <v>687264</v>
      </c>
      <c r="K151" s="69">
        <f>INDEX('Payment Total'!$A$7:$H$333,MATCH('Payment by Source'!$A151,'Payment Total'!$A$7:$A$333,0),3)-I151</f>
        <v>0</v>
      </c>
      <c r="P151" s="154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-5</v>
      </c>
      <c r="Q151" s="154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4</v>
      </c>
      <c r="R151" s="154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4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1</v>
      </c>
      <c r="T151" s="154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3</v>
      </c>
      <c r="U151" s="155">
        <f>INDEX('Budget by Source'!$A$6:$I$332,MATCH('Payment by Source'!$A151,'Budget by Source'!$A$6:$A$332,0),MATCH(U$3,'Budget by Source'!$A$5:$I$5,0))</f>
        <v>5474943</v>
      </c>
      <c r="V151" s="152">
        <f t="shared" si="7"/>
        <v>547494</v>
      </c>
      <c r="W151" s="152">
        <f t="shared" si="8"/>
        <v>5474940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10332</v>
      </c>
      <c r="D152" s="22">
        <f>IF(Notes!$B$2="June",ROUND('Budget by Source'!D152/10,0)+Q152,ROUND('Budget by Source'!D152/10,0))</f>
        <v>30799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3584</v>
      </c>
      <c r="G152" s="22">
        <f>IF(Notes!$B$2="June",ROUND('Budget by Source'!G152/10,0)+T152,ROUND('Budget by Source'!G152/10,0))</f>
        <v>18131</v>
      </c>
      <c r="H152" s="22">
        <f t="shared" si="6"/>
        <v>287620</v>
      </c>
      <c r="I152" s="22">
        <f>INDEX(Data[],MATCH($A152,Data[Dist],0),MATCH(I$5,Data[#Headers],0))</f>
        <v>353559</v>
      </c>
      <c r="K152" s="69">
        <f>INDEX('Payment Total'!$A$7:$H$333,MATCH('Payment by Source'!$A152,'Payment Total'!$A$7:$A$333,0),3)-I152</f>
        <v>0</v>
      </c>
      <c r="P152" s="154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-2</v>
      </c>
      <c r="Q152" s="154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4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4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-1</v>
      </c>
      <c r="T152" s="154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-3</v>
      </c>
      <c r="U152" s="155">
        <f>INDEX('Budget by Source'!$A$6:$I$332,MATCH('Payment by Source'!$A152,'Budget by Source'!$A$6:$A$332,0),MATCH(U$3,'Budget by Source'!$A$5:$I$5,0))</f>
        <v>2876204</v>
      </c>
      <c r="V152" s="152">
        <f t="shared" si="7"/>
        <v>287620</v>
      </c>
      <c r="W152" s="152">
        <f t="shared" si="8"/>
        <v>2876200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18081</v>
      </c>
      <c r="D153" s="22">
        <f>IF(Notes!$B$2="June",ROUND('Budget by Source'!D153/10,0)+Q153,ROUND('Budget by Source'!D153/10,0))</f>
        <v>46858</v>
      </c>
      <c r="E153" s="22">
        <f>IF(Notes!$B$2="June",ROUND('Budget by Source'!E153/10,0)+R153,ROUND('Budget by Source'!E153/10,0))</f>
        <v>4910</v>
      </c>
      <c r="F153" s="22">
        <f>IF(Notes!$B$2="June",ROUND('Budget by Source'!F153/10,0)+S153,ROUND('Budget by Source'!F153/10,0))</f>
        <v>5361</v>
      </c>
      <c r="G153" s="22">
        <f>IF(Notes!$B$2="June",ROUND('Budget by Source'!G153/10,0)+T153,ROUND('Budget by Source'!G153/10,0))</f>
        <v>24402</v>
      </c>
      <c r="H153" s="22">
        <f t="shared" si="6"/>
        <v>284067</v>
      </c>
      <c r="I153" s="22">
        <f>INDEX(Data[],MATCH($A153,Data[Dist],0),MATCH(I$5,Data[#Headers],0))</f>
        <v>383679</v>
      </c>
      <c r="K153" s="69">
        <f>INDEX('Payment Total'!$A$7:$H$333,MATCH('Payment by Source'!$A153,'Payment Total'!$A$7:$A$333,0),3)-I153</f>
        <v>0</v>
      </c>
      <c r="P153" s="154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-4</v>
      </c>
      <c r="Q153" s="154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-5</v>
      </c>
      <c r="R153" s="154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4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2</v>
      </c>
      <c r="T153" s="154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0</v>
      </c>
      <c r="U153" s="155">
        <f>INDEX('Budget by Source'!$A$6:$I$332,MATCH('Payment by Source'!$A153,'Budget by Source'!$A$6:$A$332,0),MATCH(U$3,'Budget by Source'!$A$5:$I$5,0))</f>
        <v>2840673</v>
      </c>
      <c r="V153" s="152">
        <f t="shared" si="7"/>
        <v>284067</v>
      </c>
      <c r="W153" s="152">
        <f t="shared" si="8"/>
        <v>2840670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8118</v>
      </c>
      <c r="D154" s="22">
        <f>IF(Notes!$B$2="June",ROUND('Budget by Source'!D154/10,0)+Q154,ROUND('Budget by Source'!D154/10,0))</f>
        <v>27383</v>
      </c>
      <c r="E154" s="22">
        <f>IF(Notes!$B$2="June",ROUND('Budget by Source'!E154/10,0)+R154,ROUND('Budget by Source'!E154/10,0))</f>
        <v>2418</v>
      </c>
      <c r="F154" s="22">
        <f>IF(Notes!$B$2="June",ROUND('Budget by Source'!F154/10,0)+S154,ROUND('Budget by Source'!F154/10,0))</f>
        <v>2669</v>
      </c>
      <c r="G154" s="22">
        <f>IF(Notes!$B$2="June",ROUND('Budget by Source'!G154/10,0)+T154,ROUND('Budget by Source'!G154/10,0))</f>
        <v>15668</v>
      </c>
      <c r="H154" s="22">
        <f t="shared" si="6"/>
        <v>242674</v>
      </c>
      <c r="I154" s="22">
        <f>INDEX(Data[],MATCH($A154,Data[Dist],0),MATCH(I$5,Data[#Headers],0))</f>
        <v>298930</v>
      </c>
      <c r="K154" s="69">
        <f>INDEX('Payment Total'!$A$7:$H$333,MATCH('Payment by Source'!$A154,'Payment Total'!$A$7:$A$333,0),3)-I154</f>
        <v>0</v>
      </c>
      <c r="P154" s="154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-2</v>
      </c>
      <c r="Q154" s="154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2</v>
      </c>
      <c r="R154" s="154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1</v>
      </c>
      <c r="S154" s="154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0</v>
      </c>
      <c r="T154" s="154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1</v>
      </c>
      <c r="U154" s="155">
        <f>INDEX('Budget by Source'!$A$6:$I$332,MATCH('Payment by Source'!$A154,'Budget by Source'!$A$6:$A$332,0),MATCH(U$3,'Budget by Source'!$A$5:$I$5,0))</f>
        <v>2426733</v>
      </c>
      <c r="V154" s="152">
        <f t="shared" si="7"/>
        <v>242673</v>
      </c>
      <c r="W154" s="152">
        <f t="shared" si="8"/>
        <v>2426730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29519</v>
      </c>
      <c r="D155" s="22">
        <f>IF(Notes!$B$2="June",ROUND('Budget by Source'!D155/10,0)+Q155,ROUND('Budget by Source'!D155/10,0))</f>
        <v>76630</v>
      </c>
      <c r="E155" s="22">
        <f>IF(Notes!$B$2="June",ROUND('Budget by Source'!E155/10,0)+R155,ROUND('Budget by Source'!E155/10,0))</f>
        <v>9441</v>
      </c>
      <c r="F155" s="22">
        <f>IF(Notes!$B$2="June",ROUND('Budget by Source'!F155/10,0)+S155,ROUND('Budget by Source'!F155/10,0))</f>
        <v>8714</v>
      </c>
      <c r="G155" s="22">
        <f>IF(Notes!$B$2="June",ROUND('Budget by Source'!G155/10,0)+T155,ROUND('Budget by Source'!G155/10,0))</f>
        <v>42485</v>
      </c>
      <c r="H155" s="22">
        <f t="shared" si="6"/>
        <v>582079</v>
      </c>
      <c r="I155" s="22">
        <f>INDEX(Data[],MATCH($A155,Data[Dist],0),MATCH(I$5,Data[#Headers],0))</f>
        <v>748868</v>
      </c>
      <c r="K155" s="69">
        <f>INDEX('Payment Total'!$A$7:$H$333,MATCH('Payment by Source'!$A155,'Payment Total'!$A$7:$A$333,0),3)-I155</f>
        <v>0</v>
      </c>
      <c r="P155" s="154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3</v>
      </c>
      <c r="Q155" s="154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4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0</v>
      </c>
      <c r="S155" s="154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3</v>
      </c>
      <c r="T155" s="154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5">
        <f>INDEX('Budget by Source'!$A$6:$I$332,MATCH('Payment by Source'!$A155,'Budget by Source'!$A$6:$A$332,0),MATCH(U$3,'Budget by Source'!$A$5:$I$5,0))</f>
        <v>5820782</v>
      </c>
      <c r="V155" s="152">
        <f t="shared" si="7"/>
        <v>582078</v>
      </c>
      <c r="W155" s="152">
        <f t="shared" si="8"/>
        <v>5820780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22878</v>
      </c>
      <c r="D156" s="22">
        <f>IF(Notes!$B$2="June",ROUND('Budget by Source'!D156/10,0)+Q156,ROUND('Budget by Source'!D156/10,0))</f>
        <v>53218</v>
      </c>
      <c r="E156" s="22">
        <f>IF(Notes!$B$2="June",ROUND('Budget by Source'!E156/10,0)+R156,ROUND('Budget by Source'!E156/10,0))</f>
        <v>7000</v>
      </c>
      <c r="F156" s="22">
        <f>IF(Notes!$B$2="June",ROUND('Budget by Source'!F156/10,0)+S156,ROUND('Budget by Source'!F156/10,0))</f>
        <v>5796</v>
      </c>
      <c r="G156" s="22">
        <f>IF(Notes!$B$2="June",ROUND('Budget by Source'!G156/10,0)+T156,ROUND('Budget by Source'!G156/10,0))</f>
        <v>32678</v>
      </c>
      <c r="H156" s="22">
        <f t="shared" si="6"/>
        <v>510596</v>
      </c>
      <c r="I156" s="22">
        <f>INDEX(Data[],MATCH($A156,Data[Dist],0),MATCH(I$5,Data[#Headers],0))</f>
        <v>632166</v>
      </c>
      <c r="K156" s="69">
        <f>INDEX('Payment Total'!$A$7:$H$333,MATCH('Payment by Source'!$A156,'Payment Total'!$A$7:$A$333,0),3)-I156</f>
        <v>0</v>
      </c>
      <c r="P156" s="154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-5</v>
      </c>
      <c r="Q156" s="154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0</v>
      </c>
      <c r="R156" s="154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4</v>
      </c>
      <c r="S156" s="154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-2</v>
      </c>
      <c r="T156" s="154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-1</v>
      </c>
      <c r="U156" s="155">
        <f>INDEX('Budget by Source'!$A$6:$I$332,MATCH('Payment by Source'!$A156,'Budget by Source'!$A$6:$A$332,0),MATCH(U$3,'Budget by Source'!$A$5:$I$5,0))</f>
        <v>5105963</v>
      </c>
      <c r="V156" s="152">
        <f t="shared" si="7"/>
        <v>510596</v>
      </c>
      <c r="W156" s="152">
        <f t="shared" si="8"/>
        <v>5105960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101088</v>
      </c>
      <c r="D157" s="22">
        <f>IF(Notes!$B$2="June",ROUND('Budget by Source'!D157/10,0)+Q157,ROUND('Budget by Source'!D157/10,0))</f>
        <v>416454</v>
      </c>
      <c r="E157" s="22">
        <f>IF(Notes!$B$2="June",ROUND('Budget by Source'!E157/10,0)+R157,ROUND('Budget by Source'!E157/10,0))</f>
        <v>45869</v>
      </c>
      <c r="F157" s="22">
        <f>IF(Notes!$B$2="June",ROUND('Budget by Source'!F157/10,0)+S157,ROUND('Budget by Source'!F157/10,0))</f>
        <v>46302</v>
      </c>
      <c r="G157" s="22">
        <f>IF(Notes!$B$2="June",ROUND('Budget by Source'!G157/10,0)+T157,ROUND('Budget by Source'!G157/10,0))</f>
        <v>249991</v>
      </c>
      <c r="H157" s="22">
        <f t="shared" si="6"/>
        <v>3818497</v>
      </c>
      <c r="I157" s="22">
        <f>INDEX(Data[],MATCH($A157,Data[Dist],0),MATCH(I$5,Data[#Headers],0))</f>
        <v>4678201</v>
      </c>
      <c r="K157" s="69">
        <f>INDEX('Payment Total'!$A$7:$H$333,MATCH('Payment by Source'!$A157,'Payment Total'!$A$7:$A$333,0),3)-I157</f>
        <v>0</v>
      </c>
      <c r="P157" s="154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4</v>
      </c>
      <c r="Q157" s="154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2</v>
      </c>
      <c r="R157" s="154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0</v>
      </c>
      <c r="S157" s="154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2</v>
      </c>
      <c r="T157" s="154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3</v>
      </c>
      <c r="U157" s="155">
        <f>INDEX('Budget by Source'!$A$6:$I$332,MATCH('Payment by Source'!$A157,'Budget by Source'!$A$6:$A$332,0),MATCH(U$3,'Budget by Source'!$A$5:$I$5,0))</f>
        <v>38184961</v>
      </c>
      <c r="V157" s="152">
        <f t="shared" si="7"/>
        <v>3818496</v>
      </c>
      <c r="W157" s="152">
        <f t="shared" si="8"/>
        <v>38184960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33578</v>
      </c>
      <c r="D158" s="22">
        <f>IF(Notes!$B$2="June",ROUND('Budget by Source'!D158/10,0)+Q158,ROUND('Budget by Source'!D158/10,0))</f>
        <v>117375</v>
      </c>
      <c r="E158" s="22">
        <f>IF(Notes!$B$2="June",ROUND('Budget by Source'!E158/10,0)+R158,ROUND('Budget by Source'!E158/10,0))</f>
        <v>15008</v>
      </c>
      <c r="F158" s="22">
        <f>IF(Notes!$B$2="June",ROUND('Budget by Source'!F158/10,0)+S158,ROUND('Budget by Source'!F158/10,0))</f>
        <v>13897</v>
      </c>
      <c r="G158" s="22">
        <f>IF(Notes!$B$2="June",ROUND('Budget by Source'!G158/10,0)+T158,ROUND('Budget by Source'!G158/10,0))</f>
        <v>67173</v>
      </c>
      <c r="H158" s="22">
        <f t="shared" si="6"/>
        <v>1326204</v>
      </c>
      <c r="I158" s="22">
        <f>INDEX(Data[],MATCH($A158,Data[Dist],0),MATCH(I$5,Data[#Headers],0))</f>
        <v>1573235</v>
      </c>
      <c r="K158" s="69">
        <f>INDEX('Payment Total'!$A$7:$H$333,MATCH('Payment by Source'!$A158,'Payment Total'!$A$7:$A$333,0),3)-I158</f>
        <v>0</v>
      </c>
      <c r="P158" s="154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3</v>
      </c>
      <c r="Q158" s="154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0</v>
      </c>
      <c r="R158" s="154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-1</v>
      </c>
      <c r="S158" s="154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-5</v>
      </c>
      <c r="T158" s="154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4</v>
      </c>
      <c r="U158" s="155">
        <f>INDEX('Budget by Source'!$A$6:$I$332,MATCH('Payment by Source'!$A158,'Budget by Source'!$A$6:$A$332,0),MATCH(U$3,'Budget by Source'!$A$5:$I$5,0))</f>
        <v>13262039</v>
      </c>
      <c r="V158" s="152">
        <f t="shared" si="7"/>
        <v>1326204</v>
      </c>
      <c r="W158" s="152">
        <f t="shared" si="8"/>
        <v>13262040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6642</v>
      </c>
      <c r="D159" s="22">
        <f>IF(Notes!$B$2="June",ROUND('Budget by Source'!D159/10,0)+Q159,ROUND('Budget by Source'!D159/10,0))</f>
        <v>23505</v>
      </c>
      <c r="E159" s="22">
        <f>IF(Notes!$B$2="June",ROUND('Budget by Source'!E159/10,0)+R159,ROUND('Budget by Source'!E159/10,0))</f>
        <v>2317</v>
      </c>
      <c r="F159" s="22">
        <f>IF(Notes!$B$2="June",ROUND('Budget by Source'!F159/10,0)+S159,ROUND('Budget by Source'!F159/10,0))</f>
        <v>2479</v>
      </c>
      <c r="G159" s="22">
        <f>IF(Notes!$B$2="June",ROUND('Budget by Source'!G159/10,0)+T159,ROUND('Budget by Source'!G159/10,0))</f>
        <v>12405</v>
      </c>
      <c r="H159" s="22">
        <f t="shared" si="6"/>
        <v>162837</v>
      </c>
      <c r="I159" s="22">
        <f>INDEX(Data[],MATCH($A159,Data[Dist],0),MATCH(I$5,Data[#Headers],0))</f>
        <v>210185</v>
      </c>
      <c r="K159" s="69">
        <f>INDEX('Payment Total'!$A$7:$H$333,MATCH('Payment by Source'!$A159,'Payment Total'!$A$7:$A$333,0),3)-I159</f>
        <v>0</v>
      </c>
      <c r="P159" s="154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-2</v>
      </c>
      <c r="Q159" s="154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-1</v>
      </c>
      <c r="R159" s="154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0</v>
      </c>
      <c r="S159" s="154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-4</v>
      </c>
      <c r="T159" s="154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-1</v>
      </c>
      <c r="U159" s="155">
        <f>INDEX('Budget by Source'!$A$6:$I$332,MATCH('Payment by Source'!$A159,'Budget by Source'!$A$6:$A$332,0),MATCH(U$3,'Budget by Source'!$A$5:$I$5,0))</f>
        <v>1628382</v>
      </c>
      <c r="V159" s="152">
        <f t="shared" si="7"/>
        <v>162838</v>
      </c>
      <c r="W159" s="152">
        <f t="shared" si="8"/>
        <v>1628380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31292</v>
      </c>
      <c r="E160" s="22">
        <f>IF(Notes!$B$2="June",ROUND('Budget by Source'!E160/10,0)+R160,ROUND('Budget by Source'!E160/10,0))</f>
        <v>3947</v>
      </c>
      <c r="F160" s="22">
        <f>IF(Notes!$B$2="June",ROUND('Budget by Source'!F160/10,0)+S160,ROUND('Budget by Source'!F160/10,0))</f>
        <v>3620</v>
      </c>
      <c r="G160" s="22">
        <f>IF(Notes!$B$2="June",ROUND('Budget by Source'!G160/10,0)+T160,ROUND('Budget by Source'!G160/10,0))</f>
        <v>16584</v>
      </c>
      <c r="H160" s="22">
        <f t="shared" si="6"/>
        <v>243513</v>
      </c>
      <c r="I160" s="22">
        <f>INDEX(Data[],MATCH($A160,Data[Dist],0),MATCH(I$5,Data[#Headers],0))</f>
        <v>298956</v>
      </c>
      <c r="K160" s="69">
        <f>INDEX('Payment Total'!$A$7:$H$333,MATCH('Payment by Source'!$A160,'Payment Total'!$A$7:$A$333,0),3)-I160</f>
        <v>0</v>
      </c>
      <c r="P160" s="154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4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-2</v>
      </c>
      <c r="R160" s="154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2</v>
      </c>
      <c r="S160" s="154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4</v>
      </c>
      <c r="T160" s="154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0</v>
      </c>
      <c r="U160" s="155">
        <f>INDEX('Budget by Source'!$A$6:$I$332,MATCH('Payment by Source'!$A160,'Budget by Source'!$A$6:$A$332,0),MATCH(U$3,'Budget by Source'!$A$5:$I$5,0))</f>
        <v>2435123</v>
      </c>
      <c r="V160" s="152">
        <f t="shared" si="7"/>
        <v>243512</v>
      </c>
      <c r="W160" s="152">
        <f t="shared" si="8"/>
        <v>2435120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36530</v>
      </c>
      <c r="D161" s="22">
        <f>IF(Notes!$B$2="June",ROUND('Budget by Source'!D161/10,0)+Q161,ROUND('Budget by Source'!D161/10,0))</f>
        <v>112038</v>
      </c>
      <c r="E161" s="22">
        <f>IF(Notes!$B$2="June",ROUND('Budget by Source'!E161/10,0)+R161,ROUND('Budget by Source'!E161/10,0))</f>
        <v>13305</v>
      </c>
      <c r="F161" s="22">
        <f>IF(Notes!$B$2="June",ROUND('Budget by Source'!F161/10,0)+S161,ROUND('Budget by Source'!F161/10,0))</f>
        <v>12047</v>
      </c>
      <c r="G161" s="22">
        <f>IF(Notes!$B$2="June",ROUND('Budget by Source'!G161/10,0)+T161,ROUND('Budget by Source'!G161/10,0))</f>
        <v>62762</v>
      </c>
      <c r="H161" s="22">
        <f t="shared" si="6"/>
        <v>1079818</v>
      </c>
      <c r="I161" s="22">
        <f>INDEX(Data[],MATCH($A161,Data[Dist],0),MATCH(I$5,Data[#Headers],0))</f>
        <v>1316500</v>
      </c>
      <c r="K161" s="69">
        <f>INDEX('Payment Total'!$A$7:$H$333,MATCH('Payment by Source'!$A161,'Payment Total'!$A$7:$A$333,0),3)-I161</f>
        <v>0</v>
      </c>
      <c r="P161" s="154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2</v>
      </c>
      <c r="Q161" s="154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-1</v>
      </c>
      <c r="R161" s="154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-2</v>
      </c>
      <c r="S161" s="154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2</v>
      </c>
      <c r="T161" s="154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-3</v>
      </c>
      <c r="U161" s="155">
        <f>INDEX('Budget by Source'!$A$6:$I$332,MATCH('Payment by Source'!$A161,'Budget by Source'!$A$6:$A$332,0),MATCH(U$3,'Budget by Source'!$A$5:$I$5,0))</f>
        <v>10798186</v>
      </c>
      <c r="V161" s="152">
        <f t="shared" si="7"/>
        <v>1079819</v>
      </c>
      <c r="W161" s="152">
        <f t="shared" si="8"/>
        <v>10798190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9594</v>
      </c>
      <c r="D162" s="22">
        <f>IF(Notes!$B$2="June",ROUND('Budget by Source'!D162/10,0)+Q162,ROUND('Budget by Source'!D162/10,0))</f>
        <v>38588</v>
      </c>
      <c r="E162" s="22">
        <f>IF(Notes!$B$2="June",ROUND('Budget by Source'!E162/10,0)+R162,ROUND('Budget by Source'!E162/10,0))</f>
        <v>4561</v>
      </c>
      <c r="F162" s="22">
        <f>IF(Notes!$B$2="June",ROUND('Budget by Source'!F162/10,0)+S162,ROUND('Budget by Source'!F162/10,0))</f>
        <v>3998</v>
      </c>
      <c r="G162" s="22">
        <f>IF(Notes!$B$2="June",ROUND('Budget by Source'!G162/10,0)+T162,ROUND('Budget by Source'!G162/10,0))</f>
        <v>20549</v>
      </c>
      <c r="H162" s="22">
        <f t="shared" si="6"/>
        <v>268102</v>
      </c>
      <c r="I162" s="22">
        <f>INDEX(Data[],MATCH($A162,Data[Dist],0),MATCH(I$5,Data[#Headers],0))</f>
        <v>345392</v>
      </c>
      <c r="K162" s="69">
        <f>INDEX('Payment Total'!$A$7:$H$333,MATCH('Payment by Source'!$A162,'Payment Total'!$A$7:$A$333,0),3)-I162</f>
        <v>0</v>
      </c>
      <c r="P162" s="154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-2</v>
      </c>
      <c r="Q162" s="154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4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-5</v>
      </c>
      <c r="S162" s="154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4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-5</v>
      </c>
      <c r="U162" s="155">
        <f>INDEX('Budget by Source'!$A$6:$I$332,MATCH('Payment by Source'!$A162,'Budget by Source'!$A$6:$A$332,0),MATCH(U$3,'Budget by Source'!$A$5:$I$5,0))</f>
        <v>2681034</v>
      </c>
      <c r="V162" s="152">
        <f t="shared" si="7"/>
        <v>268103</v>
      </c>
      <c r="W162" s="152">
        <f t="shared" si="8"/>
        <v>2681030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9225</v>
      </c>
      <c r="D163" s="22">
        <f>IF(Notes!$B$2="June",ROUND('Budget by Source'!D163/10,0)+Q163,ROUND('Budget by Source'!D163/10,0))</f>
        <v>22446</v>
      </c>
      <c r="E163" s="22">
        <f>IF(Notes!$B$2="June",ROUND('Budget by Source'!E163/10,0)+R163,ROUND('Budget by Source'!E163/10,0))</f>
        <v>2456</v>
      </c>
      <c r="F163" s="22">
        <f>IF(Notes!$B$2="June",ROUND('Budget by Source'!F163/10,0)+S163,ROUND('Budget by Source'!F163/10,0))</f>
        <v>2428</v>
      </c>
      <c r="G163" s="22">
        <f>IF(Notes!$B$2="June",ROUND('Budget by Source'!G163/10,0)+T163,ROUND('Budget by Source'!G163/10,0))</f>
        <v>11214</v>
      </c>
      <c r="H163" s="22">
        <f t="shared" si="6"/>
        <v>213548</v>
      </c>
      <c r="I163" s="22">
        <f>INDEX(Data[],MATCH($A163,Data[Dist],0),MATCH(I$5,Data[#Headers],0))</f>
        <v>261317</v>
      </c>
      <c r="K163" s="69">
        <f>INDEX('Payment Total'!$A$7:$H$333,MATCH('Payment by Source'!$A163,'Payment Total'!$A$7:$A$333,0),3)-I163</f>
        <v>0</v>
      </c>
      <c r="P163" s="154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-2</v>
      </c>
      <c r="Q163" s="154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-3</v>
      </c>
      <c r="R163" s="154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4</v>
      </c>
      <c r="S163" s="154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2</v>
      </c>
      <c r="T163" s="154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-5</v>
      </c>
      <c r="U163" s="155">
        <f>INDEX('Budget by Source'!$A$6:$I$332,MATCH('Payment by Source'!$A163,'Budget by Source'!$A$6:$A$332,0),MATCH(U$3,'Budget by Source'!$A$5:$I$5,0))</f>
        <v>2135479</v>
      </c>
      <c r="V163" s="152">
        <f t="shared" si="7"/>
        <v>213548</v>
      </c>
      <c r="W163" s="152">
        <f t="shared" si="8"/>
        <v>2135480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7380</v>
      </c>
      <c r="D164" s="22">
        <f>IF(Notes!$B$2="June",ROUND('Budget by Source'!D164/10,0)+Q164,ROUND('Budget by Source'!D164/10,0))</f>
        <v>19528</v>
      </c>
      <c r="E164" s="22">
        <f>IF(Notes!$B$2="June",ROUND('Budget by Source'!E164/10,0)+R164,ROUND('Budget by Source'!E164/10,0))</f>
        <v>2038</v>
      </c>
      <c r="F164" s="22">
        <f>IF(Notes!$B$2="June",ROUND('Budget by Source'!F164/10,0)+S164,ROUND('Budget by Source'!F164/10,0))</f>
        <v>2137</v>
      </c>
      <c r="G164" s="22">
        <f>IF(Notes!$B$2="June",ROUND('Budget by Source'!G164/10,0)+T164,ROUND('Budget by Source'!G164/10,0))</f>
        <v>9940</v>
      </c>
      <c r="H164" s="22">
        <f t="shared" si="6"/>
        <v>130756</v>
      </c>
      <c r="I164" s="22">
        <f>INDEX(Data[],MATCH($A164,Data[Dist],0),MATCH(I$5,Data[#Headers],0))</f>
        <v>171779</v>
      </c>
      <c r="K164" s="69">
        <f>INDEX('Payment Total'!$A$7:$H$333,MATCH('Payment by Source'!$A164,'Payment Total'!$A$7:$A$333,0),3)-I164</f>
        <v>0</v>
      </c>
      <c r="P164" s="154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4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0</v>
      </c>
      <c r="R164" s="154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-1</v>
      </c>
      <c r="S164" s="154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4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-3</v>
      </c>
      <c r="U164" s="155">
        <f>INDEX('Budget by Source'!$A$6:$I$332,MATCH('Payment by Source'!$A164,'Budget by Source'!$A$6:$A$332,0),MATCH(U$3,'Budget by Source'!$A$5:$I$5,0))</f>
        <v>1307568</v>
      </c>
      <c r="V164" s="152">
        <f t="shared" si="7"/>
        <v>130757</v>
      </c>
      <c r="W164" s="152">
        <f t="shared" si="8"/>
        <v>1307570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15867</v>
      </c>
      <c r="D165" s="22">
        <f>IF(Notes!$B$2="June",ROUND('Budget by Source'!D165/10,0)+Q165,ROUND('Budget by Source'!D165/10,0))</f>
        <v>38608</v>
      </c>
      <c r="E165" s="22">
        <f>IF(Notes!$B$2="June",ROUND('Budget by Source'!E165/10,0)+R165,ROUND('Budget by Source'!E165/10,0))</f>
        <v>4016</v>
      </c>
      <c r="F165" s="22">
        <f>IF(Notes!$B$2="June",ROUND('Budget by Source'!F165/10,0)+S165,ROUND('Budget by Source'!F165/10,0))</f>
        <v>4121</v>
      </c>
      <c r="G165" s="22">
        <f>IF(Notes!$B$2="June",ROUND('Budget by Source'!G165/10,0)+T165,ROUND('Budget by Source'!G165/10,0))</f>
        <v>22044</v>
      </c>
      <c r="H165" s="22">
        <f t="shared" si="6"/>
        <v>305330</v>
      </c>
      <c r="I165" s="22">
        <f>INDEX(Data[],MATCH($A165,Data[Dist],0),MATCH(I$5,Data[#Headers],0))</f>
        <v>389986</v>
      </c>
      <c r="K165" s="69">
        <f>INDEX('Payment Total'!$A$7:$H$333,MATCH('Payment by Source'!$A165,'Payment Total'!$A$7:$A$333,0),3)-I165</f>
        <v>0</v>
      </c>
      <c r="P165" s="154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-3</v>
      </c>
      <c r="Q165" s="154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-1</v>
      </c>
      <c r="R165" s="154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-3</v>
      </c>
      <c r="S165" s="154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1</v>
      </c>
      <c r="T165" s="154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1</v>
      </c>
      <c r="U165" s="155">
        <f>INDEX('Budget by Source'!$A$6:$I$332,MATCH('Payment by Source'!$A165,'Budget by Source'!$A$6:$A$332,0),MATCH(U$3,'Budget by Source'!$A$5:$I$5,0))</f>
        <v>3053303</v>
      </c>
      <c r="V165" s="152">
        <f t="shared" si="7"/>
        <v>305330</v>
      </c>
      <c r="W165" s="152">
        <f t="shared" si="8"/>
        <v>3053300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11808</v>
      </c>
      <c r="D166" s="22">
        <f>IF(Notes!$B$2="June",ROUND('Budget by Source'!D166/10,0)+Q166,ROUND('Budget by Source'!D166/10,0))</f>
        <v>38819</v>
      </c>
      <c r="E166" s="22">
        <f>IF(Notes!$B$2="June",ROUND('Budget by Source'!E166/10,0)+R166,ROUND('Budget by Source'!E166/10,0))</f>
        <v>4471</v>
      </c>
      <c r="F166" s="22">
        <f>IF(Notes!$B$2="June",ROUND('Budget by Source'!F166/10,0)+S166,ROUND('Budget by Source'!F166/10,0))</f>
        <v>4411</v>
      </c>
      <c r="G166" s="22">
        <f>IF(Notes!$B$2="June",ROUND('Budget by Source'!G166/10,0)+T166,ROUND('Budget by Source'!G166/10,0))</f>
        <v>20294</v>
      </c>
      <c r="H166" s="22">
        <f t="shared" si="6"/>
        <v>260079</v>
      </c>
      <c r="I166" s="22">
        <f>INDEX(Data[],MATCH($A166,Data[Dist],0),MATCH(I$5,Data[#Headers],0))</f>
        <v>339882</v>
      </c>
      <c r="K166" s="69">
        <f>INDEX('Payment Total'!$A$7:$H$333,MATCH('Payment by Source'!$A166,'Payment Total'!$A$7:$A$333,0),3)-I166</f>
        <v>0</v>
      </c>
      <c r="P166" s="154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-3</v>
      </c>
      <c r="Q166" s="154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-4</v>
      </c>
      <c r="R166" s="154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-3</v>
      </c>
      <c r="S166" s="154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1</v>
      </c>
      <c r="T166" s="154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4</v>
      </c>
      <c r="U166" s="155">
        <f>INDEX('Budget by Source'!$A$6:$I$332,MATCH('Payment by Source'!$A166,'Budget by Source'!$A$6:$A$332,0),MATCH(U$3,'Budget by Source'!$A$5:$I$5,0))</f>
        <v>2600790</v>
      </c>
      <c r="V166" s="152">
        <f t="shared" si="7"/>
        <v>260079</v>
      </c>
      <c r="W166" s="152">
        <f t="shared" si="8"/>
        <v>2600790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34316</v>
      </c>
      <c r="D167" s="22">
        <f>IF(Notes!$B$2="June",ROUND('Budget by Source'!D167/10,0)+Q167,ROUND('Budget by Source'!D167/10,0))</f>
        <v>137229</v>
      </c>
      <c r="E167" s="22">
        <f>IF(Notes!$B$2="June",ROUND('Budget by Source'!E167/10,0)+R167,ROUND('Budget by Source'!E167/10,0))</f>
        <v>15210</v>
      </c>
      <c r="F167" s="22">
        <f>IF(Notes!$B$2="June",ROUND('Budget by Source'!F167/10,0)+S167,ROUND('Budget by Source'!F167/10,0))</f>
        <v>15910</v>
      </c>
      <c r="G167" s="22">
        <f>IF(Notes!$B$2="June",ROUND('Budget by Source'!G167/10,0)+T167,ROUND('Budget by Source'!G167/10,0))</f>
        <v>79997</v>
      </c>
      <c r="H167" s="22">
        <f t="shared" si="6"/>
        <v>1199761</v>
      </c>
      <c r="I167" s="22">
        <f>INDEX(Data[],MATCH($A167,Data[Dist],0),MATCH(I$5,Data[#Headers],0))</f>
        <v>1482423</v>
      </c>
      <c r="K167" s="69">
        <f>INDEX('Payment Total'!$A$7:$H$333,MATCH('Payment by Source'!$A167,'Payment Total'!$A$7:$A$333,0),3)-I167</f>
        <v>0</v>
      </c>
      <c r="P167" s="154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4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-1</v>
      </c>
      <c r="R167" s="154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1</v>
      </c>
      <c r="S167" s="154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0</v>
      </c>
      <c r="T167" s="154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5">
        <f>INDEX('Budget by Source'!$A$6:$I$332,MATCH('Payment by Source'!$A167,'Budget by Source'!$A$6:$A$332,0),MATCH(U$3,'Budget by Source'!$A$5:$I$5,0))</f>
        <v>11997607</v>
      </c>
      <c r="V167" s="152">
        <f t="shared" si="7"/>
        <v>1199761</v>
      </c>
      <c r="W167" s="152">
        <f t="shared" si="8"/>
        <v>11997610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12915</v>
      </c>
      <c r="D168" s="22">
        <f>IF(Notes!$B$2="June",ROUND('Budget by Source'!D168/10,0)+Q168,ROUND('Budget by Source'!D168/10,0))</f>
        <v>31378</v>
      </c>
      <c r="E168" s="22">
        <f>IF(Notes!$B$2="June",ROUND('Budget by Source'!E168/10,0)+R168,ROUND('Budget by Source'!E168/10,0))</f>
        <v>4129</v>
      </c>
      <c r="F168" s="22">
        <f>IF(Notes!$B$2="June",ROUND('Budget by Source'!F168/10,0)+S168,ROUND('Budget by Source'!F168/10,0))</f>
        <v>3616</v>
      </c>
      <c r="G168" s="22">
        <f>IF(Notes!$B$2="June",ROUND('Budget by Source'!G168/10,0)+T168,ROUND('Budget by Source'!G168/10,0))</f>
        <v>16112</v>
      </c>
      <c r="H168" s="22">
        <f t="shared" si="6"/>
        <v>249256</v>
      </c>
      <c r="I168" s="22">
        <f>INDEX(Data[],MATCH($A168,Data[Dist],0),MATCH(I$5,Data[#Headers],0))</f>
        <v>317406</v>
      </c>
      <c r="K168" s="69">
        <f>INDEX('Payment Total'!$A$7:$H$333,MATCH('Payment by Source'!$A168,'Payment Total'!$A$7:$A$333,0),3)-I168</f>
        <v>0</v>
      </c>
      <c r="P168" s="154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-2</v>
      </c>
      <c r="Q168" s="154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-2</v>
      </c>
      <c r="R168" s="154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3</v>
      </c>
      <c r="S168" s="154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-1</v>
      </c>
      <c r="T168" s="154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-3</v>
      </c>
      <c r="U168" s="155">
        <f>INDEX('Budget by Source'!$A$6:$I$332,MATCH('Payment by Source'!$A168,'Budget by Source'!$A$6:$A$332,0),MATCH(U$3,'Budget by Source'!$A$5:$I$5,0))</f>
        <v>2492565</v>
      </c>
      <c r="V168" s="152">
        <f t="shared" si="7"/>
        <v>249257</v>
      </c>
      <c r="W168" s="152">
        <f t="shared" si="8"/>
        <v>2492570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24353</v>
      </c>
      <c r="D169" s="22">
        <f>IF(Notes!$B$2="June",ROUND('Budget by Source'!D169/10,0)+Q169,ROUND('Budget by Source'!D169/10,0))</f>
        <v>162402</v>
      </c>
      <c r="E169" s="22">
        <f>IF(Notes!$B$2="June",ROUND('Budget by Source'!E169/10,0)+R169,ROUND('Budget by Source'!E169/10,0))</f>
        <v>23865</v>
      </c>
      <c r="F169" s="22">
        <f>IF(Notes!$B$2="June",ROUND('Budget by Source'!F169/10,0)+S169,ROUND('Budget by Source'!F169/10,0))</f>
        <v>18968</v>
      </c>
      <c r="G169" s="22">
        <f>IF(Notes!$B$2="June",ROUND('Budget by Source'!G169/10,0)+T169,ROUND('Budget by Source'!G169/10,0))</f>
        <v>93998</v>
      </c>
      <c r="H169" s="22">
        <f t="shared" si="6"/>
        <v>1148993</v>
      </c>
      <c r="I169" s="22">
        <f>INDEX(Data[],MATCH($A169,Data[Dist],0),MATCH(I$5,Data[#Headers],0))</f>
        <v>1472579</v>
      </c>
      <c r="K169" s="69">
        <f>INDEX('Payment Total'!$A$7:$H$333,MATCH('Payment by Source'!$A169,'Payment Total'!$A$7:$A$333,0),3)-I169</f>
        <v>0</v>
      </c>
      <c r="P169" s="154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4</v>
      </c>
      <c r="Q169" s="154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4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-4</v>
      </c>
      <c r="S169" s="154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-3</v>
      </c>
      <c r="T169" s="154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-4</v>
      </c>
      <c r="U169" s="155">
        <f>INDEX('Budget by Source'!$A$6:$I$332,MATCH('Payment by Source'!$A169,'Budget by Source'!$A$6:$A$332,0),MATCH(U$3,'Budget by Source'!$A$5:$I$5,0))</f>
        <v>11489938</v>
      </c>
      <c r="V169" s="152">
        <f t="shared" si="7"/>
        <v>1148994</v>
      </c>
      <c r="W169" s="152">
        <f t="shared" si="8"/>
        <v>11489940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14760</v>
      </c>
      <c r="D170" s="22">
        <f>IF(Notes!$B$2="June",ROUND('Budget by Source'!D170/10,0)+Q170,ROUND('Budget by Source'!D170/10,0))</f>
        <v>45509</v>
      </c>
      <c r="E170" s="22">
        <f>IF(Notes!$B$2="June",ROUND('Budget by Source'!E170/10,0)+R170,ROUND('Budget by Source'!E170/10,0))</f>
        <v>4831</v>
      </c>
      <c r="F170" s="22">
        <f>IF(Notes!$B$2="June",ROUND('Budget by Source'!F170/10,0)+S170,ROUND('Budget by Source'!F170/10,0))</f>
        <v>4899</v>
      </c>
      <c r="G170" s="22">
        <f>IF(Notes!$B$2="June",ROUND('Budget by Source'!G170/10,0)+T170,ROUND('Budget by Source'!G170/10,0))</f>
        <v>25690</v>
      </c>
      <c r="H170" s="22">
        <f t="shared" si="6"/>
        <v>360808</v>
      </c>
      <c r="I170" s="22">
        <f>INDEX(Data[],MATCH($A170,Data[Dist],0),MATCH(I$5,Data[#Headers],0))</f>
        <v>456497</v>
      </c>
      <c r="K170" s="69">
        <f>INDEX('Payment Total'!$A$7:$H$333,MATCH('Payment by Source'!$A170,'Payment Total'!$A$7:$A$333,0),3)-I170</f>
        <v>0</v>
      </c>
      <c r="P170" s="154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-3</v>
      </c>
      <c r="Q170" s="154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0</v>
      </c>
      <c r="R170" s="154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4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-1</v>
      </c>
      <c r="T170" s="154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0</v>
      </c>
      <c r="U170" s="155">
        <f>INDEX('Budget by Source'!$A$6:$I$332,MATCH('Payment by Source'!$A170,'Budget by Source'!$A$6:$A$332,0),MATCH(U$3,'Budget by Source'!$A$5:$I$5,0))</f>
        <v>3608089</v>
      </c>
      <c r="V170" s="152">
        <f t="shared" si="7"/>
        <v>360809</v>
      </c>
      <c r="W170" s="152">
        <f t="shared" si="8"/>
        <v>3608090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88927</v>
      </c>
      <c r="D171" s="22">
        <f>IF(Notes!$B$2="June",ROUND('Budget by Source'!D171/10,0)+Q171,ROUND('Budget by Source'!D171/10,0))</f>
        <v>453523</v>
      </c>
      <c r="E171" s="22">
        <f>IF(Notes!$B$2="June",ROUND('Budget by Source'!E171/10,0)+R171,ROUND('Budget by Source'!E171/10,0))</f>
        <v>50516</v>
      </c>
      <c r="F171" s="22">
        <f>IF(Notes!$B$2="June",ROUND('Budget by Source'!F171/10,0)+S171,ROUND('Budget by Source'!F171/10,0))</f>
        <v>50743</v>
      </c>
      <c r="G171" s="22">
        <f>IF(Notes!$B$2="June",ROUND('Budget by Source'!G171/10,0)+T171,ROUND('Budget by Source'!G171/10,0))</f>
        <v>271187</v>
      </c>
      <c r="H171" s="22">
        <f t="shared" si="6"/>
        <v>4314251</v>
      </c>
      <c r="I171" s="22">
        <f>INDEX(Data[],MATCH($A171,Data[Dist],0),MATCH(I$5,Data[#Headers],0))</f>
        <v>5229147</v>
      </c>
      <c r="K171" s="69">
        <f>INDEX('Payment Total'!$A$7:$H$333,MATCH('Payment by Source'!$A171,'Payment Total'!$A$7:$A$333,0),3)-I171</f>
        <v>0</v>
      </c>
      <c r="P171" s="154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4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-4</v>
      </c>
      <c r="R171" s="154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0</v>
      </c>
      <c r="S171" s="154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4</v>
      </c>
      <c r="T171" s="154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4</v>
      </c>
      <c r="U171" s="155">
        <f>INDEX('Budget by Source'!$A$6:$I$332,MATCH('Payment by Source'!$A171,'Budget by Source'!$A$6:$A$332,0),MATCH(U$3,'Budget by Source'!$A$5:$I$5,0))</f>
        <v>43142510</v>
      </c>
      <c r="V171" s="152">
        <f t="shared" si="7"/>
        <v>4314251</v>
      </c>
      <c r="W171" s="152">
        <f t="shared" si="8"/>
        <v>43142510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19188</v>
      </c>
      <c r="D172" s="22">
        <f>IF(Notes!$B$2="June",ROUND('Budget by Source'!D172/10,0)+Q172,ROUND('Budget by Source'!D172/10,0))</f>
        <v>39757</v>
      </c>
      <c r="E172" s="22">
        <f>IF(Notes!$B$2="June",ROUND('Budget by Source'!E172/10,0)+R172,ROUND('Budget by Source'!E172/10,0))</f>
        <v>3972</v>
      </c>
      <c r="F172" s="22">
        <f>IF(Notes!$B$2="June",ROUND('Budget by Source'!F172/10,0)+S172,ROUND('Budget by Source'!F172/10,0))</f>
        <v>3996</v>
      </c>
      <c r="G172" s="22">
        <f>IF(Notes!$B$2="June",ROUND('Budget by Source'!G172/10,0)+T172,ROUND('Budget by Source'!G172/10,0))</f>
        <v>23568</v>
      </c>
      <c r="H172" s="22">
        <f t="shared" si="6"/>
        <v>383725</v>
      </c>
      <c r="I172" s="22">
        <f>INDEX(Data[],MATCH($A172,Data[Dist],0),MATCH(I$5,Data[#Headers],0))</f>
        <v>474206</v>
      </c>
      <c r="K172" s="69">
        <f>INDEX('Payment Total'!$A$7:$H$333,MATCH('Payment by Source'!$A172,'Payment Total'!$A$7:$A$333,0),3)-I172</f>
        <v>0</v>
      </c>
      <c r="P172" s="154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-4</v>
      </c>
      <c r="Q172" s="154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4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4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-3</v>
      </c>
      <c r="T172" s="154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3</v>
      </c>
      <c r="U172" s="155">
        <f>INDEX('Budget by Source'!$A$6:$I$332,MATCH('Payment by Source'!$A172,'Budget by Source'!$A$6:$A$332,0),MATCH(U$3,'Budget by Source'!$A$5:$I$5,0))</f>
        <v>3837255</v>
      </c>
      <c r="V172" s="152">
        <f t="shared" si="7"/>
        <v>383726</v>
      </c>
      <c r="W172" s="152">
        <f t="shared" si="8"/>
        <v>3837260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17343</v>
      </c>
      <c r="D173" s="22">
        <f>IF(Notes!$B$2="June",ROUND('Budget by Source'!D173/10,0)+Q173,ROUND('Budget by Source'!D173/10,0))</f>
        <v>36765</v>
      </c>
      <c r="E173" s="22">
        <f>IF(Notes!$B$2="June",ROUND('Budget by Source'!E173/10,0)+R173,ROUND('Budget by Source'!E173/10,0))</f>
        <v>4200</v>
      </c>
      <c r="F173" s="22">
        <f>IF(Notes!$B$2="June",ROUND('Budget by Source'!F173/10,0)+S173,ROUND('Budget by Source'!F173/10,0))</f>
        <v>4105</v>
      </c>
      <c r="G173" s="22">
        <f>IF(Notes!$B$2="June",ROUND('Budget by Source'!G173/10,0)+T173,ROUND('Budget by Source'!G173/10,0))</f>
        <v>20563</v>
      </c>
      <c r="H173" s="22">
        <f t="shared" si="6"/>
        <v>299947</v>
      </c>
      <c r="I173" s="22">
        <f>INDEX(Data[],MATCH($A173,Data[Dist],0),MATCH(I$5,Data[#Headers],0))</f>
        <v>382923</v>
      </c>
      <c r="K173" s="69">
        <f>INDEX('Payment Total'!$A$7:$H$333,MATCH('Payment by Source'!$A173,'Payment Total'!$A$7:$A$333,0),3)-I173</f>
        <v>0</v>
      </c>
      <c r="P173" s="154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-3</v>
      </c>
      <c r="Q173" s="154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-3</v>
      </c>
      <c r="R173" s="154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-1</v>
      </c>
      <c r="S173" s="154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1</v>
      </c>
      <c r="T173" s="154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-2</v>
      </c>
      <c r="U173" s="155">
        <f>INDEX('Budget by Source'!$A$6:$I$332,MATCH('Payment by Source'!$A173,'Budget by Source'!$A$6:$A$332,0),MATCH(U$3,'Budget by Source'!$A$5:$I$5,0))</f>
        <v>2999482</v>
      </c>
      <c r="V173" s="152">
        <f t="shared" si="7"/>
        <v>299948</v>
      </c>
      <c r="W173" s="152">
        <f t="shared" si="8"/>
        <v>2999480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10332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150192</v>
      </c>
      <c r="I174" s="22">
        <f>INDEX(Data[],MATCH($A174,Data[Dist],0),MATCH(I$5,Data[#Headers],0))</f>
        <v>204656</v>
      </c>
      <c r="K174" s="69">
        <f>INDEX('Payment Total'!$A$7:$H$333,MATCH('Payment by Source'!$A174,'Payment Total'!$A$7:$A$333,0),3)-I174</f>
        <v>0</v>
      </c>
      <c r="P174" s="154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-2</v>
      </c>
      <c r="Q174" s="154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4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4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4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5">
        <f>INDEX('Budget by Source'!$A$6:$I$332,MATCH('Payment by Source'!$A174,'Budget by Source'!$A$6:$A$332,0),MATCH(U$3,'Budget by Source'!$A$5:$I$5,0))</f>
        <v>1501910</v>
      </c>
      <c r="V174" s="152">
        <f t="shared" si="7"/>
        <v>150191</v>
      </c>
      <c r="W174" s="152">
        <f t="shared" si="8"/>
        <v>1501910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17343</v>
      </c>
      <c r="D175" s="22">
        <f>IF(Notes!$B$2="June",ROUND('Budget by Source'!D175/10,0)+Q175,ROUND('Budget by Source'!D175/10,0))</f>
        <v>47425</v>
      </c>
      <c r="E175" s="22">
        <f>IF(Notes!$B$2="June",ROUND('Budget by Source'!E175/10,0)+R175,ROUND('Budget by Source'!E175/10,0))</f>
        <v>5086</v>
      </c>
      <c r="F175" s="22">
        <f>IF(Notes!$B$2="June",ROUND('Budget by Source'!F175/10,0)+S175,ROUND('Budget by Source'!F175/10,0))</f>
        <v>5482</v>
      </c>
      <c r="G175" s="22">
        <f>IF(Notes!$B$2="June",ROUND('Budget by Source'!G175/10,0)+T175,ROUND('Budget by Source'!G175/10,0))</f>
        <v>24778</v>
      </c>
      <c r="H175" s="22">
        <f t="shared" si="6"/>
        <v>362568</v>
      </c>
      <c r="I175" s="22">
        <f>INDEX(Data[],MATCH($A175,Data[Dist],0),MATCH(I$5,Data[#Headers],0))</f>
        <v>462682</v>
      </c>
      <c r="K175" s="69">
        <f>INDEX('Payment Total'!$A$7:$H$333,MATCH('Payment by Source'!$A175,'Payment Total'!$A$7:$A$333,0),3)-I175</f>
        <v>0</v>
      </c>
      <c r="P175" s="154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-3</v>
      </c>
      <c r="Q175" s="154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-5</v>
      </c>
      <c r="R175" s="154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4</v>
      </c>
      <c r="S175" s="154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-2</v>
      </c>
      <c r="T175" s="154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-3</v>
      </c>
      <c r="U175" s="155">
        <f>INDEX('Budget by Source'!$A$6:$I$332,MATCH('Payment by Source'!$A175,'Budget by Source'!$A$6:$A$332,0),MATCH(U$3,'Budget by Source'!$A$5:$I$5,0))</f>
        <v>3625685</v>
      </c>
      <c r="V175" s="152">
        <f t="shared" si="7"/>
        <v>362569</v>
      </c>
      <c r="W175" s="152">
        <f t="shared" si="8"/>
        <v>3625690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369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284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10125</v>
      </c>
      <c r="I176" s="22">
        <f>INDEX(Data[],MATCH($A176,Data[Dist],0),MATCH(I$5,Data[#Headers],0))</f>
        <v>28576</v>
      </c>
      <c r="K176" s="69">
        <f>INDEX('Payment Total'!$A$7:$H$333,MATCH('Payment by Source'!$A176,'Payment Total'!$A$7:$A$333,0),3)-I176</f>
        <v>0</v>
      </c>
      <c r="P176" s="154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0</v>
      </c>
      <c r="Q176" s="154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4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1</v>
      </c>
      <c r="S176" s="154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4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5">
        <f>INDEX('Budget by Source'!$A$6:$I$332,MATCH('Payment by Source'!$A176,'Budget by Source'!$A$6:$A$332,0),MATCH(U$3,'Budget by Source'!$A$5:$I$5,0))</f>
        <v>101254</v>
      </c>
      <c r="V176" s="152">
        <f t="shared" si="7"/>
        <v>10125</v>
      </c>
      <c r="W176" s="152">
        <f t="shared" si="8"/>
        <v>101250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14014</v>
      </c>
      <c r="D177" s="22">
        <f>IF(Notes!$B$2="June",ROUND('Budget by Source'!D177/10,0)+Q177,ROUND('Budget by Source'!D177/10,0))</f>
        <v>29200</v>
      </c>
      <c r="E177" s="22">
        <f>IF(Notes!$B$2="June",ROUND('Budget by Source'!E177/10,0)+R177,ROUND('Budget by Source'!E177/10,0))</f>
        <v>3008</v>
      </c>
      <c r="F177" s="22">
        <f>IF(Notes!$B$2="June",ROUND('Budget by Source'!F177/10,0)+S177,ROUND('Budget by Source'!F177/10,0))</f>
        <v>2961</v>
      </c>
      <c r="G177" s="22">
        <f>IF(Notes!$B$2="June",ROUND('Budget by Source'!G177/10,0)+T177,ROUND('Budget by Source'!G177/10,0))</f>
        <v>16130</v>
      </c>
      <c r="H177" s="22">
        <f t="shared" si="6"/>
        <v>213312</v>
      </c>
      <c r="I177" s="22">
        <f>INDEX(Data[],MATCH($A177,Data[Dist],0),MATCH(I$5,Data[#Headers],0))</f>
        <v>278625</v>
      </c>
      <c r="K177" s="69">
        <f>INDEX('Payment Total'!$A$7:$H$333,MATCH('Payment by Source'!$A177,'Payment Total'!$A$7:$A$333,0),3)-I177</f>
        <v>0</v>
      </c>
      <c r="P177" s="154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1</v>
      </c>
      <c r="Q177" s="154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-3</v>
      </c>
      <c r="R177" s="154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2</v>
      </c>
      <c r="S177" s="154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-1</v>
      </c>
      <c r="T177" s="154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-4</v>
      </c>
      <c r="U177" s="155">
        <f>INDEX('Budget by Source'!$A$6:$I$332,MATCH('Payment by Source'!$A177,'Budget by Source'!$A$6:$A$332,0),MATCH(U$3,'Budget by Source'!$A$5:$I$5,0))</f>
        <v>2133122</v>
      </c>
      <c r="V177" s="152">
        <f t="shared" si="7"/>
        <v>213312</v>
      </c>
      <c r="W177" s="152">
        <f t="shared" si="8"/>
        <v>2133120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11808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406029</v>
      </c>
      <c r="I178" s="22">
        <f>INDEX(Data[],MATCH($A178,Data[Dist],0),MATCH(I$5,Data[#Headers],0))</f>
        <v>492275</v>
      </c>
      <c r="K178" s="69">
        <f>INDEX('Payment Total'!$A$7:$H$333,MATCH('Payment by Source'!$A178,'Payment Total'!$A$7:$A$333,0),3)-I178</f>
        <v>0</v>
      </c>
      <c r="P178" s="154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-3</v>
      </c>
      <c r="Q178" s="154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4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4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4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5">
        <f>INDEX('Budget by Source'!$A$6:$I$332,MATCH('Payment by Source'!$A178,'Budget by Source'!$A$6:$A$332,0),MATCH(U$3,'Budget by Source'!$A$5:$I$5,0))</f>
        <v>4060298</v>
      </c>
      <c r="V178" s="152">
        <f t="shared" si="7"/>
        <v>406030</v>
      </c>
      <c r="W178" s="152">
        <f t="shared" si="8"/>
        <v>4060300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7380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234933</v>
      </c>
      <c r="I179" s="22">
        <f>INDEX(Data[],MATCH($A179,Data[Dist],0),MATCH(I$5,Data[#Headers],0))</f>
        <v>306151</v>
      </c>
      <c r="K179" s="69">
        <f>INDEX('Payment Total'!$A$7:$H$333,MATCH('Payment by Source'!$A179,'Payment Total'!$A$7:$A$333,0),3)-I179</f>
        <v>0</v>
      </c>
      <c r="P179" s="154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-2</v>
      </c>
      <c r="Q179" s="154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4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4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4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5">
        <f>INDEX('Budget by Source'!$A$6:$I$332,MATCH('Payment by Source'!$A179,'Budget by Source'!$A$6:$A$332,0),MATCH(U$3,'Budget by Source'!$A$5:$I$5,0))</f>
        <v>2349339</v>
      </c>
      <c r="V179" s="152">
        <f t="shared" si="7"/>
        <v>234934</v>
      </c>
      <c r="W179" s="152">
        <f t="shared" si="8"/>
        <v>2349340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13653</v>
      </c>
      <c r="D180" s="22">
        <f>IF(Notes!$B$2="June",ROUND('Budget by Source'!D180/10,0)+Q180,ROUND('Budget by Source'!D180/10,0))</f>
        <v>43446</v>
      </c>
      <c r="E180" s="22">
        <f>IF(Notes!$B$2="June",ROUND('Budget by Source'!E180/10,0)+R180,ROUND('Budget by Source'!E180/10,0))</f>
        <v>3925</v>
      </c>
      <c r="F180" s="22">
        <f>IF(Notes!$B$2="June",ROUND('Budget by Source'!F180/10,0)+S180,ROUND('Budget by Source'!F180/10,0))</f>
        <v>4731</v>
      </c>
      <c r="G180" s="22">
        <f>IF(Notes!$B$2="June",ROUND('Budget by Source'!G180/10,0)+T180,ROUND('Budget by Source'!G180/10,0))</f>
        <v>23271</v>
      </c>
      <c r="H180" s="22">
        <f t="shared" si="6"/>
        <v>246232</v>
      </c>
      <c r="I180" s="22">
        <f>INDEX(Data[],MATCH($A180,Data[Dist],0),MATCH(I$5,Data[#Headers],0))</f>
        <v>335258</v>
      </c>
      <c r="K180" s="69">
        <f>INDEX('Payment Total'!$A$7:$H$333,MATCH('Payment by Source'!$A180,'Payment Total'!$A$7:$A$333,0),3)-I180</f>
        <v>0</v>
      </c>
      <c r="P180" s="154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-3</v>
      </c>
      <c r="Q180" s="154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1</v>
      </c>
      <c r="R180" s="154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-5</v>
      </c>
      <c r="S180" s="154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0</v>
      </c>
      <c r="T180" s="154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3</v>
      </c>
      <c r="U180" s="155">
        <f>INDEX('Budget by Source'!$A$6:$I$332,MATCH('Payment by Source'!$A180,'Budget by Source'!$A$6:$A$332,0),MATCH(U$3,'Budget by Source'!$A$5:$I$5,0))</f>
        <v>2462319</v>
      </c>
      <c r="V180" s="152">
        <f t="shared" si="7"/>
        <v>246232</v>
      </c>
      <c r="W180" s="152">
        <f t="shared" si="8"/>
        <v>2462320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14022</v>
      </c>
      <c r="D181" s="22">
        <f>IF(Notes!$B$2="June",ROUND('Budget by Source'!D181/10,0)+Q181,ROUND('Budget by Source'!D181/10,0))</f>
        <v>39569</v>
      </c>
      <c r="E181" s="22">
        <f>IF(Notes!$B$2="June",ROUND('Budget by Source'!E181/10,0)+R181,ROUND('Budget by Source'!E181/10,0))</f>
        <v>4024</v>
      </c>
      <c r="F181" s="22">
        <f>IF(Notes!$B$2="June",ROUND('Budget by Source'!F181/10,0)+S181,ROUND('Budget by Source'!F181/10,0))</f>
        <v>4175</v>
      </c>
      <c r="G181" s="22">
        <f>IF(Notes!$B$2="June",ROUND('Budget by Source'!G181/10,0)+T181,ROUND('Budget by Source'!G181/10,0))</f>
        <v>21887</v>
      </c>
      <c r="H181" s="22">
        <f t="shared" si="6"/>
        <v>243311</v>
      </c>
      <c r="I181" s="22">
        <f>INDEX(Data[],MATCH($A181,Data[Dist],0),MATCH(I$5,Data[#Headers],0))</f>
        <v>326988</v>
      </c>
      <c r="K181" s="69">
        <f>INDEX('Payment Total'!$A$7:$H$333,MATCH('Payment by Source'!$A181,'Payment Total'!$A$7:$A$333,0),3)-I181</f>
        <v>0</v>
      </c>
      <c r="P181" s="154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-3</v>
      </c>
      <c r="Q181" s="154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0</v>
      </c>
      <c r="R181" s="154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-2</v>
      </c>
      <c r="S181" s="154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-1</v>
      </c>
      <c r="T181" s="154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-4</v>
      </c>
      <c r="U181" s="155">
        <f>INDEX('Budget by Source'!$A$6:$I$332,MATCH('Payment by Source'!$A181,'Budget by Source'!$A$6:$A$332,0),MATCH(U$3,'Budget by Source'!$A$5:$I$5,0))</f>
        <v>2433117</v>
      </c>
      <c r="V181" s="152">
        <f t="shared" si="7"/>
        <v>243312</v>
      </c>
      <c r="W181" s="152">
        <f t="shared" si="8"/>
        <v>2433120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27674</v>
      </c>
      <c r="D182" s="22">
        <f>IF(Notes!$B$2="June",ROUND('Budget by Source'!D182/10,0)+Q182,ROUND('Budget by Source'!D182/10,0))</f>
        <v>83056</v>
      </c>
      <c r="E182" s="22">
        <f>IF(Notes!$B$2="June",ROUND('Budget by Source'!E182/10,0)+R182,ROUND('Budget by Source'!E182/10,0))</f>
        <v>9989</v>
      </c>
      <c r="F182" s="22">
        <f>IF(Notes!$B$2="June",ROUND('Budget by Source'!F182/10,0)+S182,ROUND('Budget by Source'!F182/10,0))</f>
        <v>9681</v>
      </c>
      <c r="G182" s="22">
        <f>IF(Notes!$B$2="June",ROUND('Budget by Source'!G182/10,0)+T182,ROUND('Budget by Source'!G182/10,0))</f>
        <v>44553</v>
      </c>
      <c r="H182" s="22">
        <f t="shared" si="6"/>
        <v>808594</v>
      </c>
      <c r="I182" s="22">
        <f>INDEX(Data[],MATCH($A182,Data[Dist],0),MATCH(I$5,Data[#Headers],0))</f>
        <v>983547</v>
      </c>
      <c r="K182" s="69">
        <f>INDEX('Payment Total'!$A$7:$H$333,MATCH('Payment by Source'!$A182,'Payment Total'!$A$7:$A$333,0),3)-I182</f>
        <v>0</v>
      </c>
      <c r="P182" s="154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4</v>
      </c>
      <c r="Q182" s="154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1</v>
      </c>
      <c r="R182" s="154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0</v>
      </c>
      <c r="S182" s="154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4</v>
      </c>
      <c r="T182" s="154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5">
        <f>INDEX('Budget by Source'!$A$6:$I$332,MATCH('Payment by Source'!$A182,'Budget by Source'!$A$6:$A$332,0),MATCH(U$3,'Budget by Source'!$A$5:$I$5,0))</f>
        <v>8085926</v>
      </c>
      <c r="V182" s="152">
        <f t="shared" si="7"/>
        <v>808593</v>
      </c>
      <c r="W182" s="152">
        <f t="shared" si="8"/>
        <v>8085930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11808</v>
      </c>
      <c r="D183" s="22">
        <f>IF(Notes!$B$2="June",ROUND('Budget by Source'!D183/10,0)+Q183,ROUND('Budget by Source'!D183/10,0))</f>
        <v>43937</v>
      </c>
      <c r="E183" s="22">
        <f>IF(Notes!$B$2="June",ROUND('Budget by Source'!E183/10,0)+R183,ROUND('Budget by Source'!E183/10,0))</f>
        <v>4780</v>
      </c>
      <c r="F183" s="22">
        <f>IF(Notes!$B$2="June",ROUND('Budget by Source'!F183/10,0)+S183,ROUND('Budget by Source'!F183/10,0))</f>
        <v>4856</v>
      </c>
      <c r="G183" s="22">
        <f>IF(Notes!$B$2="June",ROUND('Budget by Source'!G183/10,0)+T183,ROUND('Budget by Source'!G183/10,0))</f>
        <v>24245</v>
      </c>
      <c r="H183" s="22">
        <f t="shared" si="6"/>
        <v>277540</v>
      </c>
      <c r="I183" s="22">
        <f>INDEX(Data[],MATCH($A183,Data[Dist],0),MATCH(I$5,Data[#Headers],0))</f>
        <v>367166</v>
      </c>
      <c r="K183" s="69">
        <f>INDEX('Payment Total'!$A$7:$H$333,MATCH('Payment by Source'!$A183,'Payment Total'!$A$7:$A$333,0),3)-I183</f>
        <v>0</v>
      </c>
      <c r="P183" s="154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4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-1</v>
      </c>
      <c r="R183" s="154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-2</v>
      </c>
      <c r="S183" s="154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4</v>
      </c>
      <c r="T183" s="154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-5</v>
      </c>
      <c r="U183" s="155">
        <f>INDEX('Budget by Source'!$A$6:$I$332,MATCH('Payment by Source'!$A183,'Budget by Source'!$A$6:$A$332,0),MATCH(U$3,'Budget by Source'!$A$5:$I$5,0))</f>
        <v>2775407</v>
      </c>
      <c r="V183" s="152">
        <f t="shared" si="7"/>
        <v>277541</v>
      </c>
      <c r="W183" s="152">
        <f t="shared" si="8"/>
        <v>2775410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9963</v>
      </c>
      <c r="D184" s="22">
        <f>IF(Notes!$B$2="June",ROUND('Budget by Source'!D184/10,0)+Q184,ROUND('Budget by Source'!D184/10,0))</f>
        <v>30478</v>
      </c>
      <c r="E184" s="22">
        <f>IF(Notes!$B$2="June",ROUND('Budget by Source'!E184/10,0)+R184,ROUND('Budget by Source'!E184/10,0))</f>
        <v>2593</v>
      </c>
      <c r="F184" s="22">
        <f>IF(Notes!$B$2="June",ROUND('Budget by Source'!F184/10,0)+S184,ROUND('Budget by Source'!F184/10,0))</f>
        <v>3242</v>
      </c>
      <c r="G184" s="22">
        <f>IF(Notes!$B$2="June",ROUND('Budget by Source'!G184/10,0)+T184,ROUND('Budget by Source'!G184/10,0))</f>
        <v>16180</v>
      </c>
      <c r="H184" s="22">
        <f t="shared" si="6"/>
        <v>139962</v>
      </c>
      <c r="I184" s="22">
        <f>INDEX(Data[],MATCH($A184,Data[Dist],0),MATCH(I$5,Data[#Headers],0))</f>
        <v>202418</v>
      </c>
      <c r="K184" s="69">
        <f>INDEX('Payment Total'!$A$7:$H$333,MATCH('Payment by Source'!$A184,'Payment Total'!$A$7:$A$333,0),3)-I184</f>
        <v>0</v>
      </c>
      <c r="P184" s="154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-2</v>
      </c>
      <c r="Q184" s="154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-2</v>
      </c>
      <c r="R184" s="154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4</v>
      </c>
      <c r="S184" s="154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3</v>
      </c>
      <c r="T184" s="154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-3</v>
      </c>
      <c r="U184" s="155">
        <f>INDEX('Budget by Source'!$A$6:$I$332,MATCH('Payment by Source'!$A184,'Budget by Source'!$A$6:$A$332,0),MATCH(U$3,'Budget by Source'!$A$5:$I$5,0))</f>
        <v>1399617</v>
      </c>
      <c r="V184" s="152">
        <f t="shared" si="7"/>
        <v>139962</v>
      </c>
      <c r="W184" s="152">
        <f t="shared" si="8"/>
        <v>1399620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37637</v>
      </c>
      <c r="D185" s="22">
        <f>IF(Notes!$B$2="June",ROUND('Budget by Source'!D185/10,0)+Q185,ROUND('Budget by Source'!D185/10,0))</f>
        <v>122326</v>
      </c>
      <c r="E185" s="22">
        <f>IF(Notes!$B$2="June",ROUND('Budget by Source'!E185/10,0)+R185,ROUND('Budget by Source'!E185/10,0))</f>
        <v>14995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66816</v>
      </c>
      <c r="H185" s="22">
        <f t="shared" si="6"/>
        <v>1195112</v>
      </c>
      <c r="I185" s="22">
        <f>INDEX(Data[],MATCH($A185,Data[Dist],0),MATCH(I$5,Data[#Headers],0))</f>
        <v>1451540</v>
      </c>
      <c r="K185" s="69">
        <f>INDEX('Payment Total'!$A$7:$H$333,MATCH('Payment by Source'!$A185,'Payment Total'!$A$7:$A$333,0),3)-I185</f>
        <v>0</v>
      </c>
      <c r="P185" s="154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1</v>
      </c>
      <c r="Q185" s="154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-1</v>
      </c>
      <c r="R185" s="154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2</v>
      </c>
      <c r="S185" s="154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4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-4</v>
      </c>
      <c r="U185" s="155">
        <f>INDEX('Budget by Source'!$A$6:$I$332,MATCH('Payment by Source'!$A185,'Budget by Source'!$A$6:$A$332,0),MATCH(U$3,'Budget by Source'!$A$5:$I$5,0))</f>
        <v>11951116</v>
      </c>
      <c r="V185" s="152">
        <f t="shared" si="7"/>
        <v>1195112</v>
      </c>
      <c r="W185" s="152">
        <f t="shared" si="8"/>
        <v>11951120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97783</v>
      </c>
      <c r="D186" s="22">
        <f>IF(Notes!$B$2="June",ROUND('Budget by Source'!D186/10,0)+Q186,ROUND('Budget by Source'!D186/10,0))</f>
        <v>326344</v>
      </c>
      <c r="E186" s="22">
        <f>IF(Notes!$B$2="June",ROUND('Budget by Source'!E186/10,0)+R186,ROUND('Budget by Source'!E186/10,0))</f>
        <v>49712</v>
      </c>
      <c r="F186" s="22">
        <f>IF(Notes!$B$2="June",ROUND('Budget by Source'!F186/10,0)+S186,ROUND('Budget by Source'!F186/10,0))</f>
        <v>36584</v>
      </c>
      <c r="G186" s="22">
        <f>IF(Notes!$B$2="June",ROUND('Budget by Source'!G186/10,0)+T186,ROUND('Budget by Source'!G186/10,0))</f>
        <v>189183</v>
      </c>
      <c r="H186" s="22">
        <f t="shared" si="6"/>
        <v>3707351</v>
      </c>
      <c r="I186" s="22">
        <f>INDEX(Data[],MATCH($A186,Data[Dist],0),MATCH(I$5,Data[#Headers],0))</f>
        <v>4406957</v>
      </c>
      <c r="K186" s="69">
        <f>INDEX('Payment Total'!$A$7:$H$333,MATCH('Payment by Source'!$A186,'Payment Total'!$A$7:$A$333,0),3)-I186</f>
        <v>0</v>
      </c>
      <c r="P186" s="154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-2</v>
      </c>
      <c r="Q186" s="154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-4</v>
      </c>
      <c r="R186" s="154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1</v>
      </c>
      <c r="S186" s="154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-5</v>
      </c>
      <c r="T186" s="154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2</v>
      </c>
      <c r="U186" s="155">
        <f>INDEX('Budget by Source'!$A$6:$I$332,MATCH('Payment by Source'!$A186,'Budget by Source'!$A$6:$A$332,0),MATCH(U$3,'Budget by Source'!$A$5:$I$5,0))</f>
        <v>37073521</v>
      </c>
      <c r="V186" s="152">
        <f t="shared" si="7"/>
        <v>3707352</v>
      </c>
      <c r="W186" s="152">
        <f t="shared" si="8"/>
        <v>37073520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8118</v>
      </c>
      <c r="D187" s="22">
        <f>IF(Notes!$B$2="June",ROUND('Budget by Source'!D187/10,0)+Q187,ROUND('Budget by Source'!D187/10,0))</f>
        <v>32116</v>
      </c>
      <c r="E187" s="22">
        <f>IF(Notes!$B$2="June",ROUND('Budget by Source'!E187/10,0)+R187,ROUND('Budget by Source'!E187/10,0))</f>
        <v>3537</v>
      </c>
      <c r="F187" s="22">
        <f>IF(Notes!$B$2="June",ROUND('Budget by Source'!F187/10,0)+S187,ROUND('Budget by Source'!F187/10,0))</f>
        <v>3130</v>
      </c>
      <c r="G187" s="22">
        <f>IF(Notes!$B$2="June",ROUND('Budget by Source'!G187/10,0)+T187,ROUND('Budget by Source'!G187/10,0))</f>
        <v>18141</v>
      </c>
      <c r="H187" s="22">
        <f t="shared" si="6"/>
        <v>248216</v>
      </c>
      <c r="I187" s="22">
        <f>INDEX(Data[],MATCH($A187,Data[Dist],0),MATCH(I$5,Data[#Headers],0))</f>
        <v>313258</v>
      </c>
      <c r="K187" s="69">
        <f>INDEX('Payment Total'!$A$7:$H$333,MATCH('Payment by Source'!$A187,'Payment Total'!$A$7:$A$333,0),3)-I187</f>
        <v>0</v>
      </c>
      <c r="P187" s="154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-2</v>
      </c>
      <c r="Q187" s="154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-1</v>
      </c>
      <c r="R187" s="154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3</v>
      </c>
      <c r="S187" s="154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2</v>
      </c>
      <c r="T187" s="154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-5</v>
      </c>
      <c r="U187" s="155">
        <f>INDEX('Budget by Source'!$A$6:$I$332,MATCH('Payment by Source'!$A187,'Budget by Source'!$A$6:$A$332,0),MATCH(U$3,'Budget by Source'!$A$5:$I$5,0))</f>
        <v>2482162</v>
      </c>
      <c r="V187" s="152">
        <f t="shared" si="7"/>
        <v>248216</v>
      </c>
      <c r="W187" s="152">
        <f t="shared" si="8"/>
        <v>2482160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61991</v>
      </c>
      <c r="D188" s="22">
        <f>IF(Notes!$B$2="June",ROUND('Budget by Source'!D188/10,0)+Q188,ROUND('Budget by Source'!D188/10,0))</f>
        <v>212167</v>
      </c>
      <c r="E188" s="22">
        <f>IF(Notes!$B$2="June",ROUND('Budget by Source'!E188/10,0)+R188,ROUND('Budget by Source'!E188/10,0))</f>
        <v>28357</v>
      </c>
      <c r="F188" s="22">
        <f>IF(Notes!$B$2="June",ROUND('Budget by Source'!F188/10,0)+S188,ROUND('Budget by Source'!F188/10,0))</f>
        <v>25114</v>
      </c>
      <c r="G188" s="22">
        <f>IF(Notes!$B$2="June",ROUND('Budget by Source'!G188/10,0)+T188,ROUND('Budget by Source'!G188/10,0))</f>
        <v>121962</v>
      </c>
      <c r="H188" s="22">
        <f t="shared" si="6"/>
        <v>1904292</v>
      </c>
      <c r="I188" s="22">
        <f>INDEX(Data[],MATCH($A188,Data[Dist],0),MATCH(I$5,Data[#Headers],0))</f>
        <v>2353883</v>
      </c>
      <c r="K188" s="69">
        <f>INDEX('Payment Total'!$A$7:$H$333,MATCH('Payment by Source'!$A188,'Payment Total'!$A$7:$A$333,0),3)-I188</f>
        <v>0</v>
      </c>
      <c r="P188" s="154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-4</v>
      </c>
      <c r="Q188" s="154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1</v>
      </c>
      <c r="R188" s="154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4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2</v>
      </c>
      <c r="T188" s="154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-4</v>
      </c>
      <c r="U188" s="155">
        <f>INDEX('Budget by Source'!$A$6:$I$332,MATCH('Payment by Source'!$A188,'Budget by Source'!$A$6:$A$332,0),MATCH(U$3,'Budget by Source'!$A$5:$I$5,0))</f>
        <v>19042929</v>
      </c>
      <c r="V188" s="152">
        <f t="shared" si="7"/>
        <v>1904293</v>
      </c>
      <c r="W188" s="152">
        <f t="shared" si="8"/>
        <v>19042930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23977</v>
      </c>
      <c r="D189" s="22">
        <f>IF(Notes!$B$2="June",ROUND('Budget by Source'!D189/10,0)+Q189,ROUND('Budget by Source'!D189/10,0))</f>
        <v>96157</v>
      </c>
      <c r="E189" s="22">
        <f>IF(Notes!$B$2="June",ROUND('Budget by Source'!E189/10,0)+R189,ROUND('Budget by Source'!E189/10,0))</f>
        <v>11152</v>
      </c>
      <c r="F189" s="22">
        <f>IF(Notes!$B$2="June",ROUND('Budget by Source'!F189/10,0)+S189,ROUND('Budget by Source'!F189/10,0))</f>
        <v>11445</v>
      </c>
      <c r="G189" s="22">
        <f>IF(Notes!$B$2="June",ROUND('Budget by Source'!G189/10,0)+T189,ROUND('Budget by Source'!G189/10,0))</f>
        <v>54915</v>
      </c>
      <c r="H189" s="22">
        <f t="shared" si="6"/>
        <v>756566</v>
      </c>
      <c r="I189" s="22">
        <f>INDEX(Data[],MATCH($A189,Data[Dist],0),MATCH(I$5,Data[#Headers],0))</f>
        <v>954212</v>
      </c>
      <c r="K189" s="69">
        <f>INDEX('Payment Total'!$A$7:$H$333,MATCH('Payment by Source'!$A189,'Payment Total'!$A$7:$A$333,0),3)-I189</f>
        <v>0</v>
      </c>
      <c r="P189" s="154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-1</v>
      </c>
      <c r="Q189" s="154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-2</v>
      </c>
      <c r="R189" s="154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-1</v>
      </c>
      <c r="S189" s="154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0</v>
      </c>
      <c r="T189" s="154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1</v>
      </c>
      <c r="U189" s="155">
        <f>INDEX('Budget by Source'!$A$6:$I$332,MATCH('Payment by Source'!$A189,'Budget by Source'!$A$6:$A$332,0),MATCH(U$3,'Budget by Source'!$A$5:$I$5,0))</f>
        <v>7565663</v>
      </c>
      <c r="V189" s="152">
        <f t="shared" si="7"/>
        <v>756566</v>
      </c>
      <c r="W189" s="152">
        <f t="shared" si="8"/>
        <v>7565660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55136</v>
      </c>
      <c r="E190" s="22">
        <f>IF(Notes!$B$2="June",ROUND('Budget by Source'!E190/10,0)+R190,ROUND('Budget by Source'!E190/10,0))</f>
        <v>5824</v>
      </c>
      <c r="F190" s="22">
        <f>IF(Notes!$B$2="June",ROUND('Budget by Source'!F190/10,0)+S190,ROUND('Budget by Source'!F190/10,0))</f>
        <v>5499</v>
      </c>
      <c r="G190" s="22">
        <f>IF(Notes!$B$2="June",ROUND('Budget by Source'!G190/10,0)+T190,ROUND('Budget by Source'!G190/10,0))</f>
        <v>30649</v>
      </c>
      <c r="H190" s="22">
        <f t="shared" si="6"/>
        <v>426306</v>
      </c>
      <c r="I190" s="22">
        <f>INDEX(Data[],MATCH($A190,Data[Dist],0),MATCH(I$5,Data[#Headers],0))</f>
        <v>523414</v>
      </c>
      <c r="K190" s="69">
        <f>INDEX('Payment Total'!$A$7:$H$333,MATCH('Payment by Source'!$A190,'Payment Total'!$A$7:$A$333,0),3)-I190</f>
        <v>0</v>
      </c>
      <c r="P190" s="154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4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-1</v>
      </c>
      <c r="R190" s="154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0</v>
      </c>
      <c r="S190" s="154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-5</v>
      </c>
      <c r="T190" s="154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1</v>
      </c>
      <c r="U190" s="155">
        <f>INDEX('Budget by Source'!$A$6:$I$332,MATCH('Payment by Source'!$A190,'Budget by Source'!$A$6:$A$332,0),MATCH(U$3,'Budget by Source'!$A$5:$I$5,0))</f>
        <v>4263068</v>
      </c>
      <c r="V190" s="152">
        <f t="shared" si="7"/>
        <v>426307</v>
      </c>
      <c r="W190" s="152">
        <f t="shared" si="8"/>
        <v>4263070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5927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206252</v>
      </c>
      <c r="I191" s="22">
        <f>INDEX(Data[],MATCH($A191,Data[Dist],0),MATCH(I$5,Data[#Headers],0))</f>
        <v>252226</v>
      </c>
      <c r="K191" s="69">
        <f>INDEX('Payment Total'!$A$7:$H$333,MATCH('Payment by Source'!$A191,'Payment Total'!$A$7:$A$333,0),3)-I191</f>
        <v>0</v>
      </c>
      <c r="P191" s="154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-2</v>
      </c>
      <c r="Q191" s="154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4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4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4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-4</v>
      </c>
      <c r="U191" s="155">
        <f>INDEX('Budget by Source'!$A$6:$I$332,MATCH('Payment by Source'!$A191,'Budget by Source'!$A$6:$A$332,0),MATCH(U$3,'Budget by Source'!$A$5:$I$5,0))</f>
        <v>2062529</v>
      </c>
      <c r="V191" s="152">
        <f t="shared" si="7"/>
        <v>206253</v>
      </c>
      <c r="W191" s="152">
        <f t="shared" si="8"/>
        <v>2062530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10701</v>
      </c>
      <c r="D192" s="22">
        <f>IF(Notes!$B$2="June",ROUND('Budget by Source'!D192/10,0)+Q192,ROUND('Budget by Source'!D192/10,0))</f>
        <v>35085</v>
      </c>
      <c r="E192" s="22">
        <f>IF(Notes!$B$2="June",ROUND('Budget by Source'!E192/10,0)+R192,ROUND('Budget by Source'!E192/10,0))</f>
        <v>3751</v>
      </c>
      <c r="F192" s="22">
        <f>IF(Notes!$B$2="June",ROUND('Budget by Source'!F192/10,0)+S192,ROUND('Budget by Source'!F192/10,0))</f>
        <v>3529</v>
      </c>
      <c r="G192" s="22">
        <f>IF(Notes!$B$2="June",ROUND('Budget by Source'!G192/10,0)+T192,ROUND('Budget by Source'!G192/10,0))</f>
        <v>18409</v>
      </c>
      <c r="H192" s="22">
        <f t="shared" si="6"/>
        <v>255622</v>
      </c>
      <c r="I192" s="22">
        <f>INDEX(Data[],MATCH($A192,Data[Dist],0),MATCH(I$5,Data[#Headers],0))</f>
        <v>327097</v>
      </c>
      <c r="K192" s="69">
        <f>INDEX('Payment Total'!$A$7:$H$333,MATCH('Payment by Source'!$A192,'Payment Total'!$A$7:$A$333,0),3)-I192</f>
        <v>0</v>
      </c>
      <c r="P192" s="154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-2</v>
      </c>
      <c r="Q192" s="154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-2</v>
      </c>
      <c r="R192" s="154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2</v>
      </c>
      <c r="S192" s="154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4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-2</v>
      </c>
      <c r="U192" s="155">
        <f>INDEX('Budget by Source'!$A$6:$I$332,MATCH('Payment by Source'!$A192,'Budget by Source'!$A$6:$A$332,0),MATCH(U$3,'Budget by Source'!$A$5:$I$5,0))</f>
        <v>2556219</v>
      </c>
      <c r="V192" s="152">
        <f t="shared" si="7"/>
        <v>255622</v>
      </c>
      <c r="W192" s="152">
        <f t="shared" si="8"/>
        <v>2556220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22509</v>
      </c>
      <c r="D193" s="22">
        <f>IF(Notes!$B$2="June",ROUND('Budget by Source'!D193/10,0)+Q193,ROUND('Budget by Source'!D193/10,0))</f>
        <v>82131</v>
      </c>
      <c r="E193" s="22">
        <f>IF(Notes!$B$2="June",ROUND('Budget by Source'!E193/10,0)+R193,ROUND('Budget by Source'!E193/10,0))</f>
        <v>9279</v>
      </c>
      <c r="F193" s="22">
        <f>IF(Notes!$B$2="June",ROUND('Budget by Source'!F193/10,0)+S193,ROUND('Budget by Source'!F193/10,0))</f>
        <v>8973</v>
      </c>
      <c r="G193" s="22">
        <f>IF(Notes!$B$2="June",ROUND('Budget by Source'!G193/10,0)+T193,ROUND('Budget by Source'!G193/10,0))</f>
        <v>45029</v>
      </c>
      <c r="H193" s="22">
        <f t="shared" si="6"/>
        <v>644622</v>
      </c>
      <c r="I193" s="22">
        <f>INDEX(Data[],MATCH($A193,Data[Dist],0),MATCH(I$5,Data[#Headers],0))</f>
        <v>812543</v>
      </c>
      <c r="K193" s="69">
        <f>INDEX('Payment Total'!$A$7:$H$333,MATCH('Payment by Source'!$A193,'Payment Total'!$A$7:$A$333,0),3)-I193</f>
        <v>0</v>
      </c>
      <c r="P193" s="154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-5</v>
      </c>
      <c r="Q193" s="154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0</v>
      </c>
      <c r="R193" s="154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-1</v>
      </c>
      <c r="S193" s="154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1</v>
      </c>
      <c r="T193" s="154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1</v>
      </c>
      <c r="U193" s="155">
        <f>INDEX('Budget by Source'!$A$6:$I$332,MATCH('Payment by Source'!$A193,'Budget by Source'!$A$6:$A$332,0),MATCH(U$3,'Budget by Source'!$A$5:$I$5,0))</f>
        <v>6446219</v>
      </c>
      <c r="V193" s="152">
        <f t="shared" si="7"/>
        <v>644622</v>
      </c>
      <c r="W193" s="152">
        <f t="shared" si="8"/>
        <v>6446220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14391</v>
      </c>
      <c r="D194" s="22">
        <f>IF(Notes!$B$2="June",ROUND('Budget by Source'!D194/10,0)+Q194,ROUND('Budget by Source'!D194/10,0))</f>
        <v>47244</v>
      </c>
      <c r="E194" s="22">
        <f>IF(Notes!$B$2="June",ROUND('Budget by Source'!E194/10,0)+R194,ROUND('Budget by Source'!E194/10,0))</f>
        <v>5581</v>
      </c>
      <c r="F194" s="22">
        <f>IF(Notes!$B$2="June",ROUND('Budget by Source'!F194/10,0)+S194,ROUND('Budget by Source'!F194/10,0))</f>
        <v>4771</v>
      </c>
      <c r="G194" s="22">
        <f>IF(Notes!$B$2="June",ROUND('Budget by Source'!G194/10,0)+T194,ROUND('Budget by Source'!G194/10,0))</f>
        <v>27633</v>
      </c>
      <c r="H194" s="22">
        <f t="shared" si="6"/>
        <v>413718</v>
      </c>
      <c r="I194" s="22">
        <f>INDEX(Data[],MATCH($A194,Data[Dist],0),MATCH(I$5,Data[#Headers],0))</f>
        <v>513338</v>
      </c>
      <c r="K194" s="69">
        <f>INDEX('Payment Total'!$A$7:$H$333,MATCH('Payment by Source'!$A194,'Payment Total'!$A$7:$A$333,0),3)-I194</f>
        <v>0</v>
      </c>
      <c r="P194" s="154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-3</v>
      </c>
      <c r="Q194" s="154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-1</v>
      </c>
      <c r="R194" s="154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-4</v>
      </c>
      <c r="S194" s="154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-5</v>
      </c>
      <c r="T194" s="154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-1</v>
      </c>
      <c r="U194" s="155">
        <f>INDEX('Budget by Source'!$A$6:$I$332,MATCH('Payment by Source'!$A194,'Budget by Source'!$A$6:$A$332,0),MATCH(U$3,'Budget by Source'!$A$5:$I$5,0))</f>
        <v>4137190</v>
      </c>
      <c r="V194" s="152">
        <f t="shared" si="7"/>
        <v>413719</v>
      </c>
      <c r="W194" s="152">
        <f t="shared" si="8"/>
        <v>4137190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18819</v>
      </c>
      <c r="D195" s="22">
        <f>IF(Notes!$B$2="June",ROUND('Budget by Source'!D195/10,0)+Q195,ROUND('Budget by Source'!D195/10,0))</f>
        <v>52339</v>
      </c>
      <c r="E195" s="22">
        <f>IF(Notes!$B$2="June",ROUND('Budget by Source'!E195/10,0)+R195,ROUND('Budget by Source'!E195/10,0))</f>
        <v>6442</v>
      </c>
      <c r="F195" s="22">
        <f>IF(Notes!$B$2="June",ROUND('Budget by Source'!F195/10,0)+S195,ROUND('Budget by Source'!F195/10,0))</f>
        <v>6314</v>
      </c>
      <c r="G195" s="22">
        <f>IF(Notes!$B$2="June",ROUND('Budget by Source'!G195/10,0)+T195,ROUND('Budget by Source'!G195/10,0))</f>
        <v>28724</v>
      </c>
      <c r="H195" s="22">
        <f t="shared" si="6"/>
        <v>444753</v>
      </c>
      <c r="I195" s="22">
        <f>INDEX(Data[],MATCH($A195,Data[Dist],0),MATCH(I$5,Data[#Headers],0))</f>
        <v>557391</v>
      </c>
      <c r="K195" s="69">
        <f>INDEX('Payment Total'!$A$7:$H$333,MATCH('Payment by Source'!$A195,'Payment Total'!$A$7:$A$333,0),3)-I195</f>
        <v>0</v>
      </c>
      <c r="P195" s="154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-4</v>
      </c>
      <c r="Q195" s="154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3</v>
      </c>
      <c r="R195" s="154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-3</v>
      </c>
      <c r="S195" s="154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0</v>
      </c>
      <c r="T195" s="154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2</v>
      </c>
      <c r="U195" s="155">
        <f>INDEX('Budget by Source'!$A$6:$I$332,MATCH('Payment by Source'!$A195,'Budget by Source'!$A$6:$A$332,0),MATCH(U$3,'Budget by Source'!$A$5:$I$5,0))</f>
        <v>4447530</v>
      </c>
      <c r="V195" s="152">
        <f t="shared" si="7"/>
        <v>444753</v>
      </c>
      <c r="W195" s="152">
        <f t="shared" si="8"/>
        <v>4447530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8487</v>
      </c>
      <c r="D196" s="22">
        <f>IF(Notes!$B$2="June",ROUND('Budget by Source'!D196/10,0)+Q196,ROUND('Budget by Source'!D196/10,0))</f>
        <v>29861</v>
      </c>
      <c r="E196" s="22">
        <f>IF(Notes!$B$2="June",ROUND('Budget by Source'!E196/10,0)+R196,ROUND('Budget by Source'!E196/10,0))</f>
        <v>3827</v>
      </c>
      <c r="F196" s="22">
        <f>IF(Notes!$B$2="June",ROUND('Budget by Source'!F196/10,0)+S196,ROUND('Budget by Source'!F196/10,0))</f>
        <v>2958</v>
      </c>
      <c r="G196" s="22">
        <f>IF(Notes!$B$2="June",ROUND('Budget by Source'!G196/10,0)+T196,ROUND('Budget by Source'!G196/10,0))</f>
        <v>17657</v>
      </c>
      <c r="H196" s="22">
        <f t="shared" si="6"/>
        <v>160389</v>
      </c>
      <c r="I196" s="22">
        <f>INDEX(Data[],MATCH($A196,Data[Dist],0),MATCH(I$5,Data[#Headers],0))</f>
        <v>223179</v>
      </c>
      <c r="K196" s="69">
        <f>INDEX('Payment Total'!$A$7:$H$333,MATCH('Payment by Source'!$A196,'Payment Total'!$A$7:$A$333,0),3)-I196</f>
        <v>0</v>
      </c>
      <c r="P196" s="154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-1</v>
      </c>
      <c r="Q196" s="154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4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-4</v>
      </c>
      <c r="S196" s="154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0</v>
      </c>
      <c r="T196" s="154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4</v>
      </c>
      <c r="U196" s="155">
        <f>INDEX('Budget by Source'!$A$6:$I$332,MATCH('Payment by Source'!$A196,'Budget by Source'!$A$6:$A$332,0),MATCH(U$3,'Budget by Source'!$A$5:$I$5,0))</f>
        <v>1603892</v>
      </c>
      <c r="V196" s="152">
        <f t="shared" si="7"/>
        <v>160389</v>
      </c>
      <c r="W196" s="152">
        <f t="shared" si="8"/>
        <v>1603890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18081</v>
      </c>
      <c r="D197" s="22">
        <f>IF(Notes!$B$2="June",ROUND('Budget by Source'!D197/10,0)+Q197,ROUND('Budget by Source'!D197/10,0))</f>
        <v>61455</v>
      </c>
      <c r="E197" s="22">
        <f>IF(Notes!$B$2="June",ROUND('Budget by Source'!E197/10,0)+R197,ROUND('Budget by Source'!E197/10,0))</f>
        <v>6583</v>
      </c>
      <c r="F197" s="22">
        <f>IF(Notes!$B$2="June",ROUND('Budget by Source'!F197/10,0)+S197,ROUND('Budget by Source'!F197/10,0))</f>
        <v>6081</v>
      </c>
      <c r="G197" s="22">
        <f>IF(Notes!$B$2="June",ROUND('Budget by Source'!G197/10,0)+T197,ROUND('Budget by Source'!G197/10,0))</f>
        <v>34263</v>
      </c>
      <c r="H197" s="22">
        <f t="shared" si="6"/>
        <v>498971</v>
      </c>
      <c r="I197" s="22">
        <f>INDEX(Data[],MATCH($A197,Data[Dist],0),MATCH(I$5,Data[#Headers],0))</f>
        <v>625434</v>
      </c>
      <c r="K197" s="69">
        <f>INDEX('Payment Total'!$A$7:$H$333,MATCH('Payment by Source'!$A197,'Payment Total'!$A$7:$A$333,0),3)-I197</f>
        <v>0</v>
      </c>
      <c r="P197" s="154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-4</v>
      </c>
      <c r="Q197" s="154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-1</v>
      </c>
      <c r="R197" s="154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-5</v>
      </c>
      <c r="S197" s="154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-2</v>
      </c>
      <c r="T197" s="154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-1</v>
      </c>
      <c r="U197" s="155">
        <f>INDEX('Budget by Source'!$A$6:$I$332,MATCH('Payment by Source'!$A197,'Budget by Source'!$A$6:$A$332,0),MATCH(U$3,'Budget by Source'!$A$5:$I$5,0))</f>
        <v>4989723</v>
      </c>
      <c r="V197" s="152">
        <f t="shared" si="7"/>
        <v>498972</v>
      </c>
      <c r="W197" s="152">
        <f t="shared" si="8"/>
        <v>4989720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5904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187651</v>
      </c>
      <c r="I198" s="22">
        <f>INDEX(Data[],MATCH($A198,Data[Dist],0),MATCH(I$5,Data[#Headers],0))</f>
        <v>236365</v>
      </c>
      <c r="K198" s="69">
        <f>INDEX('Payment Total'!$A$7:$H$333,MATCH('Payment by Source'!$A198,'Payment Total'!$A$7:$A$333,0),3)-I198</f>
        <v>0</v>
      </c>
      <c r="P198" s="154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-1</v>
      </c>
      <c r="Q198" s="154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4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4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4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5">
        <f>INDEX('Budget by Source'!$A$6:$I$332,MATCH('Payment by Source'!$A198,'Budget by Source'!$A$6:$A$332,0),MATCH(U$3,'Budget by Source'!$A$5:$I$5,0))</f>
        <v>1876521</v>
      </c>
      <c r="V198" s="152">
        <f t="shared" si="7"/>
        <v>187652</v>
      </c>
      <c r="W198" s="152">
        <f t="shared" si="8"/>
        <v>1876520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1845</v>
      </c>
      <c r="D199" s="22">
        <f>IF(Notes!$B$2="June",ROUND('Budget by Source'!D199/10,0)+Q199,ROUND('Budget by Source'!D199/10,0))</f>
        <v>14297</v>
      </c>
      <c r="E199" s="22">
        <f>IF(Notes!$B$2="June",ROUND('Budget by Source'!E199/10,0)+R199,ROUND('Budget by Source'!E199/10,0))</f>
        <v>1676</v>
      </c>
      <c r="F199" s="22">
        <f>IF(Notes!$B$2="June",ROUND('Budget by Source'!F199/10,0)+S199,ROUND('Budget by Source'!F199/10,0))</f>
        <v>1334</v>
      </c>
      <c r="G199" s="22">
        <f>IF(Notes!$B$2="June",ROUND('Budget by Source'!G199/10,0)+T199,ROUND('Budget by Source'!G199/10,0))</f>
        <v>7847</v>
      </c>
      <c r="H199" s="22">
        <f t="shared" ref="H199:H262" si="9">I199-SUM(C199:G199)</f>
        <v>128832</v>
      </c>
      <c r="I199" s="22">
        <f>INDEX(Data[],MATCH($A199,Data[Dist],0),MATCH(I$5,Data[#Headers],0))</f>
        <v>155831</v>
      </c>
      <c r="K199" s="69">
        <f>INDEX('Payment Total'!$A$7:$H$333,MATCH('Payment by Source'!$A199,'Payment Total'!$A$7:$A$333,0),3)-I199</f>
        <v>0</v>
      </c>
      <c r="P199" s="154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0</v>
      </c>
      <c r="Q199" s="154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0</v>
      </c>
      <c r="R199" s="154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-5</v>
      </c>
      <c r="S199" s="154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4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-4</v>
      </c>
      <c r="U199" s="155">
        <f>INDEX('Budget by Source'!$A$6:$I$332,MATCH('Payment by Source'!$A199,'Budget by Source'!$A$6:$A$332,0),MATCH(U$3,'Budget by Source'!$A$5:$I$5,0))</f>
        <v>1288331</v>
      </c>
      <c r="V199" s="152">
        <f t="shared" ref="V199:V262" si="10">ROUND(U199/10,0)</f>
        <v>128833</v>
      </c>
      <c r="W199" s="152">
        <f t="shared" ref="W199:W262" si="11">V199*10</f>
        <v>1288330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6642</v>
      </c>
      <c r="D200" s="22">
        <f>IF(Notes!$B$2="June",ROUND('Budget by Source'!D200/10,0)+Q200,ROUND('Budget by Source'!D200/10,0))</f>
        <v>12111</v>
      </c>
      <c r="E200" s="22">
        <f>IF(Notes!$B$2="June",ROUND('Budget by Source'!E200/10,0)+R200,ROUND('Budget by Source'!E200/10,0))</f>
        <v>1748</v>
      </c>
      <c r="F200" s="22">
        <f>IF(Notes!$B$2="June",ROUND('Budget by Source'!F200/10,0)+S200,ROUND('Budget by Source'!F200/10,0))</f>
        <v>1328</v>
      </c>
      <c r="G200" s="22">
        <f>IF(Notes!$B$2="June",ROUND('Budget by Source'!G200/10,0)+T200,ROUND('Budget by Source'!G200/10,0))</f>
        <v>6632</v>
      </c>
      <c r="H200" s="22">
        <f t="shared" si="9"/>
        <v>104713</v>
      </c>
      <c r="I200" s="22">
        <f>INDEX(Data[],MATCH($A200,Data[Dist],0),MATCH(I$5,Data[#Headers],0))</f>
        <v>133174</v>
      </c>
      <c r="K200" s="69">
        <f>INDEX('Payment Total'!$A$7:$H$333,MATCH('Payment by Source'!$A200,'Payment Total'!$A$7:$A$333,0),3)-I200</f>
        <v>0</v>
      </c>
      <c r="P200" s="154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-2</v>
      </c>
      <c r="Q200" s="154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2</v>
      </c>
      <c r="R200" s="154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-2</v>
      </c>
      <c r="S200" s="154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-1</v>
      </c>
      <c r="T200" s="154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3</v>
      </c>
      <c r="U200" s="155">
        <f>INDEX('Budget by Source'!$A$6:$I$332,MATCH('Payment by Source'!$A200,'Budget by Source'!$A$6:$A$332,0),MATCH(U$3,'Budget by Source'!$A$5:$I$5,0))</f>
        <v>1047125</v>
      </c>
      <c r="V200" s="152">
        <f t="shared" si="10"/>
        <v>104713</v>
      </c>
      <c r="W200" s="152">
        <f t="shared" si="11"/>
        <v>1047130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2214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93694</v>
      </c>
      <c r="I201" s="22">
        <f>INDEX(Data[],MATCH($A201,Data[Dist],0),MATCH(I$5,Data[#Headers],0))</f>
        <v>120423</v>
      </c>
      <c r="K201" s="69">
        <f>INDEX('Payment Total'!$A$7:$H$333,MATCH('Payment by Source'!$A201,'Payment Total'!$A$7:$A$333,0),3)-I201</f>
        <v>0</v>
      </c>
      <c r="P201" s="154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-1</v>
      </c>
      <c r="Q201" s="154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4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4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4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5">
        <f>INDEX('Budget by Source'!$A$6:$I$332,MATCH('Payment by Source'!$A201,'Budget by Source'!$A$6:$A$332,0),MATCH(U$3,'Budget by Source'!$A$5:$I$5,0))</f>
        <v>936932</v>
      </c>
      <c r="V201" s="152">
        <f t="shared" si="10"/>
        <v>93693</v>
      </c>
      <c r="W201" s="152">
        <f t="shared" si="11"/>
        <v>936930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11808</v>
      </c>
      <c r="D202" s="22">
        <f>IF(Notes!$B$2="June",ROUND('Budget by Source'!D202/10,0)+Q202,ROUND('Budget by Source'!D202/10,0))</f>
        <v>42590</v>
      </c>
      <c r="E202" s="22">
        <f>IF(Notes!$B$2="June",ROUND('Budget by Source'!E202/10,0)+R202,ROUND('Budget by Source'!E202/10,0))</f>
        <v>4952</v>
      </c>
      <c r="F202" s="22">
        <f>IF(Notes!$B$2="June",ROUND('Budget by Source'!F202/10,0)+S202,ROUND('Budget by Source'!F202/10,0))</f>
        <v>5260</v>
      </c>
      <c r="G202" s="22">
        <f>IF(Notes!$B$2="June",ROUND('Budget by Source'!G202/10,0)+T202,ROUND('Budget by Source'!G202/10,0))</f>
        <v>21318</v>
      </c>
      <c r="H202" s="22">
        <f t="shared" si="9"/>
        <v>273513</v>
      </c>
      <c r="I202" s="22">
        <f>INDEX(Data[],MATCH($A202,Data[Dist],0),MATCH(I$5,Data[#Headers],0))</f>
        <v>359441</v>
      </c>
      <c r="K202" s="69">
        <f>INDEX('Payment Total'!$A$7:$H$333,MATCH('Payment by Source'!$A202,'Payment Total'!$A$7:$A$333,0),3)-I202</f>
        <v>0</v>
      </c>
      <c r="P202" s="154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-3</v>
      </c>
      <c r="Q202" s="154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2</v>
      </c>
      <c r="R202" s="154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3</v>
      </c>
      <c r="S202" s="154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-3</v>
      </c>
      <c r="T202" s="154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-3</v>
      </c>
      <c r="U202" s="155">
        <f>INDEX('Budget by Source'!$A$6:$I$332,MATCH('Payment by Source'!$A202,'Budget by Source'!$A$6:$A$332,0),MATCH(U$3,'Budget by Source'!$A$5:$I$5,0))</f>
        <v>2735132</v>
      </c>
      <c r="V202" s="152">
        <f t="shared" si="10"/>
        <v>273513</v>
      </c>
      <c r="W202" s="152">
        <f t="shared" si="11"/>
        <v>2735130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25829</v>
      </c>
      <c r="D203" s="22">
        <f>IF(Notes!$B$2="June",ROUND('Budget by Source'!D203/10,0)+Q203,ROUND('Budget by Source'!D203/10,0))</f>
        <v>114565</v>
      </c>
      <c r="E203" s="22">
        <f>IF(Notes!$B$2="June",ROUND('Budget by Source'!E203/10,0)+R203,ROUND('Budget by Source'!E203/10,0))</f>
        <v>15163</v>
      </c>
      <c r="F203" s="22">
        <f>IF(Notes!$B$2="June",ROUND('Budget by Source'!F203/10,0)+S203,ROUND('Budget by Source'!F203/10,0))</f>
        <v>13615</v>
      </c>
      <c r="G203" s="22">
        <f>IF(Notes!$B$2="June",ROUND('Budget by Source'!G203/10,0)+T203,ROUND('Budget by Source'!G203/10,0))</f>
        <v>65477</v>
      </c>
      <c r="H203" s="22">
        <f t="shared" si="9"/>
        <v>1050806</v>
      </c>
      <c r="I203" s="22">
        <f>INDEX(Data[],MATCH($A203,Data[Dist],0),MATCH(I$5,Data[#Headers],0))</f>
        <v>1285455</v>
      </c>
      <c r="K203" s="69">
        <f>INDEX('Payment Total'!$A$7:$H$333,MATCH('Payment by Source'!$A203,'Payment Total'!$A$7:$A$333,0),3)-I203</f>
        <v>0</v>
      </c>
      <c r="P203" s="154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4</v>
      </c>
      <c r="Q203" s="154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3</v>
      </c>
      <c r="R203" s="154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4</v>
      </c>
      <c r="S203" s="154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2</v>
      </c>
      <c r="T203" s="154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4</v>
      </c>
      <c r="U203" s="155">
        <f>INDEX('Budget by Source'!$A$6:$I$332,MATCH('Payment by Source'!$A203,'Budget by Source'!$A$6:$A$332,0),MATCH(U$3,'Budget by Source'!$A$5:$I$5,0))</f>
        <v>10508044</v>
      </c>
      <c r="V203" s="152">
        <f t="shared" si="10"/>
        <v>1050804</v>
      </c>
      <c r="W203" s="152">
        <f t="shared" si="11"/>
        <v>10508040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21033</v>
      </c>
      <c r="D204" s="22">
        <f>IF(Notes!$B$2="June",ROUND('Budget by Source'!D204/10,0)+Q204,ROUND('Budget by Source'!D204/10,0))</f>
        <v>71814</v>
      </c>
      <c r="E204" s="22">
        <f>IF(Notes!$B$2="June",ROUND('Budget by Source'!E204/10,0)+R204,ROUND('Budget by Source'!E204/10,0))</f>
        <v>8817</v>
      </c>
      <c r="F204" s="22">
        <f>IF(Notes!$B$2="June",ROUND('Budget by Source'!F204/10,0)+S204,ROUND('Budget by Source'!F204/10,0))</f>
        <v>8113</v>
      </c>
      <c r="G204" s="22">
        <f>IF(Notes!$B$2="June",ROUND('Budget by Source'!G204/10,0)+T204,ROUND('Budget by Source'!G204/10,0))</f>
        <v>40056</v>
      </c>
      <c r="H204" s="22">
        <f t="shared" si="9"/>
        <v>622272</v>
      </c>
      <c r="I204" s="22">
        <f>INDEX(Data[],MATCH($A204,Data[Dist],0),MATCH(I$5,Data[#Headers],0))</f>
        <v>772105</v>
      </c>
      <c r="K204" s="69">
        <f>INDEX('Payment Total'!$A$7:$H$333,MATCH('Payment by Source'!$A204,'Payment Total'!$A$7:$A$333,0),3)-I204</f>
        <v>0</v>
      </c>
      <c r="P204" s="154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4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-3</v>
      </c>
      <c r="R204" s="154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2</v>
      </c>
      <c r="S204" s="154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0</v>
      </c>
      <c r="T204" s="154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-3</v>
      </c>
      <c r="U204" s="155">
        <f>INDEX('Budget by Source'!$A$6:$I$332,MATCH('Payment by Source'!$A204,'Budget by Source'!$A$6:$A$332,0),MATCH(U$3,'Budget by Source'!$A$5:$I$5,0))</f>
        <v>6222725</v>
      </c>
      <c r="V204" s="152">
        <f t="shared" si="10"/>
        <v>622273</v>
      </c>
      <c r="W204" s="152">
        <f t="shared" si="11"/>
        <v>6222730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8118</v>
      </c>
      <c r="D205" s="22">
        <f>IF(Notes!$B$2="June",ROUND('Budget by Source'!D205/10,0)+Q205,ROUND('Budget by Source'!D205/10,0))</f>
        <v>16664</v>
      </c>
      <c r="E205" s="22">
        <f>IF(Notes!$B$2="June",ROUND('Budget by Source'!E205/10,0)+R205,ROUND('Budget by Source'!E205/10,0))</f>
        <v>2037</v>
      </c>
      <c r="F205" s="22">
        <f>IF(Notes!$B$2="June",ROUND('Budget by Source'!F205/10,0)+S205,ROUND('Budget by Source'!F205/10,0))</f>
        <v>1680</v>
      </c>
      <c r="G205" s="22">
        <f>IF(Notes!$B$2="June",ROUND('Budget by Source'!G205/10,0)+T205,ROUND('Budget by Source'!G205/10,0))</f>
        <v>8047</v>
      </c>
      <c r="H205" s="22">
        <f t="shared" si="9"/>
        <v>133557</v>
      </c>
      <c r="I205" s="22">
        <f>INDEX(Data[],MATCH($A205,Data[Dist],0),MATCH(I$5,Data[#Headers],0))</f>
        <v>170103</v>
      </c>
      <c r="K205" s="69">
        <f>INDEX('Payment Total'!$A$7:$H$333,MATCH('Payment by Source'!$A205,'Payment Total'!$A$7:$A$333,0),3)-I205</f>
        <v>0</v>
      </c>
      <c r="P205" s="154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-2</v>
      </c>
      <c r="Q205" s="154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-5</v>
      </c>
      <c r="R205" s="154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4</v>
      </c>
      <c r="S205" s="154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-4</v>
      </c>
      <c r="T205" s="154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-1</v>
      </c>
      <c r="U205" s="155">
        <f>INDEX('Budget by Source'!$A$6:$I$332,MATCH('Payment by Source'!$A205,'Budget by Source'!$A$6:$A$332,0),MATCH(U$3,'Budget by Source'!$A$5:$I$5,0))</f>
        <v>1335580</v>
      </c>
      <c r="V205" s="152">
        <f t="shared" si="10"/>
        <v>133558</v>
      </c>
      <c r="W205" s="152">
        <f t="shared" si="11"/>
        <v>1335580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91141</v>
      </c>
      <c r="D206" s="22">
        <f>IF(Notes!$B$2="June",ROUND('Budget by Source'!D206/10,0)+Q206,ROUND('Budget by Source'!D206/10,0))</f>
        <v>286957</v>
      </c>
      <c r="E206" s="22">
        <f>IF(Notes!$B$2="June",ROUND('Budget by Source'!E206/10,0)+R206,ROUND('Budget by Source'!E206/10,0))</f>
        <v>38190</v>
      </c>
      <c r="F206" s="22">
        <f>IF(Notes!$B$2="June",ROUND('Budget by Source'!F206/10,0)+S206,ROUND('Budget by Source'!F206/10,0))</f>
        <v>31467</v>
      </c>
      <c r="G206" s="22">
        <f>IF(Notes!$B$2="June",ROUND('Budget by Source'!G206/10,0)+T206,ROUND('Budget by Source'!G206/10,0))</f>
        <v>164749</v>
      </c>
      <c r="H206" s="22">
        <f t="shared" si="9"/>
        <v>2830274</v>
      </c>
      <c r="I206" s="22">
        <f>INDEX(Data[],MATCH($A206,Data[Dist],0),MATCH(I$5,Data[#Headers],0))</f>
        <v>3442778</v>
      </c>
      <c r="K206" s="69">
        <f>INDEX('Payment Total'!$A$7:$H$333,MATCH('Payment by Source'!$A206,'Payment Total'!$A$7:$A$333,0),3)-I206</f>
        <v>0</v>
      </c>
      <c r="P206" s="154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0</v>
      </c>
      <c r="Q206" s="154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0</v>
      </c>
      <c r="R206" s="154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4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2</v>
      </c>
      <c r="T206" s="154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0</v>
      </c>
      <c r="U206" s="155">
        <f>INDEX('Budget by Source'!$A$6:$I$332,MATCH('Payment by Source'!$A206,'Budget by Source'!$A$6:$A$332,0),MATCH(U$3,'Budget by Source'!$A$5:$I$5,0))</f>
        <v>28302739</v>
      </c>
      <c r="V206" s="152">
        <f t="shared" si="10"/>
        <v>2830274</v>
      </c>
      <c r="W206" s="152">
        <f t="shared" si="11"/>
        <v>28302740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13653</v>
      </c>
      <c r="D207" s="22">
        <f>IF(Notes!$B$2="June",ROUND('Budget by Source'!D207/10,0)+Q207,ROUND('Budget by Source'!D207/10,0))</f>
        <v>37097</v>
      </c>
      <c r="E207" s="22">
        <f>IF(Notes!$B$2="June",ROUND('Budget by Source'!E207/10,0)+R207,ROUND('Budget by Source'!E207/10,0))</f>
        <v>3779</v>
      </c>
      <c r="F207" s="22">
        <f>IF(Notes!$B$2="June",ROUND('Budget by Source'!F207/10,0)+S207,ROUND('Budget by Source'!F207/10,0))</f>
        <v>4213</v>
      </c>
      <c r="G207" s="22">
        <f>IF(Notes!$B$2="June",ROUND('Budget by Source'!G207/10,0)+T207,ROUND('Budget by Source'!G207/10,0))</f>
        <v>21314</v>
      </c>
      <c r="H207" s="22">
        <f t="shared" si="9"/>
        <v>307444</v>
      </c>
      <c r="I207" s="22">
        <f>INDEX(Data[],MATCH($A207,Data[Dist],0),MATCH(I$5,Data[#Headers],0))</f>
        <v>387500</v>
      </c>
      <c r="K207" s="69">
        <f>INDEX('Payment Total'!$A$7:$H$333,MATCH('Payment by Source'!$A207,'Payment Total'!$A$7:$A$333,0),3)-I207</f>
        <v>0</v>
      </c>
      <c r="P207" s="154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-3</v>
      </c>
      <c r="Q207" s="154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2</v>
      </c>
      <c r="R207" s="154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1</v>
      </c>
      <c r="S207" s="154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-2</v>
      </c>
      <c r="T207" s="154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1</v>
      </c>
      <c r="U207" s="155">
        <f>INDEX('Budget by Source'!$A$6:$I$332,MATCH('Payment by Source'!$A207,'Budget by Source'!$A$6:$A$332,0),MATCH(U$3,'Budget by Source'!$A$5:$I$5,0))</f>
        <v>3074443</v>
      </c>
      <c r="V207" s="152">
        <f t="shared" si="10"/>
        <v>307444</v>
      </c>
      <c r="W207" s="152">
        <f t="shared" si="11"/>
        <v>3074440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30995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770778</v>
      </c>
      <c r="I208" s="22">
        <f>INDEX(Data[],MATCH($A208,Data[Dist],0),MATCH(I$5,Data[#Headers],0))</f>
        <v>967106</v>
      </c>
      <c r="K208" s="69">
        <f>INDEX('Payment Total'!$A$7:$H$333,MATCH('Payment by Source'!$A208,'Payment Total'!$A$7:$A$333,0),3)-I208</f>
        <v>0</v>
      </c>
      <c r="P208" s="154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3</v>
      </c>
      <c r="Q208" s="154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4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4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4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5">
        <f>INDEX('Budget by Source'!$A$6:$I$332,MATCH('Payment by Source'!$A208,'Budget by Source'!$A$6:$A$332,0),MATCH(U$3,'Budget by Source'!$A$5:$I$5,0))</f>
        <v>7707788</v>
      </c>
      <c r="V208" s="152">
        <f t="shared" si="10"/>
        <v>770779</v>
      </c>
      <c r="W208" s="152">
        <f t="shared" si="11"/>
        <v>7707790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10332</v>
      </c>
      <c r="D209" s="22">
        <f>IF(Notes!$B$2="June",ROUND('Budget by Source'!D209/10,0)+Q209,ROUND('Budget by Source'!D209/10,0))</f>
        <v>30754</v>
      </c>
      <c r="E209" s="22">
        <f>IF(Notes!$B$2="June",ROUND('Budget by Source'!E209/10,0)+R209,ROUND('Budget by Source'!E209/10,0))</f>
        <v>3940</v>
      </c>
      <c r="F209" s="22">
        <f>IF(Notes!$B$2="June",ROUND('Budget by Source'!F209/10,0)+S209,ROUND('Budget by Source'!F209/10,0))</f>
        <v>3303</v>
      </c>
      <c r="G209" s="22">
        <f>IF(Notes!$B$2="June",ROUND('Budget by Source'!G209/10,0)+T209,ROUND('Budget by Source'!G209/10,0))</f>
        <v>17038</v>
      </c>
      <c r="H209" s="22">
        <f t="shared" si="9"/>
        <v>191836</v>
      </c>
      <c r="I209" s="22">
        <f>INDEX(Data[],MATCH($A209,Data[Dist],0),MATCH(I$5,Data[#Headers],0))</f>
        <v>257203</v>
      </c>
      <c r="K209" s="69">
        <f>INDEX('Payment Total'!$A$7:$H$333,MATCH('Payment by Source'!$A209,'Payment Total'!$A$7:$A$333,0),3)-I209</f>
        <v>0</v>
      </c>
      <c r="P209" s="154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-2</v>
      </c>
      <c r="Q209" s="154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-5</v>
      </c>
      <c r="R209" s="154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1</v>
      </c>
      <c r="S209" s="154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-1</v>
      </c>
      <c r="T209" s="154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5">
        <f>INDEX('Budget by Source'!$A$6:$I$332,MATCH('Payment by Source'!$A209,'Budget by Source'!$A$6:$A$332,0),MATCH(U$3,'Budget by Source'!$A$5:$I$5,0))</f>
        <v>1918361</v>
      </c>
      <c r="V209" s="152">
        <f t="shared" si="10"/>
        <v>191836</v>
      </c>
      <c r="W209" s="152">
        <f t="shared" si="11"/>
        <v>1918360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23616</v>
      </c>
      <c r="D210" s="22">
        <f>IF(Notes!$B$2="June",ROUND('Budget by Source'!D210/10,0)+Q210,ROUND('Budget by Source'!D210/10,0))</f>
        <v>59080</v>
      </c>
      <c r="E210" s="22">
        <f>IF(Notes!$B$2="June",ROUND('Budget by Source'!E210/10,0)+R210,ROUND('Budget by Source'!E210/10,0))</f>
        <v>5528</v>
      </c>
      <c r="F210" s="22">
        <f>IF(Notes!$B$2="June",ROUND('Budget by Source'!F210/10,0)+S210,ROUND('Budget by Source'!F210/10,0))</f>
        <v>6563</v>
      </c>
      <c r="G210" s="22">
        <f>IF(Notes!$B$2="June",ROUND('Budget by Source'!G210/10,0)+T210,ROUND('Budget by Source'!G210/10,0))</f>
        <v>32996</v>
      </c>
      <c r="H210" s="22">
        <f t="shared" si="9"/>
        <v>398281</v>
      </c>
      <c r="I210" s="22">
        <f>INDEX(Data[],MATCH($A210,Data[Dist],0),MATCH(I$5,Data[#Headers],0))</f>
        <v>526064</v>
      </c>
      <c r="K210" s="69">
        <f>INDEX('Payment Total'!$A$7:$H$333,MATCH('Payment by Source'!$A210,'Payment Total'!$A$7:$A$333,0),3)-I210</f>
        <v>0</v>
      </c>
      <c r="P210" s="154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-5</v>
      </c>
      <c r="Q210" s="154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-2</v>
      </c>
      <c r="R210" s="154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-3</v>
      </c>
      <c r="S210" s="154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3</v>
      </c>
      <c r="T210" s="154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3</v>
      </c>
      <c r="U210" s="155">
        <f>INDEX('Budget by Source'!$A$6:$I$332,MATCH('Payment by Source'!$A210,'Budget by Source'!$A$6:$A$332,0),MATCH(U$3,'Budget by Source'!$A$5:$I$5,0))</f>
        <v>3982818</v>
      </c>
      <c r="V210" s="152">
        <f t="shared" si="10"/>
        <v>398282</v>
      </c>
      <c r="W210" s="152">
        <f t="shared" si="11"/>
        <v>3982820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7749</v>
      </c>
      <c r="D211" s="22">
        <f>IF(Notes!$B$2="June",ROUND('Budget by Source'!D211/10,0)+Q211,ROUND('Budget by Source'!D211/10,0))</f>
        <v>35003</v>
      </c>
      <c r="E211" s="22">
        <f>IF(Notes!$B$2="June",ROUND('Budget by Source'!E211/10,0)+R211,ROUND('Budget by Source'!E211/10,0))</f>
        <v>4184</v>
      </c>
      <c r="F211" s="22">
        <f>IF(Notes!$B$2="June",ROUND('Budget by Source'!F211/10,0)+S211,ROUND('Budget by Source'!F211/10,0))</f>
        <v>3709</v>
      </c>
      <c r="G211" s="22">
        <f>IF(Notes!$B$2="June",ROUND('Budget by Source'!G211/10,0)+T211,ROUND('Budget by Source'!G211/10,0))</f>
        <v>19071</v>
      </c>
      <c r="H211" s="22">
        <f t="shared" si="9"/>
        <v>337831</v>
      </c>
      <c r="I211" s="22">
        <f>INDEX(Data[],MATCH($A211,Data[Dist],0),MATCH(I$5,Data[#Headers],0))</f>
        <v>407547</v>
      </c>
      <c r="K211" s="69">
        <f>INDEX('Payment Total'!$A$7:$H$333,MATCH('Payment by Source'!$A211,'Payment Total'!$A$7:$A$333,0),3)-I211</f>
        <v>0</v>
      </c>
      <c r="P211" s="154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-1</v>
      </c>
      <c r="Q211" s="154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-4</v>
      </c>
      <c r="R211" s="154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-5</v>
      </c>
      <c r="S211" s="154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-4</v>
      </c>
      <c r="T211" s="154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-3</v>
      </c>
      <c r="U211" s="155">
        <f>INDEX('Budget by Source'!$A$6:$I$332,MATCH('Payment by Source'!$A211,'Budget by Source'!$A$6:$A$332,0),MATCH(U$3,'Budget by Source'!$A$5:$I$5,0))</f>
        <v>3378327</v>
      </c>
      <c r="V211" s="152">
        <f t="shared" si="10"/>
        <v>337833</v>
      </c>
      <c r="W211" s="152">
        <f t="shared" si="11"/>
        <v>3378330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29888</v>
      </c>
      <c r="D212" s="22">
        <f>IF(Notes!$B$2="June",ROUND('Budget by Source'!D212/10,0)+Q212,ROUND('Budget by Source'!D212/10,0))</f>
        <v>183688</v>
      </c>
      <c r="E212" s="22">
        <f>IF(Notes!$B$2="June",ROUND('Budget by Source'!E212/10,0)+R212,ROUND('Budget by Source'!E212/10,0))</f>
        <v>23810</v>
      </c>
      <c r="F212" s="22">
        <f>IF(Notes!$B$2="June",ROUND('Budget by Source'!F212/10,0)+S212,ROUND('Budget by Source'!F212/10,0))</f>
        <v>20471</v>
      </c>
      <c r="G212" s="22">
        <f>IF(Notes!$B$2="June",ROUND('Budget by Source'!G212/10,0)+T212,ROUND('Budget by Source'!G212/10,0))</f>
        <v>105190</v>
      </c>
      <c r="H212" s="22">
        <f t="shared" si="9"/>
        <v>1864976</v>
      </c>
      <c r="I212" s="22">
        <f>INDEX(Data[],MATCH($A212,Data[Dist],0),MATCH(I$5,Data[#Headers],0))</f>
        <v>2228023</v>
      </c>
      <c r="K212" s="69">
        <f>INDEX('Payment Total'!$A$7:$H$333,MATCH('Payment by Source'!$A212,'Payment Total'!$A$7:$A$333,0),3)-I212</f>
        <v>0</v>
      </c>
      <c r="P212" s="154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4</v>
      </c>
      <c r="Q212" s="154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-1</v>
      </c>
      <c r="R212" s="154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3</v>
      </c>
      <c r="S212" s="154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-5</v>
      </c>
      <c r="T212" s="154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-4</v>
      </c>
      <c r="U212" s="155">
        <f>INDEX('Budget by Source'!$A$6:$I$332,MATCH('Payment by Source'!$A212,'Budget by Source'!$A$6:$A$332,0),MATCH(U$3,'Budget by Source'!$A$5:$I$5,0))</f>
        <v>18649761</v>
      </c>
      <c r="V212" s="152">
        <f t="shared" si="10"/>
        <v>1864976</v>
      </c>
      <c r="W212" s="152">
        <f t="shared" si="11"/>
        <v>18649760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14760</v>
      </c>
      <c r="D213" s="22">
        <f>IF(Notes!$B$2="June",ROUND('Budget by Source'!D213/10,0)+Q213,ROUND('Budget by Source'!D213/10,0))</f>
        <v>53157</v>
      </c>
      <c r="E213" s="22">
        <f>IF(Notes!$B$2="June",ROUND('Budget by Source'!E213/10,0)+R213,ROUND('Budget by Source'!E213/10,0))</f>
        <v>5548</v>
      </c>
      <c r="F213" s="22">
        <f>IF(Notes!$B$2="June",ROUND('Budget by Source'!F213/10,0)+S213,ROUND('Budget by Source'!F213/10,0))</f>
        <v>5972</v>
      </c>
      <c r="G213" s="22">
        <f>IF(Notes!$B$2="June",ROUND('Budget by Source'!G213/10,0)+T213,ROUND('Budget by Source'!G213/10,0))</f>
        <v>28545</v>
      </c>
      <c r="H213" s="22">
        <f t="shared" si="9"/>
        <v>392115</v>
      </c>
      <c r="I213" s="22">
        <f>INDEX(Data[],MATCH($A213,Data[Dist],0),MATCH(I$5,Data[#Headers],0))</f>
        <v>500097</v>
      </c>
      <c r="K213" s="69">
        <f>INDEX('Payment Total'!$A$7:$H$333,MATCH('Payment by Source'!$A213,'Payment Total'!$A$7:$A$333,0),3)-I213</f>
        <v>0</v>
      </c>
      <c r="P213" s="154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-3</v>
      </c>
      <c r="Q213" s="154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4</v>
      </c>
      <c r="R213" s="154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4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-5</v>
      </c>
      <c r="T213" s="154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3</v>
      </c>
      <c r="U213" s="155">
        <f>INDEX('Budget by Source'!$A$6:$I$332,MATCH('Payment by Source'!$A213,'Budget by Source'!$A$6:$A$332,0),MATCH(U$3,'Budget by Source'!$A$5:$I$5,0))</f>
        <v>3921151</v>
      </c>
      <c r="V213" s="152">
        <f t="shared" si="10"/>
        <v>392115</v>
      </c>
      <c r="W213" s="152">
        <f t="shared" si="11"/>
        <v>3921150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16605</v>
      </c>
      <c r="D214" s="22">
        <f>IF(Notes!$B$2="June",ROUND('Budget by Source'!D214/10,0)+Q214,ROUND('Budget by Source'!D214/10,0))</f>
        <v>35198</v>
      </c>
      <c r="E214" s="22">
        <f>IF(Notes!$B$2="June",ROUND('Budget by Source'!E214/10,0)+R214,ROUND('Budget by Source'!E214/10,0))</f>
        <v>4261</v>
      </c>
      <c r="F214" s="22">
        <f>IF(Notes!$B$2="June",ROUND('Budget by Source'!F214/10,0)+S214,ROUND('Budget by Source'!F214/10,0))</f>
        <v>3970</v>
      </c>
      <c r="G214" s="22">
        <f>IF(Notes!$B$2="June",ROUND('Budget by Source'!G214/10,0)+T214,ROUND('Budget by Source'!G214/10,0))</f>
        <v>18405</v>
      </c>
      <c r="H214" s="22">
        <f t="shared" si="9"/>
        <v>266869</v>
      </c>
      <c r="I214" s="22">
        <f>INDEX(Data[],MATCH($A214,Data[Dist],0),MATCH(I$5,Data[#Headers],0))</f>
        <v>345308</v>
      </c>
      <c r="K214" s="69">
        <f>INDEX('Payment Total'!$A$7:$H$333,MATCH('Payment by Source'!$A214,'Payment Total'!$A$7:$A$333,0),3)-I214</f>
        <v>0</v>
      </c>
      <c r="P214" s="154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-3</v>
      </c>
      <c r="Q214" s="154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3</v>
      </c>
      <c r="R214" s="154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-2</v>
      </c>
      <c r="S214" s="154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1</v>
      </c>
      <c r="T214" s="154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2</v>
      </c>
      <c r="U214" s="155">
        <f>INDEX('Budget by Source'!$A$6:$I$332,MATCH('Payment by Source'!$A214,'Budget by Source'!$A$6:$A$332,0),MATCH(U$3,'Budget by Source'!$A$5:$I$5,0))</f>
        <v>2668692</v>
      </c>
      <c r="V214" s="152">
        <f t="shared" si="10"/>
        <v>266869</v>
      </c>
      <c r="W214" s="152">
        <f t="shared" si="11"/>
        <v>2668690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19557</v>
      </c>
      <c r="D215" s="22">
        <f>IF(Notes!$B$2="June",ROUND('Budget by Source'!D215/10,0)+Q215,ROUND('Budget by Source'!D215/10,0))</f>
        <v>71926</v>
      </c>
      <c r="E215" s="22">
        <f>IF(Notes!$B$2="June",ROUND('Budget by Source'!E215/10,0)+R215,ROUND('Budget by Source'!E215/10,0))</f>
        <v>7929</v>
      </c>
      <c r="F215" s="22">
        <f>IF(Notes!$B$2="June",ROUND('Budget by Source'!F215/10,0)+S215,ROUND('Budget by Source'!F215/10,0))</f>
        <v>7887</v>
      </c>
      <c r="G215" s="22">
        <f>IF(Notes!$B$2="June",ROUND('Budget by Source'!G215/10,0)+T215,ROUND('Budget by Source'!G215/10,0))</f>
        <v>39830</v>
      </c>
      <c r="H215" s="22">
        <f t="shared" si="9"/>
        <v>602950</v>
      </c>
      <c r="I215" s="22">
        <f>INDEX(Data[],MATCH($A215,Data[Dist],0),MATCH(I$5,Data[#Headers],0))</f>
        <v>750079</v>
      </c>
      <c r="K215" s="69">
        <f>INDEX('Payment Total'!$A$7:$H$333,MATCH('Payment by Source'!$A215,'Payment Total'!$A$7:$A$333,0),3)-I215</f>
        <v>0</v>
      </c>
      <c r="P215" s="154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-4</v>
      </c>
      <c r="Q215" s="154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1</v>
      </c>
      <c r="R215" s="154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3</v>
      </c>
      <c r="S215" s="154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0</v>
      </c>
      <c r="T215" s="154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3</v>
      </c>
      <c r="U215" s="155">
        <f>INDEX('Budget by Source'!$A$6:$I$332,MATCH('Payment by Source'!$A215,'Budget by Source'!$A$6:$A$332,0),MATCH(U$3,'Budget by Source'!$A$5:$I$5,0))</f>
        <v>6029497</v>
      </c>
      <c r="V215" s="152">
        <f t="shared" si="10"/>
        <v>602950</v>
      </c>
      <c r="W215" s="152">
        <f t="shared" si="11"/>
        <v>6029500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9963</v>
      </c>
      <c r="D216" s="22">
        <f>IF(Notes!$B$2="June",ROUND('Budget by Source'!D216/10,0)+Q216,ROUND('Budget by Source'!D216/10,0))</f>
        <v>33131</v>
      </c>
      <c r="E216" s="22">
        <f>IF(Notes!$B$2="June",ROUND('Budget by Source'!E216/10,0)+R216,ROUND('Budget by Source'!E216/10,0))</f>
        <v>4159</v>
      </c>
      <c r="F216" s="22">
        <f>IF(Notes!$B$2="June",ROUND('Budget by Source'!F216/10,0)+S216,ROUND('Budget by Source'!F216/10,0))</f>
        <v>3575</v>
      </c>
      <c r="G216" s="22">
        <f>IF(Notes!$B$2="June",ROUND('Budget by Source'!G216/10,0)+T216,ROUND('Budget by Source'!G216/10,0))</f>
        <v>17826</v>
      </c>
      <c r="H216" s="22">
        <f t="shared" si="9"/>
        <v>238597</v>
      </c>
      <c r="I216" s="22">
        <f>INDEX(Data[],MATCH($A216,Data[Dist],0),MATCH(I$5,Data[#Headers],0))</f>
        <v>307251</v>
      </c>
      <c r="K216" s="69">
        <f>INDEX('Payment Total'!$A$7:$H$333,MATCH('Payment by Source'!$A216,'Payment Total'!$A$7:$A$333,0),3)-I216</f>
        <v>0</v>
      </c>
      <c r="P216" s="154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-2</v>
      </c>
      <c r="Q216" s="154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3</v>
      </c>
      <c r="R216" s="154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0</v>
      </c>
      <c r="S216" s="154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-4</v>
      </c>
      <c r="T216" s="154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-4</v>
      </c>
      <c r="U216" s="155">
        <f>INDEX('Budget by Source'!$A$6:$I$332,MATCH('Payment by Source'!$A216,'Budget by Source'!$A$6:$A$332,0),MATCH(U$3,'Budget by Source'!$A$5:$I$5,0))</f>
        <v>2385975</v>
      </c>
      <c r="V216" s="152">
        <f t="shared" si="10"/>
        <v>238598</v>
      </c>
      <c r="W216" s="152">
        <f t="shared" si="11"/>
        <v>2385980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12546</v>
      </c>
      <c r="D217" s="22">
        <f>IF(Notes!$B$2="June",ROUND('Budget by Source'!D217/10,0)+Q217,ROUND('Budget by Source'!D217/10,0))</f>
        <v>35766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20431</v>
      </c>
      <c r="H217" s="22">
        <f t="shared" si="9"/>
        <v>259694</v>
      </c>
      <c r="I217" s="22">
        <f>INDEX(Data[],MATCH($A217,Data[Dist],0),MATCH(I$5,Data[#Headers],0))</f>
        <v>335953</v>
      </c>
      <c r="K217" s="69">
        <f>INDEX('Payment Total'!$A$7:$H$333,MATCH('Payment by Source'!$A217,'Payment Total'!$A$7:$A$333,0),3)-I217</f>
        <v>0</v>
      </c>
      <c r="P217" s="154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-3</v>
      </c>
      <c r="Q217" s="154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-1</v>
      </c>
      <c r="R217" s="154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4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4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1</v>
      </c>
      <c r="U217" s="155">
        <f>INDEX('Budget by Source'!$A$6:$I$332,MATCH('Payment by Source'!$A217,'Budget by Source'!$A$6:$A$332,0),MATCH(U$3,'Budget by Source'!$A$5:$I$5,0))</f>
        <v>2596943</v>
      </c>
      <c r="V217" s="152">
        <f t="shared" si="10"/>
        <v>259694</v>
      </c>
      <c r="W217" s="152">
        <f t="shared" si="11"/>
        <v>2596940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7380</v>
      </c>
      <c r="D218" s="22">
        <f>IF(Notes!$B$2="June",ROUND('Budget by Source'!D218/10,0)+Q218,ROUND('Budget by Source'!D218/10,0))</f>
        <v>16961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62169</v>
      </c>
      <c r="I218" s="22">
        <f>INDEX(Data[],MATCH($A218,Data[Dist],0),MATCH(I$5,Data[#Headers],0))</f>
        <v>99406</v>
      </c>
      <c r="K218" s="69">
        <f>INDEX('Payment Total'!$A$7:$H$333,MATCH('Payment by Source'!$A218,'Payment Total'!$A$7:$A$333,0),3)-I218</f>
        <v>0</v>
      </c>
      <c r="P218" s="154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-2</v>
      </c>
      <c r="Q218" s="154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0</v>
      </c>
      <c r="R218" s="154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4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-1</v>
      </c>
      <c r="T218" s="154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5">
        <f>INDEX('Budget by Source'!$A$6:$I$332,MATCH('Payment by Source'!$A218,'Budget by Source'!$A$6:$A$332,0),MATCH(U$3,'Budget by Source'!$A$5:$I$5,0))</f>
        <v>621694</v>
      </c>
      <c r="V218" s="152">
        <f t="shared" si="10"/>
        <v>62169</v>
      </c>
      <c r="W218" s="152">
        <f t="shared" si="11"/>
        <v>621690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43910</v>
      </c>
      <c r="D219" s="22">
        <f>IF(Notes!$B$2="June",ROUND('Budget by Source'!D219/10,0)+Q219,ROUND('Budget by Source'!D219/10,0))</f>
        <v>115880</v>
      </c>
      <c r="E219" s="22">
        <f>IF(Notes!$B$2="June",ROUND('Budget by Source'!E219/10,0)+R219,ROUND('Budget by Source'!E219/10,0))</f>
        <v>12096</v>
      </c>
      <c r="F219" s="22">
        <f>IF(Notes!$B$2="June",ROUND('Budget by Source'!F219/10,0)+S219,ROUND('Budget by Source'!F219/10,0))</f>
        <v>12149</v>
      </c>
      <c r="G219" s="22">
        <f>IF(Notes!$B$2="June",ROUND('Budget by Source'!G219/10,0)+T219,ROUND('Budget by Source'!G219/10,0))</f>
        <v>69628</v>
      </c>
      <c r="H219" s="22">
        <f t="shared" si="9"/>
        <v>1097191</v>
      </c>
      <c r="I219" s="22">
        <f>INDEX(Data[],MATCH($A219,Data[Dist],0),MATCH(I$5,Data[#Headers],0))</f>
        <v>1350854</v>
      </c>
      <c r="K219" s="69">
        <f>INDEX('Payment Total'!$A$7:$H$333,MATCH('Payment by Source'!$A219,'Payment Total'!$A$7:$A$333,0),3)-I219</f>
        <v>0</v>
      </c>
      <c r="P219" s="154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4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4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3</v>
      </c>
      <c r="S219" s="154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-1</v>
      </c>
      <c r="T219" s="154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-1</v>
      </c>
      <c r="U219" s="155">
        <f>INDEX('Budget by Source'!$A$6:$I$332,MATCH('Payment by Source'!$A219,'Budget by Source'!$A$6:$A$332,0),MATCH(U$3,'Budget by Source'!$A$5:$I$5,0))</f>
        <v>10971908</v>
      </c>
      <c r="V219" s="152">
        <f t="shared" si="10"/>
        <v>1097191</v>
      </c>
      <c r="W219" s="152">
        <f t="shared" si="11"/>
        <v>10971910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55356</v>
      </c>
      <c r="D220" s="22">
        <f>IF(Notes!$B$2="June",ROUND('Budget by Source'!D220/10,0)+Q220,ROUND('Budget by Source'!D220/10,0))</f>
        <v>194939</v>
      </c>
      <c r="E220" s="22">
        <f>IF(Notes!$B$2="June",ROUND('Budget by Source'!E220/10,0)+R220,ROUND('Budget by Source'!E220/10,0))</f>
        <v>21333</v>
      </c>
      <c r="F220" s="22">
        <f>IF(Notes!$B$2="June",ROUND('Budget by Source'!F220/10,0)+S220,ROUND('Budget by Source'!F220/10,0))</f>
        <v>21878</v>
      </c>
      <c r="G220" s="22">
        <f>IF(Notes!$B$2="June",ROUND('Budget by Source'!G220/10,0)+T220,ROUND('Budget by Source'!G220/10,0))</f>
        <v>111365</v>
      </c>
      <c r="H220" s="22">
        <f t="shared" si="9"/>
        <v>1593389</v>
      </c>
      <c r="I220" s="22">
        <f>INDEX(Data[],MATCH($A220,Data[Dist],0),MATCH(I$5,Data[#Headers],0))</f>
        <v>1998260</v>
      </c>
      <c r="K220" s="69">
        <f>INDEX('Payment Total'!$A$7:$H$333,MATCH('Payment by Source'!$A220,'Payment Total'!$A$7:$A$333,0),3)-I220</f>
        <v>0</v>
      </c>
      <c r="P220" s="154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4</v>
      </c>
      <c r="Q220" s="154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0</v>
      </c>
      <c r="R220" s="154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4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-2</v>
      </c>
      <c r="T220" s="154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3</v>
      </c>
      <c r="U220" s="155">
        <f>INDEX('Budget by Source'!$A$6:$I$332,MATCH('Payment by Source'!$A220,'Budget by Source'!$A$6:$A$332,0),MATCH(U$3,'Budget by Source'!$A$5:$I$5,0))</f>
        <v>15933881</v>
      </c>
      <c r="V220" s="152">
        <f t="shared" si="10"/>
        <v>1593388</v>
      </c>
      <c r="W220" s="152">
        <f t="shared" si="11"/>
        <v>15933880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11070</v>
      </c>
      <c r="D221" s="22">
        <f>IF(Notes!$B$2="June",ROUND('Budget by Source'!D221/10,0)+Q221,ROUND('Budget by Source'!D221/10,0))</f>
        <v>31764</v>
      </c>
      <c r="E221" s="22">
        <f>IF(Notes!$B$2="June",ROUND('Budget by Source'!E221/10,0)+R221,ROUND('Budget by Source'!E221/10,0))</f>
        <v>3268</v>
      </c>
      <c r="F221" s="22">
        <f>IF(Notes!$B$2="June",ROUND('Budget by Source'!F221/10,0)+S221,ROUND('Budget by Source'!F221/10,0))</f>
        <v>3413</v>
      </c>
      <c r="G221" s="22">
        <f>IF(Notes!$B$2="June",ROUND('Budget by Source'!G221/10,0)+T221,ROUND('Budget by Source'!G221/10,0))</f>
        <v>16280</v>
      </c>
      <c r="H221" s="22">
        <f t="shared" si="9"/>
        <v>208552</v>
      </c>
      <c r="I221" s="22">
        <f>INDEX(Data[],MATCH($A221,Data[Dist],0),MATCH(I$5,Data[#Headers],0))</f>
        <v>274347</v>
      </c>
      <c r="K221" s="69">
        <f>INDEX('Payment Total'!$A$7:$H$333,MATCH('Payment by Source'!$A221,'Payment Total'!$A$7:$A$333,0),3)-I221</f>
        <v>0</v>
      </c>
      <c r="P221" s="154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-3</v>
      </c>
      <c r="Q221" s="154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-4</v>
      </c>
      <c r="R221" s="154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3</v>
      </c>
      <c r="S221" s="154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-5</v>
      </c>
      <c r="T221" s="154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-1</v>
      </c>
      <c r="U221" s="155">
        <f>INDEX('Budget by Source'!$A$6:$I$332,MATCH('Payment by Source'!$A221,'Budget by Source'!$A$6:$A$332,0),MATCH(U$3,'Budget by Source'!$A$5:$I$5,0))</f>
        <v>2085532</v>
      </c>
      <c r="V221" s="152">
        <f t="shared" si="10"/>
        <v>208553</v>
      </c>
      <c r="W221" s="152">
        <f t="shared" si="11"/>
        <v>2085530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12922</v>
      </c>
      <c r="D222" s="22">
        <f>IF(Notes!$B$2="June",ROUND('Budget by Source'!D222/10,0)+Q222,ROUND('Budget by Source'!D222/10,0))</f>
        <v>31713</v>
      </c>
      <c r="E222" s="22">
        <f>IF(Notes!$B$2="June",ROUND('Budget by Source'!E222/10,0)+R222,ROUND('Budget by Source'!E222/10,0))</f>
        <v>3200</v>
      </c>
      <c r="F222" s="22">
        <f>IF(Notes!$B$2="June",ROUND('Budget by Source'!F222/10,0)+S222,ROUND('Budget by Source'!F222/10,0))</f>
        <v>3630</v>
      </c>
      <c r="G222" s="22">
        <f>IF(Notes!$B$2="June",ROUND('Budget by Source'!G222/10,0)+T222,ROUND('Budget by Source'!G222/10,0))</f>
        <v>17997</v>
      </c>
      <c r="H222" s="22">
        <f t="shared" si="9"/>
        <v>237336</v>
      </c>
      <c r="I222" s="22">
        <f>INDEX(Data[],MATCH($A222,Data[Dist],0),MATCH(I$5,Data[#Headers],0))</f>
        <v>306798</v>
      </c>
      <c r="K222" s="69">
        <f>INDEX('Payment Total'!$A$7:$H$333,MATCH('Payment by Source'!$A222,'Payment Total'!$A$7:$A$333,0),3)-I222</f>
        <v>0</v>
      </c>
      <c r="P222" s="154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3</v>
      </c>
      <c r="Q222" s="154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-4</v>
      </c>
      <c r="R222" s="154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1</v>
      </c>
      <c r="S222" s="154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-4</v>
      </c>
      <c r="T222" s="154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3</v>
      </c>
      <c r="U222" s="155">
        <f>INDEX('Budget by Source'!$A$6:$I$332,MATCH('Payment by Source'!$A222,'Budget by Source'!$A$6:$A$332,0),MATCH(U$3,'Budget by Source'!$A$5:$I$5,0))</f>
        <v>2373363</v>
      </c>
      <c r="V222" s="152">
        <f t="shared" si="10"/>
        <v>237336</v>
      </c>
      <c r="W222" s="152">
        <f t="shared" si="11"/>
        <v>2373360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60146</v>
      </c>
      <c r="D223" s="22">
        <f>IF(Notes!$B$2="June",ROUND('Budget by Source'!D223/10,0)+Q223,ROUND('Budget by Source'!D223/10,0))</f>
        <v>214844</v>
      </c>
      <c r="E223" s="22">
        <f>IF(Notes!$B$2="June",ROUND('Budget by Source'!E223/10,0)+R223,ROUND('Budget by Source'!E223/10,0))</f>
        <v>22794</v>
      </c>
      <c r="F223" s="22">
        <f>IF(Notes!$B$2="June",ROUND('Budget by Source'!F223/10,0)+S223,ROUND('Budget by Source'!F223/10,0))</f>
        <v>22659</v>
      </c>
      <c r="G223" s="22">
        <f>IF(Notes!$B$2="June",ROUND('Budget by Source'!G223/10,0)+T223,ROUND('Budget by Source'!G223/10,0))</f>
        <v>119881</v>
      </c>
      <c r="H223" s="22">
        <f t="shared" si="9"/>
        <v>2218709</v>
      </c>
      <c r="I223" s="22">
        <f>INDEX(Data[],MATCH($A223,Data[Dist],0),MATCH(I$5,Data[#Headers],0))</f>
        <v>2659033</v>
      </c>
      <c r="K223" s="69">
        <f>INDEX('Payment Total'!$A$7:$H$333,MATCH('Payment by Source'!$A223,'Payment Total'!$A$7:$A$333,0),3)-I223</f>
        <v>0</v>
      </c>
      <c r="P223" s="154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4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1</v>
      </c>
      <c r="R223" s="154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-5</v>
      </c>
      <c r="S223" s="154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4</v>
      </c>
      <c r="T223" s="154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-1</v>
      </c>
      <c r="U223" s="155">
        <f>INDEX('Budget by Source'!$A$6:$I$332,MATCH('Payment by Source'!$A223,'Budget by Source'!$A$6:$A$332,0),MATCH(U$3,'Budget by Source'!$A$5:$I$5,0))</f>
        <v>22187095</v>
      </c>
      <c r="V223" s="152">
        <f t="shared" si="10"/>
        <v>2218710</v>
      </c>
      <c r="W223" s="152">
        <f t="shared" si="11"/>
        <v>22187100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15867</v>
      </c>
      <c r="D224" s="22">
        <f>IF(Notes!$B$2="June",ROUND('Budget by Source'!D224/10,0)+Q224,ROUND('Budget by Source'!D224/10,0))</f>
        <v>44272</v>
      </c>
      <c r="E224" s="22">
        <f>IF(Notes!$B$2="June",ROUND('Budget by Source'!E224/10,0)+R224,ROUND('Budget by Source'!E224/10,0))</f>
        <v>4589</v>
      </c>
      <c r="F224" s="22">
        <f>IF(Notes!$B$2="June",ROUND('Budget by Source'!F224/10,0)+S224,ROUND('Budget by Source'!F224/10,0))</f>
        <v>4814</v>
      </c>
      <c r="G224" s="22">
        <f>IF(Notes!$B$2="June",ROUND('Budget by Source'!G224/10,0)+T224,ROUND('Budget by Source'!G224/10,0))</f>
        <v>24839</v>
      </c>
      <c r="H224" s="22">
        <f t="shared" si="9"/>
        <v>322226</v>
      </c>
      <c r="I224" s="22">
        <f>INDEX(Data[],MATCH($A224,Data[Dist],0),MATCH(I$5,Data[#Headers],0))</f>
        <v>416607</v>
      </c>
      <c r="K224" s="69">
        <f>INDEX('Payment Total'!$A$7:$H$333,MATCH('Payment by Source'!$A224,'Payment Total'!$A$7:$A$333,0),3)-I224</f>
        <v>0</v>
      </c>
      <c r="P224" s="154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-3</v>
      </c>
      <c r="Q224" s="154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-1</v>
      </c>
      <c r="R224" s="154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-3</v>
      </c>
      <c r="S224" s="154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-4</v>
      </c>
      <c r="T224" s="154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-5</v>
      </c>
      <c r="U224" s="155">
        <f>INDEX('Budget by Source'!$A$6:$I$332,MATCH('Payment by Source'!$A224,'Budget by Source'!$A$6:$A$332,0),MATCH(U$3,'Budget by Source'!$A$5:$I$5,0))</f>
        <v>3222275</v>
      </c>
      <c r="V224" s="152">
        <f t="shared" si="10"/>
        <v>322228</v>
      </c>
      <c r="W224" s="152">
        <f t="shared" si="11"/>
        <v>3222280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22509</v>
      </c>
      <c r="D225" s="22">
        <f>IF(Notes!$B$2="June",ROUND('Budget by Source'!D225/10,0)+Q225,ROUND('Budget by Source'!D225/10,0))</f>
        <v>63836</v>
      </c>
      <c r="E225" s="22">
        <f>IF(Notes!$B$2="June",ROUND('Budget by Source'!E225/10,0)+R225,ROUND('Budget by Source'!E225/10,0))</f>
        <v>6883</v>
      </c>
      <c r="F225" s="22">
        <f>IF(Notes!$B$2="June",ROUND('Budget by Source'!F225/10,0)+S225,ROUND('Budget by Source'!F225/10,0))</f>
        <v>7386</v>
      </c>
      <c r="G225" s="22">
        <f>IF(Notes!$B$2="June",ROUND('Budget by Source'!G225/10,0)+T225,ROUND('Budget by Source'!G225/10,0))</f>
        <v>33741</v>
      </c>
      <c r="H225" s="22">
        <f t="shared" si="9"/>
        <v>406445</v>
      </c>
      <c r="I225" s="22">
        <f>INDEX(Data[],MATCH($A225,Data[Dist],0),MATCH(I$5,Data[#Headers],0))</f>
        <v>540800</v>
      </c>
      <c r="K225" s="69">
        <f>INDEX('Payment Total'!$A$7:$H$333,MATCH('Payment by Source'!$A225,'Payment Total'!$A$7:$A$333,0),3)-I225</f>
        <v>0</v>
      </c>
      <c r="P225" s="154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-5</v>
      </c>
      <c r="Q225" s="154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2</v>
      </c>
      <c r="R225" s="154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2</v>
      </c>
      <c r="S225" s="154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-2</v>
      </c>
      <c r="T225" s="154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1</v>
      </c>
      <c r="U225" s="155">
        <f>INDEX('Budget by Source'!$A$6:$I$332,MATCH('Payment by Source'!$A225,'Budget by Source'!$A$6:$A$332,0),MATCH(U$3,'Budget by Source'!$A$5:$I$5,0))</f>
        <v>4064454</v>
      </c>
      <c r="V225" s="152">
        <f t="shared" si="10"/>
        <v>406445</v>
      </c>
      <c r="W225" s="152">
        <f t="shared" si="11"/>
        <v>4064450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12915</v>
      </c>
      <c r="D226" s="22">
        <f>IF(Notes!$B$2="June",ROUND('Budget by Source'!D226/10,0)+Q226,ROUND('Budget by Source'!D226/10,0))</f>
        <v>86316</v>
      </c>
      <c r="E226" s="22">
        <f>IF(Notes!$B$2="June",ROUND('Budget by Source'!E226/10,0)+R226,ROUND('Budget by Source'!E226/10,0))</f>
        <v>10121</v>
      </c>
      <c r="F226" s="22">
        <f>IF(Notes!$B$2="June",ROUND('Budget by Source'!F226/10,0)+S226,ROUND('Budget by Source'!F226/10,0))</f>
        <v>9901</v>
      </c>
      <c r="G226" s="22">
        <f>IF(Notes!$B$2="June",ROUND('Budget by Source'!G226/10,0)+T226,ROUND('Budget by Source'!G226/10,0))</f>
        <v>47952</v>
      </c>
      <c r="H226" s="22">
        <f t="shared" si="9"/>
        <v>913420</v>
      </c>
      <c r="I226" s="22">
        <f>INDEX(Data[],MATCH($A226,Data[Dist],0),MATCH(I$5,Data[#Headers],0))</f>
        <v>1080625</v>
      </c>
      <c r="K226" s="69">
        <f>INDEX('Payment Total'!$A$7:$H$333,MATCH('Payment by Source'!$A226,'Payment Total'!$A$7:$A$333,0),3)-I226</f>
        <v>0</v>
      </c>
      <c r="P226" s="154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-2</v>
      </c>
      <c r="Q226" s="154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-4</v>
      </c>
      <c r="R226" s="154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2</v>
      </c>
      <c r="S226" s="154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4</v>
      </c>
      <c r="T226" s="154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4</v>
      </c>
      <c r="U226" s="155">
        <f>INDEX('Budget by Source'!$A$6:$I$332,MATCH('Payment by Source'!$A226,'Budget by Source'!$A$6:$A$332,0),MATCH(U$3,'Budget by Source'!$A$5:$I$5,0))</f>
        <v>9134200</v>
      </c>
      <c r="V226" s="152">
        <f t="shared" si="10"/>
        <v>913420</v>
      </c>
      <c r="W226" s="152">
        <f t="shared" si="11"/>
        <v>9134200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12915</v>
      </c>
      <c r="D227" s="22">
        <f>IF(Notes!$B$2="June",ROUND('Budget by Source'!D227/10,0)+Q227,ROUND('Budget by Source'!D227/10,0))</f>
        <v>39649</v>
      </c>
      <c r="E227" s="22">
        <f>IF(Notes!$B$2="June",ROUND('Budget by Source'!E227/10,0)+R227,ROUND('Budget by Source'!E227/10,0))</f>
        <v>4297</v>
      </c>
      <c r="F227" s="22">
        <f>IF(Notes!$B$2="June",ROUND('Budget by Source'!F227/10,0)+S227,ROUND('Budget by Source'!F227/10,0))</f>
        <v>4325</v>
      </c>
      <c r="G227" s="22">
        <f>IF(Notes!$B$2="June",ROUND('Budget by Source'!G227/10,0)+T227,ROUND('Budget by Source'!G227/10,0))</f>
        <v>21536</v>
      </c>
      <c r="H227" s="22">
        <f t="shared" si="9"/>
        <v>253140</v>
      </c>
      <c r="I227" s="22">
        <f>INDEX(Data[],MATCH($A227,Data[Dist],0),MATCH(I$5,Data[#Headers],0))</f>
        <v>335862</v>
      </c>
      <c r="K227" s="69">
        <f>INDEX('Payment Total'!$A$7:$H$333,MATCH('Payment by Source'!$A227,'Payment Total'!$A$7:$A$333,0),3)-I227</f>
        <v>0</v>
      </c>
      <c r="P227" s="154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-2</v>
      </c>
      <c r="Q227" s="154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0</v>
      </c>
      <c r="R227" s="154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0</v>
      </c>
      <c r="S227" s="154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-3</v>
      </c>
      <c r="T227" s="154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0</v>
      </c>
      <c r="U227" s="155">
        <f>INDEX('Budget by Source'!$A$6:$I$332,MATCH('Payment by Source'!$A227,'Budget by Source'!$A$6:$A$332,0),MATCH(U$3,'Budget by Source'!$A$5:$I$5,0))</f>
        <v>2531400</v>
      </c>
      <c r="V227" s="152">
        <f t="shared" si="10"/>
        <v>253140</v>
      </c>
      <c r="W227" s="152">
        <f t="shared" si="11"/>
        <v>2531400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24723</v>
      </c>
      <c r="D228" s="22">
        <f>IF(Notes!$B$2="June",ROUND('Budget by Source'!D228/10,0)+Q228,ROUND('Budget by Source'!D228/10,0))</f>
        <v>67452</v>
      </c>
      <c r="E228" s="22">
        <f>IF(Notes!$B$2="June",ROUND('Budget by Source'!E228/10,0)+R228,ROUND('Budget by Source'!E228/10,0))</f>
        <v>7538</v>
      </c>
      <c r="F228" s="22">
        <f>IF(Notes!$B$2="June",ROUND('Budget by Source'!F228/10,0)+S228,ROUND('Budget by Source'!F228/10,0))</f>
        <v>7677</v>
      </c>
      <c r="G228" s="22">
        <f>IF(Notes!$B$2="June",ROUND('Budget by Source'!G228/10,0)+T228,ROUND('Budget by Source'!G228/10,0))</f>
        <v>37326</v>
      </c>
      <c r="H228" s="22">
        <f t="shared" si="9"/>
        <v>-86281</v>
      </c>
      <c r="I228" s="22">
        <f>INDEX(Data[],MATCH($A228,Data[Dist],0),MATCH(I$5,Data[#Headers],0))</f>
        <v>58435</v>
      </c>
      <c r="K228" s="69">
        <f>INDEX('Payment Total'!$A$7:$H$333,MATCH('Payment by Source'!$A228,'Payment Total'!$A$7:$A$333,0),3)-I228</f>
        <v>0</v>
      </c>
      <c r="P228" s="154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-5</v>
      </c>
      <c r="Q228" s="154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3</v>
      </c>
      <c r="R228" s="154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4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-1</v>
      </c>
      <c r="T228" s="154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-3</v>
      </c>
      <c r="U228" s="155">
        <f>INDEX('Budget by Source'!$A$6:$I$332,MATCH('Payment by Source'!$A228,'Budget by Source'!$A$6:$A$332,0),MATCH(U$3,'Budget by Source'!$A$5:$I$5,0))</f>
        <v>-862810</v>
      </c>
      <c r="V228" s="152">
        <f t="shared" si="10"/>
        <v>-86281</v>
      </c>
      <c r="W228" s="152">
        <f t="shared" si="11"/>
        <v>-862810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3321</v>
      </c>
      <c r="D229" s="22">
        <f>IF(Notes!$B$2="June",ROUND('Budget by Source'!D229/10,0)+Q229,ROUND('Budget by Source'!D229/10,0))</f>
        <v>16492</v>
      </c>
      <c r="E229" s="22">
        <f>IF(Notes!$B$2="June",ROUND('Budget by Source'!E229/10,0)+R229,ROUND('Budget by Source'!E229/10,0))</f>
        <v>1681</v>
      </c>
      <c r="F229" s="22">
        <f>IF(Notes!$B$2="June",ROUND('Budget by Source'!F229/10,0)+S229,ROUND('Budget by Source'!F229/10,0))</f>
        <v>1709</v>
      </c>
      <c r="G229" s="22">
        <f>IF(Notes!$B$2="June",ROUND('Budget by Source'!G229/10,0)+T229,ROUND('Budget by Source'!G229/10,0))</f>
        <v>7657</v>
      </c>
      <c r="H229" s="22">
        <f t="shared" si="9"/>
        <v>110557</v>
      </c>
      <c r="I229" s="22">
        <f>INDEX(Data[],MATCH($A229,Data[Dist],0),MATCH(I$5,Data[#Headers],0))</f>
        <v>141417</v>
      </c>
      <c r="K229" s="69">
        <f>INDEX('Payment Total'!$A$7:$H$333,MATCH('Payment by Source'!$A229,'Payment Total'!$A$7:$A$333,0),3)-I229</f>
        <v>0</v>
      </c>
      <c r="P229" s="154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4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-1</v>
      </c>
      <c r="R229" s="154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4</v>
      </c>
      <c r="S229" s="154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4</v>
      </c>
      <c r="T229" s="154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-1</v>
      </c>
      <c r="U229" s="155">
        <f>INDEX('Budget by Source'!$A$6:$I$332,MATCH('Payment by Source'!$A229,'Budget by Source'!$A$6:$A$332,0),MATCH(U$3,'Budget by Source'!$A$5:$I$5,0))</f>
        <v>1105564</v>
      </c>
      <c r="V229" s="152">
        <f t="shared" si="10"/>
        <v>110556</v>
      </c>
      <c r="W229" s="152">
        <f t="shared" si="11"/>
        <v>1105560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4059</v>
      </c>
      <c r="D230" s="22">
        <f>IF(Notes!$B$2="June",ROUND('Budget by Source'!D230/10,0)+Q230,ROUND('Budget by Source'!D230/10,0))</f>
        <v>13860</v>
      </c>
      <c r="E230" s="22">
        <f>IF(Notes!$B$2="June",ROUND('Budget by Source'!E230/10,0)+R230,ROUND('Budget by Source'!E230/10,0))</f>
        <v>1101</v>
      </c>
      <c r="F230" s="22">
        <f>IF(Notes!$B$2="June",ROUND('Budget by Source'!F230/10,0)+S230,ROUND('Budget by Source'!F230/10,0))</f>
        <v>1544</v>
      </c>
      <c r="G230" s="22">
        <f>IF(Notes!$B$2="June",ROUND('Budget by Source'!G230/10,0)+T230,ROUND('Budget by Source'!G230/10,0))</f>
        <v>6330</v>
      </c>
      <c r="H230" s="22">
        <f t="shared" si="9"/>
        <v>57814</v>
      </c>
      <c r="I230" s="22">
        <f>INDEX(Data[],MATCH($A230,Data[Dist],0),MATCH(I$5,Data[#Headers],0))</f>
        <v>84708</v>
      </c>
      <c r="K230" s="69">
        <f>INDEX('Payment Total'!$A$7:$H$333,MATCH('Payment by Source'!$A230,'Payment Total'!$A$7:$A$333,0),3)-I230</f>
        <v>0</v>
      </c>
      <c r="P230" s="154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0</v>
      </c>
      <c r="Q230" s="154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3</v>
      </c>
      <c r="R230" s="154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-2</v>
      </c>
      <c r="S230" s="154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-4</v>
      </c>
      <c r="T230" s="154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-5</v>
      </c>
      <c r="U230" s="155">
        <f>INDEX('Budget by Source'!$A$6:$I$332,MATCH('Payment by Source'!$A230,'Budget by Source'!$A$6:$A$332,0),MATCH(U$3,'Budget by Source'!$A$5:$I$5,0))</f>
        <v>578149</v>
      </c>
      <c r="V230" s="152">
        <f t="shared" si="10"/>
        <v>57815</v>
      </c>
      <c r="W230" s="152">
        <f t="shared" si="11"/>
        <v>578150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19188</v>
      </c>
      <c r="D231" s="22">
        <f>IF(Notes!$B$2="June",ROUND('Budget by Source'!D231/10,0)+Q231,ROUND('Budget by Source'!D231/10,0))</f>
        <v>57378</v>
      </c>
      <c r="E231" s="22">
        <f>IF(Notes!$B$2="June",ROUND('Budget by Source'!E231/10,0)+R231,ROUND('Budget by Source'!E231/10,0))</f>
        <v>6204</v>
      </c>
      <c r="F231" s="22">
        <f>IF(Notes!$B$2="June",ROUND('Budget by Source'!F231/10,0)+S231,ROUND('Budget by Source'!F231/10,0))</f>
        <v>6520</v>
      </c>
      <c r="G231" s="22">
        <f>IF(Notes!$B$2="June",ROUND('Budget by Source'!G231/10,0)+T231,ROUND('Budget by Source'!G231/10,0))</f>
        <v>32281</v>
      </c>
      <c r="H231" s="22">
        <f t="shared" si="9"/>
        <v>455832</v>
      </c>
      <c r="I231" s="22">
        <f>INDEX(Data[],MATCH($A231,Data[Dist],0),MATCH(I$5,Data[#Headers],0))</f>
        <v>577403</v>
      </c>
      <c r="K231" s="69">
        <f>INDEX('Payment Total'!$A$7:$H$333,MATCH('Payment by Source'!$A231,'Payment Total'!$A$7:$A$333,0),3)-I231</f>
        <v>0</v>
      </c>
      <c r="P231" s="154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-4</v>
      </c>
      <c r="Q231" s="154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1</v>
      </c>
      <c r="R231" s="154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-5</v>
      </c>
      <c r="S231" s="154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2</v>
      </c>
      <c r="T231" s="154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-3</v>
      </c>
      <c r="U231" s="155">
        <f>INDEX('Budget by Source'!$A$6:$I$332,MATCH('Payment by Source'!$A231,'Budget by Source'!$A$6:$A$332,0),MATCH(U$3,'Budget by Source'!$A$5:$I$5,0))</f>
        <v>4558324</v>
      </c>
      <c r="V231" s="152">
        <f t="shared" si="10"/>
        <v>455832</v>
      </c>
      <c r="W231" s="152">
        <f t="shared" si="11"/>
        <v>4558320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58301</v>
      </c>
      <c r="D232" s="22">
        <f>IF(Notes!$B$2="June",ROUND('Budget by Source'!D232/10,0)+Q232,ROUND('Budget by Source'!D232/10,0))</f>
        <v>137538</v>
      </c>
      <c r="E232" s="22">
        <f>IF(Notes!$B$2="June",ROUND('Budget by Source'!E232/10,0)+R232,ROUND('Budget by Source'!E232/10,0))</f>
        <v>17881</v>
      </c>
      <c r="F232" s="22">
        <f>IF(Notes!$B$2="June",ROUND('Budget by Source'!F232/10,0)+S232,ROUND('Budget by Source'!F232/10,0))</f>
        <v>16099</v>
      </c>
      <c r="G232" s="22">
        <f>IF(Notes!$B$2="June",ROUND('Budget by Source'!G232/10,0)+T232,ROUND('Budget by Source'!G232/10,0))</f>
        <v>79024</v>
      </c>
      <c r="H232" s="22">
        <f t="shared" si="9"/>
        <v>1292122</v>
      </c>
      <c r="I232" s="22">
        <f>INDEX(Data[],MATCH($A232,Data[Dist],0),MATCH(I$5,Data[#Headers],0))</f>
        <v>1600965</v>
      </c>
      <c r="K232" s="69">
        <f>INDEX('Payment Total'!$A$7:$H$333,MATCH('Payment by Source'!$A232,'Payment Total'!$A$7:$A$333,0),3)-I232</f>
        <v>0</v>
      </c>
      <c r="P232" s="154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-3</v>
      </c>
      <c r="Q232" s="154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4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-2</v>
      </c>
      <c r="S232" s="154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-5</v>
      </c>
      <c r="T232" s="154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-3</v>
      </c>
      <c r="U232" s="155">
        <f>INDEX('Budget by Source'!$A$6:$I$332,MATCH('Payment by Source'!$A232,'Budget by Source'!$A$6:$A$332,0),MATCH(U$3,'Budget by Source'!$A$5:$I$5,0))</f>
        <v>12921225</v>
      </c>
      <c r="V232" s="152">
        <f t="shared" si="10"/>
        <v>1292123</v>
      </c>
      <c r="W232" s="152">
        <f t="shared" si="11"/>
        <v>12921230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102211</v>
      </c>
      <c r="D233" s="22">
        <f>IF(Notes!$B$2="June",ROUND('Budget by Source'!D233/10,0)+Q233,ROUND('Budget by Source'!D233/10,0))</f>
        <v>299854</v>
      </c>
      <c r="E233" s="22">
        <f>IF(Notes!$B$2="June",ROUND('Budget by Source'!E233/10,0)+R233,ROUND('Budget by Source'!E233/10,0))</f>
        <v>42619</v>
      </c>
      <c r="F233" s="22">
        <f>IF(Notes!$B$2="June",ROUND('Budget by Source'!F233/10,0)+S233,ROUND('Budget by Source'!F233/10,0))</f>
        <v>33995</v>
      </c>
      <c r="G233" s="22">
        <f>IF(Notes!$B$2="June",ROUND('Budget by Source'!G233/10,0)+T233,ROUND('Budget by Source'!G233/10,0))</f>
        <v>174313</v>
      </c>
      <c r="H233" s="22">
        <f t="shared" si="9"/>
        <v>3477159</v>
      </c>
      <c r="I233" s="22">
        <f>INDEX(Data[],MATCH($A233,Data[Dist],0),MATCH(I$5,Data[#Headers],0))</f>
        <v>4130151</v>
      </c>
      <c r="K233" s="69">
        <f>INDEX('Payment Total'!$A$7:$H$333,MATCH('Payment by Source'!$A233,'Payment Total'!$A$7:$A$333,0),3)-I233</f>
        <v>0</v>
      </c>
      <c r="P233" s="154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-3</v>
      </c>
      <c r="Q233" s="154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4</v>
      </c>
      <c r="R233" s="154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-5</v>
      </c>
      <c r="S233" s="154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4</v>
      </c>
      <c r="T233" s="154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0</v>
      </c>
      <c r="U233" s="155">
        <f>INDEX('Budget by Source'!$A$6:$I$332,MATCH('Payment by Source'!$A233,'Budget by Source'!$A$6:$A$332,0),MATCH(U$3,'Budget by Source'!$A$5:$I$5,0))</f>
        <v>34771586</v>
      </c>
      <c r="V233" s="152">
        <f t="shared" si="10"/>
        <v>3477159</v>
      </c>
      <c r="W233" s="152">
        <f t="shared" si="11"/>
        <v>34771590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12915</v>
      </c>
      <c r="D234" s="22">
        <f>IF(Notes!$B$2="June",ROUND('Budget by Source'!D234/10,0)+Q234,ROUND('Budget by Source'!D234/10,0))</f>
        <v>42733</v>
      </c>
      <c r="E234" s="22">
        <f>IF(Notes!$B$2="June",ROUND('Budget by Source'!E234/10,0)+R234,ROUND('Budget by Source'!E234/10,0))</f>
        <v>4539</v>
      </c>
      <c r="F234" s="22">
        <f>IF(Notes!$B$2="June",ROUND('Budget by Source'!F234/10,0)+S234,ROUND('Budget by Source'!F234/10,0))</f>
        <v>4280</v>
      </c>
      <c r="G234" s="22">
        <f>IF(Notes!$B$2="June",ROUND('Budget by Source'!G234/10,0)+T234,ROUND('Budget by Source'!G234/10,0))</f>
        <v>24567</v>
      </c>
      <c r="H234" s="22">
        <f t="shared" si="9"/>
        <v>277743</v>
      </c>
      <c r="I234" s="22">
        <f>INDEX(Data[],MATCH($A234,Data[Dist],0),MATCH(I$5,Data[#Headers],0))</f>
        <v>366777</v>
      </c>
      <c r="K234" s="69">
        <f>INDEX('Payment Total'!$A$7:$H$333,MATCH('Payment by Source'!$A234,'Payment Total'!$A$7:$A$333,0),3)-I234</f>
        <v>0</v>
      </c>
      <c r="P234" s="154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-2</v>
      </c>
      <c r="Q234" s="154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3</v>
      </c>
      <c r="R234" s="154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1</v>
      </c>
      <c r="S234" s="154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-4</v>
      </c>
      <c r="T234" s="154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-5</v>
      </c>
      <c r="U234" s="155">
        <f>INDEX('Budget by Source'!$A$6:$I$332,MATCH('Payment by Source'!$A234,'Budget by Source'!$A$6:$A$332,0),MATCH(U$3,'Budget by Source'!$A$5:$I$5,0))</f>
        <v>2777435</v>
      </c>
      <c r="V234" s="152">
        <f t="shared" si="10"/>
        <v>277744</v>
      </c>
      <c r="W234" s="152">
        <f t="shared" si="11"/>
        <v>2777440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3321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67892</v>
      </c>
      <c r="I235" s="22">
        <f>INDEX(Data[],MATCH($A235,Data[Dist],0),MATCH(I$5,Data[#Headers],0))</f>
        <v>94101</v>
      </c>
      <c r="K235" s="69">
        <f>INDEX('Payment Total'!$A$7:$H$333,MATCH('Payment by Source'!$A235,'Payment Total'!$A$7:$A$333,0),3)-I235</f>
        <v>0</v>
      </c>
      <c r="P235" s="154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0</v>
      </c>
      <c r="Q235" s="154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4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4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4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5">
        <f>INDEX('Budget by Source'!$A$6:$I$332,MATCH('Payment by Source'!$A235,'Budget by Source'!$A$6:$A$332,0),MATCH(U$3,'Budget by Source'!$A$5:$I$5,0))</f>
        <v>678916</v>
      </c>
      <c r="V235" s="152">
        <f t="shared" si="10"/>
        <v>67892</v>
      </c>
      <c r="W235" s="152">
        <f t="shared" si="11"/>
        <v>678920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9963</v>
      </c>
      <c r="D236" s="22">
        <f>IF(Notes!$B$2="June",ROUND('Budget by Source'!D236/10,0)+Q236,ROUND('Budget by Source'!D236/10,0))</f>
        <v>37231</v>
      </c>
      <c r="E236" s="22">
        <f>IF(Notes!$B$2="June",ROUND('Budget by Source'!E236/10,0)+R236,ROUND('Budget by Source'!E236/10,0))</f>
        <v>3787</v>
      </c>
      <c r="F236" s="22">
        <f>IF(Notes!$B$2="June",ROUND('Budget by Source'!F236/10,0)+S236,ROUND('Budget by Source'!F236/10,0))</f>
        <v>4370</v>
      </c>
      <c r="G236" s="22">
        <f>IF(Notes!$B$2="June",ROUND('Budget by Source'!G236/10,0)+T236,ROUND('Budget by Source'!G236/10,0))</f>
        <v>20389</v>
      </c>
      <c r="H236" s="22">
        <f t="shared" si="9"/>
        <v>101108</v>
      </c>
      <c r="I236" s="22">
        <f>INDEX(Data[],MATCH($A236,Data[Dist],0),MATCH(I$5,Data[#Headers],0))</f>
        <v>176848</v>
      </c>
      <c r="K236" s="69">
        <f>INDEX('Payment Total'!$A$7:$H$333,MATCH('Payment by Source'!$A236,'Payment Total'!$A$7:$A$333,0),3)-I236</f>
        <v>0</v>
      </c>
      <c r="P236" s="154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-2</v>
      </c>
      <c r="Q236" s="154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-5</v>
      </c>
      <c r="R236" s="154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3</v>
      </c>
      <c r="S236" s="154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-3</v>
      </c>
      <c r="T236" s="154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2</v>
      </c>
      <c r="U236" s="155">
        <f>INDEX('Budget by Source'!$A$6:$I$332,MATCH('Payment by Source'!$A236,'Budget by Source'!$A$6:$A$332,0),MATCH(U$3,'Budget by Source'!$A$5:$I$5,0))</f>
        <v>1011083</v>
      </c>
      <c r="V236" s="152">
        <f t="shared" si="10"/>
        <v>101108</v>
      </c>
      <c r="W236" s="152">
        <f t="shared" si="11"/>
        <v>1011080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12915</v>
      </c>
      <c r="D237" s="22">
        <f>IF(Notes!$B$2="June",ROUND('Budget by Source'!D237/10,0)+Q237,ROUND('Budget by Source'!D237/10,0))</f>
        <v>36479</v>
      </c>
      <c r="E237" s="22">
        <f>IF(Notes!$B$2="June",ROUND('Budget by Source'!E237/10,0)+R237,ROUND('Budget by Source'!E237/10,0))</f>
        <v>4247</v>
      </c>
      <c r="F237" s="22">
        <f>IF(Notes!$B$2="June",ROUND('Budget by Source'!F237/10,0)+S237,ROUND('Budget by Source'!F237/10,0))</f>
        <v>4102</v>
      </c>
      <c r="G237" s="22">
        <f>IF(Notes!$B$2="June",ROUND('Budget by Source'!G237/10,0)+T237,ROUND('Budget by Source'!G237/10,0))</f>
        <v>20606</v>
      </c>
      <c r="H237" s="22">
        <f t="shared" si="9"/>
        <v>261280</v>
      </c>
      <c r="I237" s="22">
        <f>INDEX(Data[],MATCH($A237,Data[Dist],0),MATCH(I$5,Data[#Headers],0))</f>
        <v>339629</v>
      </c>
      <c r="K237" s="69">
        <f>INDEX('Payment Total'!$A$7:$H$333,MATCH('Payment by Source'!$A237,'Payment Total'!$A$7:$A$333,0),3)-I237</f>
        <v>0</v>
      </c>
      <c r="P237" s="154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-2</v>
      </c>
      <c r="Q237" s="154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-2</v>
      </c>
      <c r="R237" s="154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4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0</v>
      </c>
      <c r="T237" s="154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-4</v>
      </c>
      <c r="U237" s="155">
        <f>INDEX('Budget by Source'!$A$6:$I$332,MATCH('Payment by Source'!$A237,'Budget by Source'!$A$6:$A$332,0),MATCH(U$3,'Budget by Source'!$A$5:$I$5,0))</f>
        <v>2612806</v>
      </c>
      <c r="V237" s="152">
        <f t="shared" si="10"/>
        <v>261281</v>
      </c>
      <c r="W237" s="152">
        <f t="shared" si="11"/>
        <v>2612810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45755</v>
      </c>
      <c r="D238" s="22">
        <f>IF(Notes!$B$2="June",ROUND('Budget by Source'!D238/10,0)+Q238,ROUND('Budget by Source'!D238/10,0))</f>
        <v>131994</v>
      </c>
      <c r="E238" s="22">
        <f>IF(Notes!$B$2="June",ROUND('Budget by Source'!E238/10,0)+R238,ROUND('Budget by Source'!E238/10,0))</f>
        <v>15361</v>
      </c>
      <c r="F238" s="22">
        <f>IF(Notes!$B$2="June",ROUND('Budget by Source'!F238/10,0)+S238,ROUND('Budget by Source'!F238/10,0))</f>
        <v>14256</v>
      </c>
      <c r="G238" s="22">
        <f>IF(Notes!$B$2="June",ROUND('Budget by Source'!G238/10,0)+T238,ROUND('Budget by Source'!G238/10,0))</f>
        <v>77793</v>
      </c>
      <c r="H238" s="22">
        <f t="shared" si="9"/>
        <v>1043776</v>
      </c>
      <c r="I238" s="22">
        <f>INDEX(Data[],MATCH($A238,Data[Dist],0),MATCH(I$5,Data[#Headers],0))</f>
        <v>1328935</v>
      </c>
      <c r="K238" s="69">
        <f>INDEX('Payment Total'!$A$7:$H$333,MATCH('Payment by Source'!$A238,'Payment Total'!$A$7:$A$333,0),3)-I238</f>
        <v>0</v>
      </c>
      <c r="P238" s="154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4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-5</v>
      </c>
      <c r="R238" s="154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-3</v>
      </c>
      <c r="S238" s="154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4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-1</v>
      </c>
      <c r="U238" s="155">
        <f>INDEX('Budget by Source'!$A$6:$I$332,MATCH('Payment by Source'!$A238,'Budget by Source'!$A$6:$A$332,0),MATCH(U$3,'Budget by Source'!$A$5:$I$5,0))</f>
        <v>10437764</v>
      </c>
      <c r="V238" s="152">
        <f t="shared" si="10"/>
        <v>1043776</v>
      </c>
      <c r="W238" s="152">
        <f t="shared" si="11"/>
        <v>10437760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35792</v>
      </c>
      <c r="D239" s="22">
        <f>IF(Notes!$B$2="June",ROUND('Budget by Source'!D239/10,0)+Q239,ROUND('Budget by Source'!D239/10,0))</f>
        <v>118560</v>
      </c>
      <c r="E239" s="22">
        <f>IF(Notes!$B$2="June",ROUND('Budget by Source'!E239/10,0)+R239,ROUND('Budget by Source'!E239/10,0))</f>
        <v>17317</v>
      </c>
      <c r="F239" s="22">
        <f>IF(Notes!$B$2="June",ROUND('Budget by Source'!F239/10,0)+S239,ROUND('Budget by Source'!F239/10,0))</f>
        <v>12945</v>
      </c>
      <c r="G239" s="22">
        <f>IF(Notes!$B$2="June",ROUND('Budget by Source'!G239/10,0)+T239,ROUND('Budget by Source'!G239/10,0))</f>
        <v>65510</v>
      </c>
      <c r="H239" s="22">
        <f t="shared" si="9"/>
        <v>1268215</v>
      </c>
      <c r="I239" s="22">
        <f>INDEX(Data[],MATCH($A239,Data[Dist],0),MATCH(I$5,Data[#Headers],0))</f>
        <v>1518339</v>
      </c>
      <c r="K239" s="69">
        <f>INDEX('Payment Total'!$A$7:$H$333,MATCH('Payment by Source'!$A239,'Payment Total'!$A$7:$A$333,0),3)-I239</f>
        <v>0</v>
      </c>
      <c r="P239" s="154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2</v>
      </c>
      <c r="Q239" s="154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-1</v>
      </c>
      <c r="R239" s="154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-3</v>
      </c>
      <c r="S239" s="154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-5</v>
      </c>
      <c r="T239" s="154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-4</v>
      </c>
      <c r="U239" s="155">
        <f>INDEX('Budget by Source'!$A$6:$I$332,MATCH('Payment by Source'!$A239,'Budget by Source'!$A$6:$A$332,0),MATCH(U$3,'Budget by Source'!$A$5:$I$5,0))</f>
        <v>12682156</v>
      </c>
      <c r="V239" s="152">
        <f t="shared" si="10"/>
        <v>1268216</v>
      </c>
      <c r="W239" s="152">
        <f t="shared" si="11"/>
        <v>12682160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68264</v>
      </c>
      <c r="D240" s="22">
        <f>IF(Notes!$B$2="June",ROUND('Budget by Source'!D240/10,0)+Q240,ROUND('Budget by Source'!D240/10,0))</f>
        <v>323295</v>
      </c>
      <c r="E240" s="22">
        <f>IF(Notes!$B$2="June",ROUND('Budget by Source'!E240/10,0)+R240,ROUND('Budget by Source'!E240/10,0))</f>
        <v>34505</v>
      </c>
      <c r="F240" s="22">
        <f>IF(Notes!$B$2="June",ROUND('Budget by Source'!F240/10,0)+S240,ROUND('Budget by Source'!F240/10,0))</f>
        <v>37244</v>
      </c>
      <c r="G240" s="22">
        <f>IF(Notes!$B$2="June",ROUND('Budget by Source'!G240/10,0)+T240,ROUND('Budget by Source'!G240/10,0))</f>
        <v>194056</v>
      </c>
      <c r="H240" s="22">
        <f t="shared" si="9"/>
        <v>2805509</v>
      </c>
      <c r="I240" s="22">
        <f>INDEX(Data[],MATCH($A240,Data[Dist],0),MATCH(I$5,Data[#Headers],0))</f>
        <v>3462873</v>
      </c>
      <c r="K240" s="69">
        <f>INDEX('Payment Total'!$A$7:$H$333,MATCH('Payment by Source'!$A240,'Payment Total'!$A$7:$A$333,0),3)-I240</f>
        <v>0</v>
      </c>
      <c r="P240" s="154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4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4</v>
      </c>
      <c r="R240" s="154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-1</v>
      </c>
      <c r="S240" s="154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4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4</v>
      </c>
      <c r="U240" s="155">
        <f>INDEX('Budget by Source'!$A$6:$I$332,MATCH('Payment by Source'!$A240,'Budget by Source'!$A$6:$A$332,0),MATCH(U$3,'Budget by Source'!$A$5:$I$5,0))</f>
        <v>28055085</v>
      </c>
      <c r="V240" s="152">
        <f t="shared" si="10"/>
        <v>2805509</v>
      </c>
      <c r="W240" s="152">
        <f t="shared" si="11"/>
        <v>28055090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18081</v>
      </c>
      <c r="D241" s="22">
        <f>IF(Notes!$B$2="June",ROUND('Budget by Source'!D241/10,0)+Q241,ROUND('Budget by Source'!D241/10,0))</f>
        <v>42880</v>
      </c>
      <c r="E241" s="22">
        <f>IF(Notes!$B$2="June",ROUND('Budget by Source'!E241/10,0)+R241,ROUND('Budget by Source'!E241/10,0))</f>
        <v>5631</v>
      </c>
      <c r="F241" s="22">
        <f>IF(Notes!$B$2="June",ROUND('Budget by Source'!F241/10,0)+S241,ROUND('Budget by Source'!F241/10,0))</f>
        <v>4541</v>
      </c>
      <c r="G241" s="22">
        <f>IF(Notes!$B$2="June",ROUND('Budget by Source'!G241/10,0)+T241,ROUND('Budget by Source'!G241/10,0))</f>
        <v>24166</v>
      </c>
      <c r="H241" s="22">
        <f t="shared" si="9"/>
        <v>414789</v>
      </c>
      <c r="I241" s="22">
        <f>INDEX(Data[],MATCH($A241,Data[Dist],0),MATCH(I$5,Data[#Headers],0))</f>
        <v>510088</v>
      </c>
      <c r="K241" s="69">
        <f>INDEX('Payment Total'!$A$7:$H$333,MATCH('Payment by Source'!$A241,'Payment Total'!$A$7:$A$333,0),3)-I241</f>
        <v>0</v>
      </c>
      <c r="P241" s="154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-4</v>
      </c>
      <c r="Q241" s="154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-2</v>
      </c>
      <c r="R241" s="154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-2</v>
      </c>
      <c r="S241" s="154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-3</v>
      </c>
      <c r="T241" s="154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-2</v>
      </c>
      <c r="U241" s="155">
        <f>INDEX('Budget by Source'!$A$6:$I$332,MATCH('Payment by Source'!$A241,'Budget by Source'!$A$6:$A$332,0),MATCH(U$3,'Budget by Source'!$A$5:$I$5,0))</f>
        <v>4147901</v>
      </c>
      <c r="V241" s="152">
        <f t="shared" si="10"/>
        <v>414790</v>
      </c>
      <c r="W241" s="152">
        <f t="shared" si="11"/>
        <v>4147900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14391</v>
      </c>
      <c r="D242" s="22">
        <f>IF(Notes!$B$2="June",ROUND('Budget by Source'!D242/10,0)+Q242,ROUND('Budget by Source'!D242/10,0))</f>
        <v>49557</v>
      </c>
      <c r="E242" s="22">
        <f>IF(Notes!$B$2="June",ROUND('Budget by Source'!E242/10,0)+R242,ROUND('Budget by Source'!E242/10,0))</f>
        <v>4672</v>
      </c>
      <c r="F242" s="22">
        <f>IF(Notes!$B$2="June",ROUND('Budget by Source'!F242/10,0)+S242,ROUND('Budget by Source'!F242/10,0))</f>
        <v>6160</v>
      </c>
      <c r="G242" s="22">
        <f>IF(Notes!$B$2="June",ROUND('Budget by Source'!G242/10,0)+T242,ROUND('Budget by Source'!G242/10,0))</f>
        <v>24030</v>
      </c>
      <c r="H242" s="22">
        <f t="shared" si="9"/>
        <v>161815</v>
      </c>
      <c r="I242" s="22">
        <f>INDEX(Data[],MATCH($A242,Data[Dist],0),MATCH(I$5,Data[#Headers],0))</f>
        <v>260625</v>
      </c>
      <c r="K242" s="69">
        <f>INDEX('Payment Total'!$A$7:$H$333,MATCH('Payment by Source'!$A242,'Payment Total'!$A$7:$A$333,0),3)-I242</f>
        <v>0</v>
      </c>
      <c r="P242" s="154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-3</v>
      </c>
      <c r="Q242" s="154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-3</v>
      </c>
      <c r="R242" s="154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4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-1</v>
      </c>
      <c r="T242" s="154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-2</v>
      </c>
      <c r="U242" s="155">
        <f>INDEX('Budget by Source'!$A$6:$I$332,MATCH('Payment by Source'!$A242,'Budget by Source'!$A$6:$A$332,0),MATCH(U$3,'Budget by Source'!$A$5:$I$5,0))</f>
        <v>1618167</v>
      </c>
      <c r="V242" s="152">
        <f t="shared" si="10"/>
        <v>161817</v>
      </c>
      <c r="W242" s="152">
        <f t="shared" si="11"/>
        <v>1618170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8856</v>
      </c>
      <c r="D243" s="22">
        <f>IF(Notes!$B$2="June",ROUND('Budget by Source'!D243/10,0)+Q243,ROUND('Budget by Source'!D243/10,0))</f>
        <v>46513</v>
      </c>
      <c r="E243" s="22">
        <f>IF(Notes!$B$2="June",ROUND('Budget by Source'!E243/10,0)+R243,ROUND('Budget by Source'!E243/10,0))</f>
        <v>7043</v>
      </c>
      <c r="F243" s="22">
        <f>IF(Notes!$B$2="June",ROUND('Budget by Source'!F243/10,0)+S243,ROUND('Budget by Source'!F243/10,0))</f>
        <v>4624</v>
      </c>
      <c r="G243" s="22">
        <f>IF(Notes!$B$2="June",ROUND('Budget by Source'!G243/10,0)+T243,ROUND('Budget by Source'!G243/10,0))</f>
        <v>25405</v>
      </c>
      <c r="H243" s="22">
        <f t="shared" si="9"/>
        <v>446542</v>
      </c>
      <c r="I243" s="22">
        <f>INDEX(Data[],MATCH($A243,Data[Dist],0),MATCH(I$5,Data[#Headers],0))</f>
        <v>538983</v>
      </c>
      <c r="K243" s="69">
        <f>INDEX('Payment Total'!$A$7:$H$333,MATCH('Payment by Source'!$A243,'Payment Total'!$A$7:$A$333,0),3)-I243</f>
        <v>0</v>
      </c>
      <c r="P243" s="154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4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0</v>
      </c>
      <c r="R243" s="154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-1</v>
      </c>
      <c r="S243" s="154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-3</v>
      </c>
      <c r="T243" s="154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3</v>
      </c>
      <c r="U243" s="155">
        <f>INDEX('Budget by Source'!$A$6:$I$332,MATCH('Payment by Source'!$A243,'Budget by Source'!$A$6:$A$332,0),MATCH(U$3,'Budget by Source'!$A$5:$I$5,0))</f>
        <v>4465423</v>
      </c>
      <c r="V243" s="152">
        <f t="shared" si="10"/>
        <v>446542</v>
      </c>
      <c r="W243" s="152">
        <f t="shared" si="11"/>
        <v>4465420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21033</v>
      </c>
      <c r="D244" s="22">
        <f>IF(Notes!$B$2="June",ROUND('Budget by Source'!D244/10,0)+Q244,ROUND('Budget by Source'!D244/10,0))</f>
        <v>63545</v>
      </c>
      <c r="E244" s="22">
        <f>IF(Notes!$B$2="June",ROUND('Budget by Source'!E244/10,0)+R244,ROUND('Budget by Source'!E244/10,0))</f>
        <v>7080</v>
      </c>
      <c r="F244" s="22">
        <f>IF(Notes!$B$2="June",ROUND('Budget by Source'!F244/10,0)+S244,ROUND('Budget by Source'!F244/10,0))</f>
        <v>6869</v>
      </c>
      <c r="G244" s="22">
        <f>IF(Notes!$B$2="June",ROUND('Budget by Source'!G244/10,0)+T244,ROUND('Budget by Source'!G244/10,0))</f>
        <v>36599</v>
      </c>
      <c r="H244" s="22">
        <f t="shared" si="9"/>
        <v>566594</v>
      </c>
      <c r="I244" s="22">
        <f>INDEX(Data[],MATCH($A244,Data[Dist],0),MATCH(I$5,Data[#Headers],0))</f>
        <v>701720</v>
      </c>
      <c r="K244" s="69">
        <f>INDEX('Payment Total'!$A$7:$H$333,MATCH('Payment by Source'!$A244,'Payment Total'!$A$7:$A$333,0),3)-I244</f>
        <v>0</v>
      </c>
      <c r="P244" s="154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-4</v>
      </c>
      <c r="Q244" s="154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-4</v>
      </c>
      <c r="R244" s="154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-5</v>
      </c>
      <c r="S244" s="154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-2</v>
      </c>
      <c r="T244" s="154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4</v>
      </c>
      <c r="U244" s="155">
        <f>INDEX('Budget by Source'!$A$6:$I$332,MATCH('Payment by Source'!$A244,'Budget by Source'!$A$6:$A$332,0),MATCH(U$3,'Budget by Source'!$A$5:$I$5,0))</f>
        <v>5665946</v>
      </c>
      <c r="V244" s="152">
        <f t="shared" si="10"/>
        <v>566595</v>
      </c>
      <c r="W244" s="152">
        <f t="shared" si="11"/>
        <v>5665950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9232</v>
      </c>
      <c r="D245" s="22">
        <f>IF(Notes!$B$2="June",ROUND('Budget by Source'!D245/10,0)+Q245,ROUND('Budget by Source'!D245/10,0))</f>
        <v>39970</v>
      </c>
      <c r="E245" s="22">
        <f>IF(Notes!$B$2="June",ROUND('Budget by Source'!E245/10,0)+R245,ROUND('Budget by Source'!E245/10,0))</f>
        <v>4280</v>
      </c>
      <c r="F245" s="22">
        <f>IF(Notes!$B$2="June",ROUND('Budget by Source'!F245/10,0)+S245,ROUND('Budget by Source'!F245/10,0))</f>
        <v>4779</v>
      </c>
      <c r="G245" s="22">
        <f>IF(Notes!$B$2="June",ROUND('Budget by Source'!G245/10,0)+T245,ROUND('Budget by Source'!G245/10,0))</f>
        <v>20523</v>
      </c>
      <c r="H245" s="22">
        <f t="shared" si="9"/>
        <v>183503</v>
      </c>
      <c r="I245" s="22">
        <f>INDEX(Data[],MATCH($A245,Data[Dist],0),MATCH(I$5,Data[#Headers],0))</f>
        <v>262287</v>
      </c>
      <c r="K245" s="69">
        <f>INDEX('Payment Total'!$A$7:$H$333,MATCH('Payment by Source'!$A245,'Payment Total'!$A$7:$A$333,0),3)-I245</f>
        <v>0</v>
      </c>
      <c r="P245" s="154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4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4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2</v>
      </c>
      <c r="S245" s="154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2</v>
      </c>
      <c r="T245" s="154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4</v>
      </c>
      <c r="U245" s="155">
        <f>INDEX('Budget by Source'!$A$6:$I$332,MATCH('Payment by Source'!$A245,'Budget by Source'!$A$6:$A$332,0),MATCH(U$3,'Budget by Source'!$A$5:$I$5,0))</f>
        <v>1835020</v>
      </c>
      <c r="V245" s="152">
        <f t="shared" si="10"/>
        <v>183502</v>
      </c>
      <c r="W245" s="152">
        <f t="shared" si="11"/>
        <v>1835020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24723</v>
      </c>
      <c r="D246" s="22">
        <f>IF(Notes!$B$2="June",ROUND('Budget by Source'!D246/10,0)+Q246,ROUND('Budget by Source'!D246/10,0))</f>
        <v>69678</v>
      </c>
      <c r="E246" s="22">
        <f>IF(Notes!$B$2="June",ROUND('Budget by Source'!E246/10,0)+R246,ROUND('Budget by Source'!E246/10,0))</f>
        <v>9275</v>
      </c>
      <c r="F246" s="22">
        <f>IF(Notes!$B$2="June",ROUND('Budget by Source'!F246/10,0)+S246,ROUND('Budget by Source'!F246/10,0))</f>
        <v>7727</v>
      </c>
      <c r="G246" s="22">
        <f>IF(Notes!$B$2="June",ROUND('Budget by Source'!G246/10,0)+T246,ROUND('Budget by Source'!G246/10,0))</f>
        <v>38396</v>
      </c>
      <c r="H246" s="22">
        <f t="shared" si="9"/>
        <v>610534</v>
      </c>
      <c r="I246" s="22">
        <f>INDEX(Data[],MATCH($A246,Data[Dist],0),MATCH(I$5,Data[#Headers],0))</f>
        <v>760333</v>
      </c>
      <c r="K246" s="69">
        <f>INDEX('Payment Total'!$A$7:$H$333,MATCH('Payment by Source'!$A246,'Payment Total'!$A$7:$A$333,0),3)-I246</f>
        <v>0</v>
      </c>
      <c r="P246" s="154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-5</v>
      </c>
      <c r="Q246" s="154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-5</v>
      </c>
      <c r="R246" s="154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-2</v>
      </c>
      <c r="S246" s="154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4</v>
      </c>
      <c r="T246" s="154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-5</v>
      </c>
      <c r="U246" s="155">
        <f>INDEX('Budget by Source'!$A$6:$I$332,MATCH('Payment by Source'!$A246,'Budget by Source'!$A$6:$A$332,0),MATCH(U$3,'Budget by Source'!$A$5:$I$5,0))</f>
        <v>6105355</v>
      </c>
      <c r="V246" s="152">
        <f t="shared" si="10"/>
        <v>610536</v>
      </c>
      <c r="W246" s="152">
        <f t="shared" si="11"/>
        <v>6105360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4797</v>
      </c>
      <c r="D247" s="22">
        <f>IF(Notes!$B$2="June",ROUND('Budget by Source'!D247/10,0)+Q247,ROUND('Budget by Source'!D247/10,0))</f>
        <v>22127</v>
      </c>
      <c r="E247" s="22">
        <f>IF(Notes!$B$2="June",ROUND('Budget by Source'!E247/10,0)+R247,ROUND('Budget by Source'!E247/10,0))</f>
        <v>2147</v>
      </c>
      <c r="F247" s="22">
        <f>IF(Notes!$B$2="June",ROUND('Budget by Source'!F247/10,0)+S247,ROUND('Budget by Source'!F247/10,0))</f>
        <v>2267</v>
      </c>
      <c r="G247" s="22">
        <f>IF(Notes!$B$2="June",ROUND('Budget by Source'!G247/10,0)+T247,ROUND('Budget by Source'!G247/10,0))</f>
        <v>11807</v>
      </c>
      <c r="H247" s="22">
        <f t="shared" si="9"/>
        <v>97518</v>
      </c>
      <c r="I247" s="22">
        <f>INDEX(Data[],MATCH($A247,Data[Dist],0),MATCH(I$5,Data[#Headers],0))</f>
        <v>140663</v>
      </c>
      <c r="K247" s="69">
        <f>INDEX('Payment Total'!$A$7:$H$333,MATCH('Payment by Source'!$A247,'Payment Total'!$A$7:$A$333,0),3)-I247</f>
        <v>0</v>
      </c>
      <c r="P247" s="154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-1</v>
      </c>
      <c r="Q247" s="154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-2</v>
      </c>
      <c r="R247" s="154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-3</v>
      </c>
      <c r="S247" s="154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1</v>
      </c>
      <c r="T247" s="154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4</v>
      </c>
      <c r="U247" s="155">
        <f>INDEX('Budget by Source'!$A$6:$I$332,MATCH('Payment by Source'!$A247,'Budget by Source'!$A$6:$A$332,0),MATCH(U$3,'Budget by Source'!$A$5:$I$5,0))</f>
        <v>975177</v>
      </c>
      <c r="V247" s="152">
        <f t="shared" si="10"/>
        <v>97518</v>
      </c>
      <c r="W247" s="152">
        <f t="shared" si="11"/>
        <v>975180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12177</v>
      </c>
      <c r="D248" s="22">
        <f>IF(Notes!$B$2="June",ROUND('Budget by Source'!D248/10,0)+Q248,ROUND('Budget by Source'!D248/10,0))</f>
        <v>26598</v>
      </c>
      <c r="E248" s="22">
        <f>IF(Notes!$B$2="June",ROUND('Budget by Source'!E248/10,0)+R248,ROUND('Budget by Source'!E248/10,0))</f>
        <v>2384</v>
      </c>
      <c r="F248" s="22">
        <f>IF(Notes!$B$2="June",ROUND('Budget by Source'!F248/10,0)+S248,ROUND('Budget by Source'!F248/10,0))</f>
        <v>3231</v>
      </c>
      <c r="G248" s="22">
        <f>IF(Notes!$B$2="June",ROUND('Budget by Source'!G248/10,0)+T248,ROUND('Budget by Source'!G248/10,0))</f>
        <v>11897</v>
      </c>
      <c r="H248" s="22">
        <f t="shared" si="9"/>
        <v>92044</v>
      </c>
      <c r="I248" s="22">
        <f>INDEX(Data[],MATCH($A248,Data[Dist],0),MATCH(I$5,Data[#Headers],0))</f>
        <v>148331</v>
      </c>
      <c r="K248" s="69">
        <f>INDEX('Payment Total'!$A$7:$H$333,MATCH('Payment by Source'!$A248,'Payment Total'!$A$7:$A$333,0),3)-I248</f>
        <v>0</v>
      </c>
      <c r="P248" s="154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-2</v>
      </c>
      <c r="Q248" s="154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0</v>
      </c>
      <c r="R248" s="154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4</v>
      </c>
      <c r="S248" s="154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4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-1</v>
      </c>
      <c r="U248" s="155">
        <f>INDEX('Budget by Source'!$A$6:$I$332,MATCH('Payment by Source'!$A248,'Budget by Source'!$A$6:$A$332,0),MATCH(U$3,'Budget by Source'!$A$5:$I$5,0))</f>
        <v>920444</v>
      </c>
      <c r="V248" s="152">
        <f t="shared" si="10"/>
        <v>92044</v>
      </c>
      <c r="W248" s="152">
        <f t="shared" si="11"/>
        <v>920440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26198</v>
      </c>
      <c r="D249" s="22">
        <f>IF(Notes!$B$2="June",ROUND('Budget by Source'!D249/10,0)+Q249,ROUND('Budget by Source'!D249/10,0))</f>
        <v>55431</v>
      </c>
      <c r="E249" s="22">
        <f>IF(Notes!$B$2="June",ROUND('Budget by Source'!E249/10,0)+R249,ROUND('Budget by Source'!E249/10,0))</f>
        <v>7650</v>
      </c>
      <c r="F249" s="22">
        <f>IF(Notes!$B$2="June",ROUND('Budget by Source'!F249/10,0)+S249,ROUND('Budget by Source'!F249/10,0))</f>
        <v>5905</v>
      </c>
      <c r="G249" s="22">
        <f>IF(Notes!$B$2="June",ROUND('Budget by Source'!G249/10,0)+T249,ROUND('Budget by Source'!G249/10,0))</f>
        <v>30553</v>
      </c>
      <c r="H249" s="22">
        <f t="shared" si="9"/>
        <v>470139</v>
      </c>
      <c r="I249" s="22">
        <f>INDEX(Data[],MATCH($A249,Data[Dist],0),MATCH(I$5,Data[#Headers],0))</f>
        <v>595876</v>
      </c>
      <c r="K249" s="69">
        <f>INDEX('Payment Total'!$A$7:$H$333,MATCH('Payment by Source'!$A249,'Payment Total'!$A$7:$A$333,0),3)-I249</f>
        <v>0</v>
      </c>
      <c r="P249" s="154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4</v>
      </c>
      <c r="Q249" s="154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-1</v>
      </c>
      <c r="R249" s="154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1</v>
      </c>
      <c r="S249" s="154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-3</v>
      </c>
      <c r="T249" s="154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-5</v>
      </c>
      <c r="U249" s="155">
        <f>INDEX('Budget by Source'!$A$6:$I$332,MATCH('Payment by Source'!$A249,'Budget by Source'!$A$6:$A$332,0),MATCH(U$3,'Budget by Source'!$A$5:$I$5,0))</f>
        <v>4701392</v>
      </c>
      <c r="V249" s="152">
        <f t="shared" si="10"/>
        <v>470139</v>
      </c>
      <c r="W249" s="152">
        <f t="shared" si="11"/>
        <v>4701390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23247</v>
      </c>
      <c r="D250" s="22">
        <f>IF(Notes!$B$2="June",ROUND('Budget by Source'!D250/10,0)+Q250,ROUND('Budget by Source'!D250/10,0))</f>
        <v>61398</v>
      </c>
      <c r="E250" s="22">
        <f>IF(Notes!$B$2="June",ROUND('Budget by Source'!E250/10,0)+R250,ROUND('Budget by Source'!E250/10,0))</f>
        <v>7066</v>
      </c>
      <c r="F250" s="22">
        <f>IF(Notes!$B$2="June",ROUND('Budget by Source'!F250/10,0)+S250,ROUND('Budget by Source'!F250/10,0))</f>
        <v>7575</v>
      </c>
      <c r="G250" s="22">
        <f>IF(Notes!$B$2="June",ROUND('Budget by Source'!G250/10,0)+T250,ROUND('Budget by Source'!G250/10,0))</f>
        <v>35311</v>
      </c>
      <c r="H250" s="22">
        <f t="shared" si="9"/>
        <v>513277</v>
      </c>
      <c r="I250" s="22">
        <f>INDEX(Data[],MATCH($A250,Data[Dist],0),MATCH(I$5,Data[#Headers],0))</f>
        <v>647874</v>
      </c>
      <c r="K250" s="69">
        <f>INDEX('Payment Total'!$A$7:$H$333,MATCH('Payment by Source'!$A250,'Payment Total'!$A$7:$A$333,0),3)-I250</f>
        <v>0</v>
      </c>
      <c r="P250" s="154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-5</v>
      </c>
      <c r="Q250" s="154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0</v>
      </c>
      <c r="R250" s="154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2</v>
      </c>
      <c r="S250" s="154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4</v>
      </c>
      <c r="T250" s="154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3</v>
      </c>
      <c r="U250" s="155">
        <f>INDEX('Budget by Source'!$A$6:$I$332,MATCH('Payment by Source'!$A250,'Budget by Source'!$A$6:$A$332,0),MATCH(U$3,'Budget by Source'!$A$5:$I$5,0))</f>
        <v>5132768</v>
      </c>
      <c r="V250" s="152">
        <f t="shared" si="10"/>
        <v>513277</v>
      </c>
      <c r="W250" s="152">
        <f t="shared" si="11"/>
        <v>5132770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11439</v>
      </c>
      <c r="D251" s="22">
        <f>IF(Notes!$B$2="June",ROUND('Budget by Source'!D251/10,0)+Q251,ROUND('Budget by Source'!D251/10,0))</f>
        <v>26064</v>
      </c>
      <c r="E251" s="22">
        <f>IF(Notes!$B$2="June",ROUND('Budget by Source'!E251/10,0)+R251,ROUND('Budget by Source'!E251/10,0))</f>
        <v>2794</v>
      </c>
      <c r="F251" s="22">
        <f>IF(Notes!$B$2="June",ROUND('Budget by Source'!F251/10,0)+S251,ROUND('Budget by Source'!F251/10,0))</f>
        <v>2943</v>
      </c>
      <c r="G251" s="22">
        <f>IF(Notes!$B$2="June",ROUND('Budget by Source'!G251/10,0)+T251,ROUND('Budget by Source'!G251/10,0))</f>
        <v>14097</v>
      </c>
      <c r="H251" s="22">
        <f t="shared" si="9"/>
        <v>184584</v>
      </c>
      <c r="I251" s="22">
        <f>INDEX(Data[],MATCH($A251,Data[Dist],0),MATCH(I$5,Data[#Headers],0))</f>
        <v>241921</v>
      </c>
      <c r="K251" s="69">
        <f>INDEX('Payment Total'!$A$7:$H$333,MATCH('Payment by Source'!$A251,'Payment Total'!$A$7:$A$333,0),3)-I251</f>
        <v>0</v>
      </c>
      <c r="P251" s="154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-2</v>
      </c>
      <c r="Q251" s="154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-1</v>
      </c>
      <c r="R251" s="154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-5</v>
      </c>
      <c r="S251" s="154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4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3</v>
      </c>
      <c r="U251" s="155">
        <f>INDEX('Budget by Source'!$A$6:$I$332,MATCH('Payment by Source'!$A251,'Budget by Source'!$A$6:$A$332,0),MATCH(U$3,'Budget by Source'!$A$5:$I$5,0))</f>
        <v>1845851</v>
      </c>
      <c r="V251" s="152">
        <f t="shared" si="10"/>
        <v>184585</v>
      </c>
      <c r="W251" s="152">
        <f t="shared" si="11"/>
        <v>1845850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1845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97039</v>
      </c>
      <c r="I252" s="22">
        <f>INDEX(Data[],MATCH($A252,Data[Dist],0),MATCH(I$5,Data[#Headers],0))</f>
        <v>125564</v>
      </c>
      <c r="K252" s="69">
        <f>INDEX('Payment Total'!$A$7:$H$333,MATCH('Payment by Source'!$A252,'Payment Total'!$A$7:$A$333,0),3)-I252</f>
        <v>0</v>
      </c>
      <c r="P252" s="154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0</v>
      </c>
      <c r="Q252" s="154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4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4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4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5">
        <f>INDEX('Budget by Source'!$A$6:$I$332,MATCH('Payment by Source'!$A252,'Budget by Source'!$A$6:$A$332,0),MATCH(U$3,'Budget by Source'!$A$5:$I$5,0))</f>
        <v>970398</v>
      </c>
      <c r="V252" s="152">
        <f t="shared" si="10"/>
        <v>97040</v>
      </c>
      <c r="W252" s="152">
        <f t="shared" si="11"/>
        <v>970400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12546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223884</v>
      </c>
      <c r="I253" s="22">
        <f>INDEX(Data[],MATCH($A253,Data[Dist],0),MATCH(I$5,Data[#Headers],0))</f>
        <v>300726</v>
      </c>
      <c r="K253" s="69">
        <f>INDEX('Payment Total'!$A$7:$H$333,MATCH('Payment by Source'!$A253,'Payment Total'!$A$7:$A$333,0),3)-I253</f>
        <v>0</v>
      </c>
      <c r="P253" s="154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-3</v>
      </c>
      <c r="Q253" s="154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4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4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4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5">
        <f>INDEX('Budget by Source'!$A$6:$I$332,MATCH('Payment by Source'!$A253,'Budget by Source'!$A$6:$A$332,0),MATCH(U$3,'Budget by Source'!$A$5:$I$5,0))</f>
        <v>2238839</v>
      </c>
      <c r="V253" s="152">
        <f t="shared" si="10"/>
        <v>223884</v>
      </c>
      <c r="W253" s="152">
        <f t="shared" si="11"/>
        <v>2238840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22140</v>
      </c>
      <c r="D254" s="22">
        <f>IF(Notes!$B$2="June",ROUND('Budget by Source'!D254/10,0)+Q254,ROUND('Budget by Source'!D254/10,0))</f>
        <v>72412</v>
      </c>
      <c r="E254" s="22">
        <f>IF(Notes!$B$2="June",ROUND('Budget by Source'!E254/10,0)+R254,ROUND('Budget by Source'!E254/10,0))</f>
        <v>9273</v>
      </c>
      <c r="F254" s="22">
        <f>IF(Notes!$B$2="June",ROUND('Budget by Source'!F254/10,0)+S254,ROUND('Budget by Source'!F254/10,0))</f>
        <v>7798</v>
      </c>
      <c r="G254" s="22">
        <f>IF(Notes!$B$2="June",ROUND('Budget by Source'!G254/10,0)+T254,ROUND('Budget by Source'!G254/10,0))</f>
        <v>38188</v>
      </c>
      <c r="H254" s="22">
        <f t="shared" si="9"/>
        <v>184445</v>
      </c>
      <c r="I254" s="22">
        <f>INDEX(Data[],MATCH($A254,Data[Dist],0),MATCH(I$5,Data[#Headers],0))</f>
        <v>334256</v>
      </c>
      <c r="K254" s="69">
        <f>INDEX('Payment Total'!$A$7:$H$333,MATCH('Payment by Source'!$A254,'Payment Total'!$A$7:$A$333,0),3)-I254</f>
        <v>0</v>
      </c>
      <c r="P254" s="154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-5</v>
      </c>
      <c r="Q254" s="154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0</v>
      </c>
      <c r="R254" s="154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-3</v>
      </c>
      <c r="S254" s="154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-3</v>
      </c>
      <c r="T254" s="154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0</v>
      </c>
      <c r="U254" s="155">
        <f>INDEX('Budget by Source'!$A$6:$I$332,MATCH('Payment by Source'!$A254,'Budget by Source'!$A$6:$A$332,0),MATCH(U$3,'Budget by Source'!$A$5:$I$5,0))</f>
        <v>1844462</v>
      </c>
      <c r="V254" s="152">
        <f t="shared" si="10"/>
        <v>184446</v>
      </c>
      <c r="W254" s="152">
        <f t="shared" si="11"/>
        <v>1844460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8856</v>
      </c>
      <c r="D255" s="22">
        <f>IF(Notes!$B$2="June",ROUND('Budget by Source'!D255/10,0)+Q255,ROUND('Budget by Source'!D255/10,0))</f>
        <v>25110</v>
      </c>
      <c r="E255" s="22">
        <f>IF(Notes!$B$2="June",ROUND('Budget by Source'!E255/10,0)+R255,ROUND('Budget by Source'!E255/10,0))</f>
        <v>2505</v>
      </c>
      <c r="F255" s="22">
        <f>IF(Notes!$B$2="June",ROUND('Budget by Source'!F255/10,0)+S255,ROUND('Budget by Source'!F255/10,0))</f>
        <v>2828</v>
      </c>
      <c r="G255" s="22">
        <f>IF(Notes!$B$2="June",ROUND('Budget by Source'!G255/10,0)+T255,ROUND('Budget by Source'!G255/10,0))</f>
        <v>13310</v>
      </c>
      <c r="H255" s="22">
        <f t="shared" si="9"/>
        <v>151580</v>
      </c>
      <c r="I255" s="22">
        <f>INDEX(Data[],MATCH($A255,Data[Dist],0),MATCH(I$5,Data[#Headers],0))</f>
        <v>204189</v>
      </c>
      <c r="K255" s="69">
        <f>INDEX('Payment Total'!$A$7:$H$333,MATCH('Payment by Source'!$A255,'Payment Total'!$A$7:$A$333,0),3)-I255</f>
        <v>0</v>
      </c>
      <c r="P255" s="154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-2</v>
      </c>
      <c r="Q255" s="154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4</v>
      </c>
      <c r="R255" s="154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4</v>
      </c>
      <c r="S255" s="154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-4</v>
      </c>
      <c r="T255" s="154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2</v>
      </c>
      <c r="U255" s="155">
        <f>INDEX('Budget by Source'!$A$6:$I$332,MATCH('Payment by Source'!$A255,'Budget by Source'!$A$6:$A$332,0),MATCH(U$3,'Budget by Source'!$A$5:$I$5,0))</f>
        <v>1515796</v>
      </c>
      <c r="V255" s="152">
        <f t="shared" si="10"/>
        <v>151580</v>
      </c>
      <c r="W255" s="152">
        <f t="shared" si="11"/>
        <v>1515800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2960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74532</v>
      </c>
      <c r="I256" s="22">
        <f>INDEX(Data[],MATCH($A256,Data[Dist],0),MATCH(I$5,Data[#Headers],0))</f>
        <v>102842</v>
      </c>
      <c r="K256" s="69">
        <f>INDEX('Payment Total'!$A$7:$H$333,MATCH('Payment by Source'!$A256,'Payment Total'!$A$7:$A$333,0),3)-I256</f>
        <v>0</v>
      </c>
      <c r="P256" s="154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-4</v>
      </c>
      <c r="Q256" s="154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4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4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4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5">
        <f>INDEX('Budget by Source'!$A$6:$I$332,MATCH('Payment by Source'!$A256,'Budget by Source'!$A$6:$A$332,0),MATCH(U$3,'Budget by Source'!$A$5:$I$5,0))</f>
        <v>745322</v>
      </c>
      <c r="V256" s="152">
        <f t="shared" si="10"/>
        <v>74532</v>
      </c>
      <c r="W256" s="152">
        <f t="shared" si="11"/>
        <v>745320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25829</v>
      </c>
      <c r="D257" s="22">
        <f>IF(Notes!$B$2="June",ROUND('Budget by Source'!D257/10,0)+Q257,ROUND('Budget by Source'!D257/10,0))</f>
        <v>90587</v>
      </c>
      <c r="E257" s="22">
        <f>IF(Notes!$B$2="June",ROUND('Budget by Source'!E257/10,0)+R257,ROUND('Budget by Source'!E257/10,0))</f>
        <v>10715</v>
      </c>
      <c r="F257" s="22">
        <f>IF(Notes!$B$2="June",ROUND('Budget by Source'!F257/10,0)+S257,ROUND('Budget by Source'!F257/10,0))</f>
        <v>10904</v>
      </c>
      <c r="G257" s="22">
        <f>IF(Notes!$B$2="June",ROUND('Budget by Source'!G257/10,0)+T257,ROUND('Budget by Source'!G257/10,0))</f>
        <v>50368</v>
      </c>
      <c r="H257" s="22">
        <f t="shared" si="9"/>
        <v>650815</v>
      </c>
      <c r="I257" s="22">
        <f>INDEX(Data[],MATCH($A257,Data[Dist],0),MATCH(I$5,Data[#Headers],0))</f>
        <v>839218</v>
      </c>
      <c r="K257" s="69">
        <f>INDEX('Payment Total'!$A$7:$H$333,MATCH('Payment by Source'!$A257,'Payment Total'!$A$7:$A$333,0),3)-I257</f>
        <v>0</v>
      </c>
      <c r="P257" s="154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4</v>
      </c>
      <c r="Q257" s="154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-1</v>
      </c>
      <c r="R257" s="154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4</v>
      </c>
      <c r="S257" s="154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0</v>
      </c>
      <c r="T257" s="154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-5</v>
      </c>
      <c r="U257" s="155">
        <f>INDEX('Budget by Source'!$A$6:$I$332,MATCH('Payment by Source'!$A257,'Budget by Source'!$A$6:$A$332,0),MATCH(U$3,'Budget by Source'!$A$5:$I$5,0))</f>
        <v>6508148</v>
      </c>
      <c r="V257" s="152">
        <f t="shared" si="10"/>
        <v>650815</v>
      </c>
      <c r="W257" s="152">
        <f t="shared" si="11"/>
        <v>6508150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4428</v>
      </c>
      <c r="D258" s="22">
        <f>IF(Notes!$B$2="June",ROUND('Budget by Source'!D258/10,0)+Q258,ROUND('Budget by Source'!D258/10,0))</f>
        <v>19633</v>
      </c>
      <c r="E258" s="22">
        <f>IF(Notes!$B$2="June",ROUND('Budget by Source'!E258/10,0)+R258,ROUND('Budget by Source'!E258/10,0))</f>
        <v>2227</v>
      </c>
      <c r="F258" s="22">
        <f>IF(Notes!$B$2="June",ROUND('Budget by Source'!F258/10,0)+S258,ROUND('Budget by Source'!F258/10,0))</f>
        <v>2168</v>
      </c>
      <c r="G258" s="22">
        <f>IF(Notes!$B$2="June",ROUND('Budget by Source'!G258/10,0)+T258,ROUND('Budget by Source'!G258/10,0))</f>
        <v>9110</v>
      </c>
      <c r="H258" s="22">
        <f t="shared" si="9"/>
        <v>123020</v>
      </c>
      <c r="I258" s="22">
        <f>INDEX(Data[],MATCH($A258,Data[Dist],0),MATCH(I$5,Data[#Headers],0))</f>
        <v>160586</v>
      </c>
      <c r="K258" s="69">
        <f>INDEX('Payment Total'!$A$7:$H$333,MATCH('Payment by Source'!$A258,'Payment Total'!$A$7:$A$333,0),3)-I258</f>
        <v>0</v>
      </c>
      <c r="P258" s="154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4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-5</v>
      </c>
      <c r="R258" s="154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2</v>
      </c>
      <c r="S258" s="154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-1</v>
      </c>
      <c r="T258" s="154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-4</v>
      </c>
      <c r="U258" s="155">
        <f>INDEX('Budget by Source'!$A$6:$I$332,MATCH('Payment by Source'!$A258,'Budget by Source'!$A$6:$A$332,0),MATCH(U$3,'Budget by Source'!$A$5:$I$5,0))</f>
        <v>1230211</v>
      </c>
      <c r="V258" s="152">
        <f t="shared" si="10"/>
        <v>123021</v>
      </c>
      <c r="W258" s="152">
        <f t="shared" si="11"/>
        <v>1230210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17343</v>
      </c>
      <c r="D259" s="22">
        <f>IF(Notes!$B$2="June",ROUND('Budget by Source'!D259/10,0)+Q259,ROUND('Budget by Source'!D259/10,0))</f>
        <v>52232</v>
      </c>
      <c r="E259" s="22">
        <f>IF(Notes!$B$2="June",ROUND('Budget by Source'!E259/10,0)+R259,ROUND('Budget by Source'!E259/10,0))</f>
        <v>4970</v>
      </c>
      <c r="F259" s="22">
        <f>IF(Notes!$B$2="June",ROUND('Budget by Source'!F259/10,0)+S259,ROUND('Budget by Source'!F259/10,0))</f>
        <v>5987</v>
      </c>
      <c r="G259" s="22">
        <f>IF(Notes!$B$2="June",ROUND('Budget by Source'!G259/10,0)+T259,ROUND('Budget by Source'!G259/10,0))</f>
        <v>26831</v>
      </c>
      <c r="H259" s="22">
        <f t="shared" si="9"/>
        <v>341464</v>
      </c>
      <c r="I259" s="22">
        <f>INDEX(Data[],MATCH($A259,Data[Dist],0),MATCH(I$5,Data[#Headers],0))</f>
        <v>448827</v>
      </c>
      <c r="K259" s="69">
        <f>INDEX('Payment Total'!$A$7:$H$333,MATCH('Payment by Source'!$A259,'Payment Total'!$A$7:$A$333,0),3)-I259</f>
        <v>0</v>
      </c>
      <c r="P259" s="154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-3</v>
      </c>
      <c r="Q259" s="154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0</v>
      </c>
      <c r="R259" s="154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3</v>
      </c>
      <c r="S259" s="154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-5</v>
      </c>
      <c r="T259" s="154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4</v>
      </c>
      <c r="U259" s="155">
        <f>INDEX('Budget by Source'!$A$6:$I$332,MATCH('Payment by Source'!$A259,'Budget by Source'!$A$6:$A$332,0),MATCH(U$3,'Budget by Source'!$A$5:$I$5,0))</f>
        <v>3414639</v>
      </c>
      <c r="V259" s="152">
        <f t="shared" si="10"/>
        <v>341464</v>
      </c>
      <c r="W259" s="152">
        <f t="shared" si="11"/>
        <v>3414640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26567</v>
      </c>
      <c r="D260" s="22">
        <f>IF(Notes!$B$2="June",ROUND('Budget by Source'!D260/10,0)+Q260,ROUND('Budget by Source'!D260/10,0))</f>
        <v>68690</v>
      </c>
      <c r="E260" s="22">
        <f>IF(Notes!$B$2="June",ROUND('Budget by Source'!E260/10,0)+R260,ROUND('Budget by Source'!E260/10,0))</f>
        <v>8510</v>
      </c>
      <c r="F260" s="22">
        <f>IF(Notes!$B$2="June",ROUND('Budget by Source'!F260/10,0)+S260,ROUND('Budget by Source'!F260/10,0))</f>
        <v>7310</v>
      </c>
      <c r="G260" s="22">
        <f>IF(Notes!$B$2="June",ROUND('Budget by Source'!G260/10,0)+T260,ROUND('Budget by Source'!G260/10,0))</f>
        <v>39945</v>
      </c>
      <c r="H260" s="22">
        <f t="shared" si="9"/>
        <v>623822</v>
      </c>
      <c r="I260" s="22">
        <f>INDEX(Data[],MATCH($A260,Data[Dist],0),MATCH(I$5,Data[#Headers],0))</f>
        <v>774844</v>
      </c>
      <c r="K260" s="69">
        <f>INDEX('Payment Total'!$A$7:$H$333,MATCH('Payment by Source'!$A260,'Payment Total'!$A$7:$A$333,0),3)-I260</f>
        <v>0</v>
      </c>
      <c r="P260" s="154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4</v>
      </c>
      <c r="Q260" s="154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4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3</v>
      </c>
      <c r="S260" s="154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2</v>
      </c>
      <c r="T260" s="154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-2</v>
      </c>
      <c r="U260" s="155">
        <f>INDEX('Budget by Source'!$A$6:$I$332,MATCH('Payment by Source'!$A260,'Budget by Source'!$A$6:$A$332,0),MATCH(U$3,'Budget by Source'!$A$5:$I$5,0))</f>
        <v>6238213</v>
      </c>
      <c r="V260" s="152">
        <f t="shared" si="10"/>
        <v>623821</v>
      </c>
      <c r="W260" s="152">
        <f t="shared" si="11"/>
        <v>6238210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19926</v>
      </c>
      <c r="D261" s="22">
        <f>IF(Notes!$B$2="June",ROUND('Budget by Source'!D261/10,0)+Q261,ROUND('Budget by Source'!D261/10,0))</f>
        <v>69167</v>
      </c>
      <c r="E261" s="22">
        <f>IF(Notes!$B$2="June",ROUND('Budget by Source'!E261/10,0)+R261,ROUND('Budget by Source'!E261/10,0))</f>
        <v>8766</v>
      </c>
      <c r="F261" s="22">
        <f>IF(Notes!$B$2="June",ROUND('Budget by Source'!F261/10,0)+S261,ROUND('Budget by Source'!F261/10,0))</f>
        <v>7513</v>
      </c>
      <c r="G261" s="22">
        <f>IF(Notes!$B$2="June",ROUND('Budget by Source'!G261/10,0)+T261,ROUND('Budget by Source'!G261/10,0))</f>
        <v>37107</v>
      </c>
      <c r="H261" s="22">
        <f t="shared" si="9"/>
        <v>562986</v>
      </c>
      <c r="I261" s="22">
        <f>INDEX(Data[],MATCH($A261,Data[Dist],0),MATCH(I$5,Data[#Headers],0))</f>
        <v>705465</v>
      </c>
      <c r="K261" s="69">
        <f>INDEX('Payment Total'!$A$7:$H$333,MATCH('Payment by Source'!$A261,'Payment Total'!$A$7:$A$333,0),3)-I261</f>
        <v>0</v>
      </c>
      <c r="P261" s="154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4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3</v>
      </c>
      <c r="R261" s="154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-4</v>
      </c>
      <c r="S261" s="154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-2</v>
      </c>
      <c r="T261" s="154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4</v>
      </c>
      <c r="U261" s="155">
        <f>INDEX('Budget by Source'!$A$6:$I$332,MATCH('Payment by Source'!$A261,'Budget by Source'!$A$6:$A$332,0),MATCH(U$3,'Budget by Source'!$A$5:$I$5,0))</f>
        <v>5629867</v>
      </c>
      <c r="V261" s="152">
        <f t="shared" si="10"/>
        <v>562987</v>
      </c>
      <c r="W261" s="152">
        <f t="shared" si="11"/>
        <v>5629870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11808</v>
      </c>
      <c r="D262" s="22">
        <f>IF(Notes!$B$2="June",ROUND('Budget by Source'!D262/10,0)+Q262,ROUND('Budget by Source'!D262/10,0))</f>
        <v>47094</v>
      </c>
      <c r="E262" s="22">
        <f>IF(Notes!$B$2="June",ROUND('Budget by Source'!E262/10,0)+R262,ROUND('Budget by Source'!E262/10,0))</f>
        <v>5526</v>
      </c>
      <c r="F262" s="22">
        <f>IF(Notes!$B$2="June",ROUND('Budget by Source'!F262/10,0)+S262,ROUND('Budget by Source'!F262/10,0))</f>
        <v>4842</v>
      </c>
      <c r="G262" s="22">
        <f>IF(Notes!$B$2="June",ROUND('Budget by Source'!G262/10,0)+T262,ROUND('Budget by Source'!G262/10,0))</f>
        <v>25404</v>
      </c>
      <c r="H262" s="22">
        <f t="shared" si="9"/>
        <v>351087</v>
      </c>
      <c r="I262" s="22">
        <f>INDEX(Data[],MATCH($A262,Data[Dist],0),MATCH(I$5,Data[#Headers],0))</f>
        <v>445761</v>
      </c>
      <c r="K262" s="69">
        <f>INDEX('Payment Total'!$A$7:$H$333,MATCH('Payment by Source'!$A262,'Payment Total'!$A$7:$A$333,0),3)-I262</f>
        <v>0</v>
      </c>
      <c r="P262" s="154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-3</v>
      </c>
      <c r="Q262" s="154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4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-1</v>
      </c>
      <c r="S262" s="154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2</v>
      </c>
      <c r="T262" s="154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-2</v>
      </c>
      <c r="U262" s="155">
        <f>INDEX('Budget by Source'!$A$6:$I$332,MATCH('Payment by Source'!$A262,'Budget by Source'!$A$6:$A$332,0),MATCH(U$3,'Budget by Source'!$A$5:$I$5,0))</f>
        <v>3510875</v>
      </c>
      <c r="V262" s="152">
        <f t="shared" si="10"/>
        <v>351088</v>
      </c>
      <c r="W262" s="152">
        <f t="shared" si="11"/>
        <v>3510880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9963</v>
      </c>
      <c r="D263" s="22">
        <f>IF(Notes!$B$2="June",ROUND('Budget by Source'!D263/10,0)+Q263,ROUND('Budget by Source'!D263/10,0))</f>
        <v>26207</v>
      </c>
      <c r="E263" s="22">
        <f>IF(Notes!$B$2="June",ROUND('Budget by Source'!E263/10,0)+R263,ROUND('Budget by Source'!E263/10,0))</f>
        <v>2964</v>
      </c>
      <c r="F263" s="22">
        <f>IF(Notes!$B$2="June",ROUND('Budget by Source'!F263/10,0)+S263,ROUND('Budget by Source'!F263/10,0))</f>
        <v>2781</v>
      </c>
      <c r="G263" s="22">
        <f>IF(Notes!$B$2="June",ROUND('Budget by Source'!G263/10,0)+T263,ROUND('Budget by Source'!G263/10,0))</f>
        <v>13267</v>
      </c>
      <c r="H263" s="22">
        <f t="shared" ref="H263:H326" si="12">I263-SUM(C263:G263)</f>
        <v>192256</v>
      </c>
      <c r="I263" s="22">
        <f>INDEX(Data[],MATCH($A263,Data[Dist],0),MATCH(I$5,Data[#Headers],0))</f>
        <v>247438</v>
      </c>
      <c r="K263" s="69">
        <f>INDEX('Payment Total'!$A$7:$H$333,MATCH('Payment by Source'!$A263,'Payment Total'!$A$7:$A$333,0),3)-I263</f>
        <v>0</v>
      </c>
      <c r="P263" s="154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-2</v>
      </c>
      <c r="Q263" s="154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4</v>
      </c>
      <c r="R263" s="154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-2</v>
      </c>
      <c r="S263" s="154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-4</v>
      </c>
      <c r="T263" s="154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2</v>
      </c>
      <c r="U263" s="155">
        <f>INDEX('Budget by Source'!$A$6:$I$332,MATCH('Payment by Source'!$A263,'Budget by Source'!$A$6:$A$332,0),MATCH(U$3,'Budget by Source'!$A$5:$I$5,0))</f>
        <v>1922561</v>
      </c>
      <c r="V263" s="152">
        <f t="shared" ref="V263:V326" si="13">ROUND(U263/10,0)</f>
        <v>192256</v>
      </c>
      <c r="W263" s="152">
        <f t="shared" ref="W263:W326" si="14">V263*10</f>
        <v>1922560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10332</v>
      </c>
      <c r="D264" s="22">
        <f>IF(Notes!$B$2="June",ROUND('Budget by Source'!D264/10,0)+Q264,ROUND('Budget by Source'!D264/10,0))</f>
        <v>36543</v>
      </c>
      <c r="E264" s="22">
        <f>IF(Notes!$B$2="June",ROUND('Budget by Source'!E264/10,0)+R264,ROUND('Budget by Source'!E264/10,0))</f>
        <v>4016</v>
      </c>
      <c r="F264" s="22">
        <f>IF(Notes!$B$2="June",ROUND('Budget by Source'!F264/10,0)+S264,ROUND('Budget by Source'!F264/10,0))</f>
        <v>3848</v>
      </c>
      <c r="G264" s="22">
        <f>IF(Notes!$B$2="June",ROUND('Budget by Source'!G264/10,0)+T264,ROUND('Budget by Source'!G264/10,0))</f>
        <v>19271</v>
      </c>
      <c r="H264" s="22">
        <f t="shared" si="12"/>
        <v>299363</v>
      </c>
      <c r="I264" s="22">
        <f>INDEX(Data[],MATCH($A264,Data[Dist],0),MATCH(I$5,Data[#Headers],0))</f>
        <v>373373</v>
      </c>
      <c r="K264" s="69">
        <f>INDEX('Payment Total'!$A$7:$H$333,MATCH('Payment by Source'!$A264,'Payment Total'!$A$7:$A$333,0),3)-I264</f>
        <v>0</v>
      </c>
      <c r="P264" s="154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-2</v>
      </c>
      <c r="Q264" s="154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-1</v>
      </c>
      <c r="R264" s="154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-2</v>
      </c>
      <c r="S264" s="154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-2</v>
      </c>
      <c r="T264" s="154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1</v>
      </c>
      <c r="U264" s="155">
        <f>INDEX('Budget by Source'!$A$6:$I$332,MATCH('Payment by Source'!$A264,'Budget by Source'!$A$6:$A$332,0),MATCH(U$3,'Budget by Source'!$A$5:$I$5,0))</f>
        <v>2993634</v>
      </c>
      <c r="V264" s="152">
        <f t="shared" si="13"/>
        <v>299363</v>
      </c>
      <c r="W264" s="152">
        <f t="shared" si="14"/>
        <v>2993630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52028</v>
      </c>
      <c r="D265" s="22">
        <f>IF(Notes!$B$2="June",ROUND('Budget by Source'!D265/10,0)+Q265,ROUND('Budget by Source'!D265/10,0))</f>
        <v>94788</v>
      </c>
      <c r="E265" s="22">
        <f>IF(Notes!$B$2="June",ROUND('Budget by Source'!E265/10,0)+R265,ROUND('Budget by Source'!E265/10,0))</f>
        <v>12721</v>
      </c>
      <c r="F265" s="22">
        <f>IF(Notes!$B$2="June",ROUND('Budget by Source'!F265/10,0)+S265,ROUND('Budget by Source'!F265/10,0))</f>
        <v>12066</v>
      </c>
      <c r="G265" s="22">
        <f>IF(Notes!$B$2="June",ROUND('Budget by Source'!G265/10,0)+T265,ROUND('Budget by Source'!G265/10,0))</f>
        <v>52901</v>
      </c>
      <c r="H265" s="22">
        <f t="shared" si="12"/>
        <v>818915</v>
      </c>
      <c r="I265" s="22">
        <f>INDEX(Data[],MATCH($A265,Data[Dist],0),MATCH(I$5,Data[#Headers],0))</f>
        <v>1043419</v>
      </c>
      <c r="K265" s="69">
        <f>INDEX('Payment Total'!$A$7:$H$333,MATCH('Payment by Source'!$A265,'Payment Total'!$A$7:$A$333,0),3)-I265</f>
        <v>0</v>
      </c>
      <c r="P265" s="154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-1</v>
      </c>
      <c r="Q265" s="154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1</v>
      </c>
      <c r="R265" s="154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0</v>
      </c>
      <c r="S265" s="154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0</v>
      </c>
      <c r="T265" s="154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-3</v>
      </c>
      <c r="U265" s="155">
        <f>INDEX('Budget by Source'!$A$6:$I$332,MATCH('Payment by Source'!$A265,'Budget by Source'!$A$6:$A$332,0),MATCH(U$3,'Budget by Source'!$A$5:$I$5,0))</f>
        <v>8189154</v>
      </c>
      <c r="V265" s="152">
        <f t="shared" si="13"/>
        <v>818915</v>
      </c>
      <c r="W265" s="152">
        <f t="shared" si="14"/>
        <v>8189150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243903</v>
      </c>
      <c r="D266" s="22">
        <f>IF(Notes!$B$2="June",ROUND('Budget by Source'!D266/10,0)+Q266,ROUND('Budget by Source'!D266/10,0))</f>
        <v>920337</v>
      </c>
      <c r="E266" s="22">
        <f>IF(Notes!$B$2="June",ROUND('Budget by Source'!E266/10,0)+R266,ROUND('Budget by Source'!E266/10,0))</f>
        <v>135289</v>
      </c>
      <c r="F266" s="22">
        <f>IF(Notes!$B$2="June",ROUND('Budget by Source'!F266/10,0)+S266,ROUND('Budget by Source'!F266/10,0))</f>
        <v>109255</v>
      </c>
      <c r="G266" s="22">
        <f>IF(Notes!$B$2="June",ROUND('Budget by Source'!G266/10,0)+T266,ROUND('Budget by Source'!G266/10,0))</f>
        <v>531999</v>
      </c>
      <c r="H266" s="22">
        <f t="shared" si="12"/>
        <v>10674926</v>
      </c>
      <c r="I266" s="22">
        <f>INDEX(Data[],MATCH($A266,Data[Dist],0),MATCH(I$5,Data[#Headers],0))</f>
        <v>12615709</v>
      </c>
      <c r="K266" s="69">
        <f>INDEX('Payment Total'!$A$7:$H$333,MATCH('Payment by Source'!$A266,'Payment Total'!$A$7:$A$333,0),3)-I266</f>
        <v>0</v>
      </c>
      <c r="P266" s="154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4</v>
      </c>
      <c r="Q266" s="154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-4</v>
      </c>
      <c r="R266" s="154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4</v>
      </c>
      <c r="S266" s="154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-5</v>
      </c>
      <c r="T266" s="154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-5</v>
      </c>
      <c r="U266" s="155">
        <f>INDEX('Budget by Source'!$A$6:$I$332,MATCH('Payment by Source'!$A266,'Budget by Source'!$A$6:$A$332,0),MATCH(U$3,'Budget by Source'!$A$5:$I$5,0))</f>
        <v>106749263</v>
      </c>
      <c r="V266" s="152">
        <f t="shared" si="13"/>
        <v>10674926</v>
      </c>
      <c r="W266" s="152">
        <f t="shared" si="14"/>
        <v>106749260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8856</v>
      </c>
      <c r="D267" s="22">
        <f>IF(Notes!$B$2="June",ROUND('Budget by Source'!D267/10,0)+Q267,ROUND('Budget by Source'!D267/10,0))</f>
        <v>34293</v>
      </c>
      <c r="E267" s="22">
        <f>IF(Notes!$B$2="June",ROUND('Budget by Source'!E267/10,0)+R267,ROUND('Budget by Source'!E267/10,0))</f>
        <v>3607</v>
      </c>
      <c r="F267" s="22">
        <f>IF(Notes!$B$2="June",ROUND('Budget by Source'!F267/10,0)+S267,ROUND('Budget by Source'!F267/10,0))</f>
        <v>3926</v>
      </c>
      <c r="G267" s="22">
        <f>IF(Notes!$B$2="June",ROUND('Budget by Source'!G267/10,0)+T267,ROUND('Budget by Source'!G267/10,0))</f>
        <v>16165</v>
      </c>
      <c r="H267" s="22">
        <f t="shared" si="12"/>
        <v>181859</v>
      </c>
      <c r="I267" s="22">
        <f>INDEX(Data[],MATCH($A267,Data[Dist],0),MATCH(I$5,Data[#Headers],0))</f>
        <v>248706</v>
      </c>
      <c r="K267" s="69">
        <f>INDEX('Payment Total'!$A$7:$H$333,MATCH('Payment by Source'!$A267,'Payment Total'!$A$7:$A$333,0),3)-I267</f>
        <v>0</v>
      </c>
      <c r="P267" s="154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-2</v>
      </c>
      <c r="Q267" s="154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0</v>
      </c>
      <c r="R267" s="154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-4</v>
      </c>
      <c r="S267" s="154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-3</v>
      </c>
      <c r="T267" s="154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5">
        <f>INDEX('Budget by Source'!$A$6:$I$332,MATCH('Payment by Source'!$A267,'Budget by Source'!$A$6:$A$332,0),MATCH(U$3,'Budget by Source'!$A$5:$I$5,0))</f>
        <v>1818598</v>
      </c>
      <c r="V267" s="152">
        <f t="shared" si="13"/>
        <v>181860</v>
      </c>
      <c r="W267" s="152">
        <f t="shared" si="14"/>
        <v>1818600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17343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348956</v>
      </c>
      <c r="I268" s="22">
        <f>INDEX(Data[],MATCH($A268,Data[Dist],0),MATCH(I$5,Data[#Headers],0))</f>
        <v>475938</v>
      </c>
      <c r="K268" s="69">
        <f>INDEX('Payment Total'!$A$7:$H$333,MATCH('Payment by Source'!$A268,'Payment Total'!$A$7:$A$333,0),3)-I268</f>
        <v>0</v>
      </c>
      <c r="P268" s="154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-3</v>
      </c>
      <c r="Q268" s="154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4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4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4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5">
        <f>INDEX('Budget by Source'!$A$6:$I$332,MATCH('Payment by Source'!$A268,'Budget by Source'!$A$6:$A$332,0),MATCH(U$3,'Budget by Source'!$A$5:$I$5,0))</f>
        <v>3489561</v>
      </c>
      <c r="V268" s="152">
        <f t="shared" si="13"/>
        <v>348956</v>
      </c>
      <c r="W268" s="152">
        <f t="shared" si="14"/>
        <v>3489560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18819</v>
      </c>
      <c r="D269" s="22">
        <f>IF(Notes!$B$2="June",ROUND('Budget by Source'!D269/10,0)+Q269,ROUND('Budget by Source'!D269/10,0))</f>
        <v>87284</v>
      </c>
      <c r="E269" s="22">
        <f>IF(Notes!$B$2="June",ROUND('Budget by Source'!E269/10,0)+R269,ROUND('Budget by Source'!E269/10,0))</f>
        <v>8470</v>
      </c>
      <c r="F269" s="22">
        <f>IF(Notes!$B$2="June",ROUND('Budget by Source'!F269/10,0)+S269,ROUND('Budget by Source'!F269/10,0))</f>
        <v>9108</v>
      </c>
      <c r="G269" s="22">
        <f>IF(Notes!$B$2="June",ROUND('Budget by Source'!G269/10,0)+T269,ROUND('Budget by Source'!G269/10,0))</f>
        <v>51158</v>
      </c>
      <c r="H269" s="22">
        <f t="shared" si="12"/>
        <v>714761</v>
      </c>
      <c r="I269" s="22">
        <f>INDEX(Data[],MATCH($A269,Data[Dist],0),MATCH(I$5,Data[#Headers],0))</f>
        <v>889600</v>
      </c>
      <c r="K269" s="69">
        <f>INDEX('Payment Total'!$A$7:$H$333,MATCH('Payment by Source'!$A269,'Payment Total'!$A$7:$A$333,0),3)-I269</f>
        <v>0</v>
      </c>
      <c r="P269" s="154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-4</v>
      </c>
      <c r="Q269" s="154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-4</v>
      </c>
      <c r="R269" s="154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1</v>
      </c>
      <c r="S269" s="154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-2</v>
      </c>
      <c r="T269" s="154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2</v>
      </c>
      <c r="U269" s="155">
        <f>INDEX('Budget by Source'!$A$6:$I$332,MATCH('Payment by Source'!$A269,'Budget by Source'!$A$6:$A$332,0),MATCH(U$3,'Budget by Source'!$A$5:$I$5,0))</f>
        <v>7147614</v>
      </c>
      <c r="V269" s="152">
        <f t="shared" si="13"/>
        <v>714761</v>
      </c>
      <c r="W269" s="152">
        <f t="shared" si="14"/>
        <v>7147610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6642</v>
      </c>
      <c r="D270" s="22">
        <f>IF(Notes!$B$2="June",ROUND('Budget by Source'!D270/10,0)+Q270,ROUND('Budget by Source'!D270/10,0))</f>
        <v>34406</v>
      </c>
      <c r="E270" s="22">
        <f>IF(Notes!$B$2="June",ROUND('Budget by Source'!E270/10,0)+R270,ROUND('Budget by Source'!E270/10,0))</f>
        <v>3563</v>
      </c>
      <c r="F270" s="22">
        <f>IF(Notes!$B$2="June",ROUND('Budget by Source'!F270/10,0)+S270,ROUND('Budget by Source'!F270/10,0))</f>
        <v>3656</v>
      </c>
      <c r="G270" s="22">
        <f>IF(Notes!$B$2="June",ROUND('Budget by Source'!G270/10,0)+T270,ROUND('Budget by Source'!G270/10,0))</f>
        <v>19017</v>
      </c>
      <c r="H270" s="22">
        <f t="shared" si="12"/>
        <v>324501</v>
      </c>
      <c r="I270" s="22">
        <f>INDEX(Data[],MATCH($A270,Data[Dist],0),MATCH(I$5,Data[#Headers],0))</f>
        <v>391785</v>
      </c>
      <c r="K270" s="69">
        <f>INDEX('Payment Total'!$A$7:$H$333,MATCH('Payment by Source'!$A270,'Payment Total'!$A$7:$A$333,0),3)-I270</f>
        <v>0</v>
      </c>
      <c r="P270" s="154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-2</v>
      </c>
      <c r="Q270" s="154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1</v>
      </c>
      <c r="R270" s="154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4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4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5">
        <f>INDEX('Budget by Source'!$A$6:$I$332,MATCH('Payment by Source'!$A270,'Budget by Source'!$A$6:$A$332,0),MATCH(U$3,'Budget by Source'!$A$5:$I$5,0))</f>
        <v>3245008</v>
      </c>
      <c r="V270" s="152">
        <f t="shared" si="13"/>
        <v>324501</v>
      </c>
      <c r="W270" s="152">
        <f t="shared" si="14"/>
        <v>3245010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12553</v>
      </c>
      <c r="D271" s="22">
        <f>IF(Notes!$B$2="June",ROUND('Budget by Source'!D271/10,0)+Q271,ROUND('Budget by Source'!D271/10,0))</f>
        <v>44238</v>
      </c>
      <c r="E271" s="22">
        <f>IF(Notes!$B$2="June",ROUND('Budget by Source'!E271/10,0)+R271,ROUND('Budget by Source'!E271/10,0))</f>
        <v>5018</v>
      </c>
      <c r="F271" s="22">
        <f>IF(Notes!$B$2="June",ROUND('Budget by Source'!F271/10,0)+S271,ROUND('Budget by Source'!F271/10,0))</f>
        <v>5213</v>
      </c>
      <c r="G271" s="22">
        <f>IF(Notes!$B$2="June",ROUND('Budget by Source'!G271/10,0)+T271,ROUND('Budget by Source'!G271/10,0))</f>
        <v>22588</v>
      </c>
      <c r="H271" s="22">
        <f t="shared" si="12"/>
        <v>265715</v>
      </c>
      <c r="I271" s="22">
        <f>INDEX(Data[],MATCH($A271,Data[Dist],0),MATCH(I$5,Data[#Headers],0))</f>
        <v>355325</v>
      </c>
      <c r="K271" s="69">
        <f>INDEX('Payment Total'!$A$7:$H$333,MATCH('Payment by Source'!$A271,'Payment Total'!$A$7:$A$333,0),3)-I271</f>
        <v>0</v>
      </c>
      <c r="P271" s="154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4</v>
      </c>
      <c r="Q271" s="154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-3</v>
      </c>
      <c r="R271" s="154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-4</v>
      </c>
      <c r="S271" s="154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3</v>
      </c>
      <c r="T271" s="154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-1</v>
      </c>
      <c r="U271" s="155">
        <f>INDEX('Budget by Source'!$A$6:$I$332,MATCH('Payment by Source'!$A271,'Budget by Source'!$A$6:$A$332,0),MATCH(U$3,'Budget by Source'!$A$5:$I$5,0))</f>
        <v>2657146</v>
      </c>
      <c r="V271" s="152">
        <f t="shared" si="13"/>
        <v>265715</v>
      </c>
      <c r="W271" s="152">
        <f t="shared" si="14"/>
        <v>2657150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8118</v>
      </c>
      <c r="D272" s="22">
        <f>IF(Notes!$B$2="June",ROUND('Budget by Source'!D272/10,0)+Q272,ROUND('Budget by Source'!D272/10,0))</f>
        <v>36626</v>
      </c>
      <c r="E272" s="22">
        <f>IF(Notes!$B$2="June",ROUND('Budget by Source'!E272/10,0)+R272,ROUND('Budget by Source'!E272/10,0))</f>
        <v>4442</v>
      </c>
      <c r="F272" s="22">
        <f>IF(Notes!$B$2="June",ROUND('Budget by Source'!F272/10,0)+S272,ROUND('Budget by Source'!F272/10,0))</f>
        <v>4250</v>
      </c>
      <c r="G272" s="22">
        <f>IF(Notes!$B$2="June",ROUND('Budget by Source'!G272/10,0)+T272,ROUND('Budget by Source'!G272/10,0))</f>
        <v>18792</v>
      </c>
      <c r="H272" s="22">
        <f t="shared" si="12"/>
        <v>215081</v>
      </c>
      <c r="I272" s="22">
        <f>INDEX(Data[],MATCH($A272,Data[Dist],0),MATCH(I$5,Data[#Headers],0))</f>
        <v>287309</v>
      </c>
      <c r="K272" s="69">
        <f>INDEX('Payment Total'!$A$7:$H$333,MATCH('Payment by Source'!$A272,'Payment Total'!$A$7:$A$333,0),3)-I272</f>
        <v>0</v>
      </c>
      <c r="P272" s="154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-2</v>
      </c>
      <c r="Q272" s="154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4</v>
      </c>
      <c r="R272" s="154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-4</v>
      </c>
      <c r="S272" s="154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4</v>
      </c>
      <c r="T272" s="154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-3</v>
      </c>
      <c r="U272" s="155">
        <f>INDEX('Budget by Source'!$A$6:$I$332,MATCH('Payment by Source'!$A272,'Budget by Source'!$A$6:$A$332,0),MATCH(U$3,'Budget by Source'!$A$5:$I$5,0))</f>
        <v>2150810</v>
      </c>
      <c r="V272" s="152">
        <f t="shared" si="13"/>
        <v>215081</v>
      </c>
      <c r="W272" s="152">
        <f t="shared" si="14"/>
        <v>2150810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1845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103543</v>
      </c>
      <c r="I273" s="22">
        <f>INDEX(Data[],MATCH($A273,Data[Dist],0),MATCH(I$5,Data[#Headers],0))</f>
        <v>131041</v>
      </c>
      <c r="K273" s="69">
        <f>INDEX('Payment Total'!$A$7:$H$333,MATCH('Payment by Source'!$A273,'Payment Total'!$A$7:$A$333,0),3)-I273</f>
        <v>0</v>
      </c>
      <c r="P273" s="154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0</v>
      </c>
      <c r="Q273" s="154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4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4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4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5">
        <f>INDEX('Budget by Source'!$A$6:$I$332,MATCH('Payment by Source'!$A273,'Budget by Source'!$A$6:$A$332,0),MATCH(U$3,'Budget by Source'!$A$5:$I$5,0))</f>
        <v>1035428</v>
      </c>
      <c r="V273" s="152">
        <f t="shared" si="13"/>
        <v>103543</v>
      </c>
      <c r="W273" s="152">
        <f t="shared" si="14"/>
        <v>1035430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29150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964719</v>
      </c>
      <c r="I274" s="22">
        <f>INDEX(Data[],MATCH($A274,Data[Dist],0),MATCH(I$5,Data[#Headers],0))</f>
        <v>1166011</v>
      </c>
      <c r="K274" s="69">
        <f>INDEX('Payment Total'!$A$7:$H$333,MATCH('Payment by Source'!$A274,'Payment Total'!$A$7:$A$333,0),3)-I274</f>
        <v>0</v>
      </c>
      <c r="P274" s="154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4</v>
      </c>
      <c r="Q274" s="154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4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4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4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5">
        <f>INDEX('Budget by Source'!$A$6:$I$332,MATCH('Payment by Source'!$A274,'Budget by Source'!$A$6:$A$332,0),MATCH(U$3,'Budget by Source'!$A$5:$I$5,0))</f>
        <v>9647172</v>
      </c>
      <c r="V274" s="152">
        <f t="shared" si="13"/>
        <v>964717</v>
      </c>
      <c r="W274" s="152">
        <f t="shared" si="14"/>
        <v>9647170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21771</v>
      </c>
      <c r="D275" s="22">
        <f>IF(Notes!$B$2="June",ROUND('Budget by Source'!D275/10,0)+Q275,ROUND('Budget by Source'!D275/10,0))</f>
        <v>33253</v>
      </c>
      <c r="E275" s="22">
        <f>IF(Notes!$B$2="June",ROUND('Budget by Source'!E275/10,0)+R275,ROUND('Budget by Source'!E275/10,0))</f>
        <v>3006</v>
      </c>
      <c r="F275" s="22">
        <f>IF(Notes!$B$2="June",ROUND('Budget by Source'!F275/10,0)+S275,ROUND('Budget by Source'!F275/10,0))</f>
        <v>3823</v>
      </c>
      <c r="G275" s="22">
        <f>IF(Notes!$B$2="June",ROUND('Budget by Source'!G275/10,0)+T275,ROUND('Budget by Source'!G275/10,0))</f>
        <v>18148</v>
      </c>
      <c r="H275" s="22">
        <f t="shared" si="12"/>
        <v>264858</v>
      </c>
      <c r="I275" s="22">
        <f>INDEX(Data[],MATCH($A275,Data[Dist],0),MATCH(I$5,Data[#Headers],0))</f>
        <v>344859</v>
      </c>
      <c r="K275" s="69">
        <f>INDEX('Payment Total'!$A$7:$H$333,MATCH('Payment by Source'!$A275,'Payment Total'!$A$7:$A$333,0),3)-I275</f>
        <v>0</v>
      </c>
      <c r="P275" s="154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-5</v>
      </c>
      <c r="Q275" s="154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0</v>
      </c>
      <c r="R275" s="154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4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-2</v>
      </c>
      <c r="T275" s="154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-4</v>
      </c>
      <c r="U275" s="155">
        <f>INDEX('Budget by Source'!$A$6:$I$332,MATCH('Payment by Source'!$A275,'Budget by Source'!$A$6:$A$332,0),MATCH(U$3,'Budget by Source'!$A$5:$I$5,0))</f>
        <v>2648587</v>
      </c>
      <c r="V275" s="152">
        <f t="shared" si="13"/>
        <v>264859</v>
      </c>
      <c r="W275" s="152">
        <f t="shared" si="14"/>
        <v>2648590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106270</v>
      </c>
      <c r="D276" s="22">
        <f>IF(Notes!$B$2="June",ROUND('Budget by Source'!D276/10,0)+Q276,ROUND('Budget by Source'!D276/10,0))</f>
        <v>422675</v>
      </c>
      <c r="E276" s="22">
        <f>IF(Notes!$B$2="June",ROUND('Budget by Source'!E276/10,0)+R276,ROUND('Budget by Source'!E276/10,0))</f>
        <v>48389</v>
      </c>
      <c r="F276" s="22">
        <f>IF(Notes!$B$2="June",ROUND('Budget by Source'!F276/10,0)+S276,ROUND('Budget by Source'!F276/10,0))</f>
        <v>48347</v>
      </c>
      <c r="G276" s="22">
        <f>IF(Notes!$B$2="June",ROUND('Budget by Source'!G276/10,0)+T276,ROUND('Budget by Source'!G276/10,0))</f>
        <v>251322</v>
      </c>
      <c r="H276" s="22">
        <f t="shared" si="12"/>
        <v>4222047</v>
      </c>
      <c r="I276" s="22">
        <f>INDEX(Data[],MATCH($A276,Data[Dist],0),MATCH(I$5,Data[#Headers],0))</f>
        <v>5099050</v>
      </c>
      <c r="K276" s="69">
        <f>INDEX('Payment Total'!$A$7:$H$333,MATCH('Payment by Source'!$A276,'Payment Total'!$A$7:$A$333,0),3)-I276</f>
        <v>0</v>
      </c>
      <c r="P276" s="154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4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2</v>
      </c>
      <c r="R276" s="154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0</v>
      </c>
      <c r="S276" s="154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-1</v>
      </c>
      <c r="T276" s="154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3</v>
      </c>
      <c r="U276" s="155">
        <f>INDEX('Budget by Source'!$A$6:$I$332,MATCH('Payment by Source'!$A276,'Budget by Source'!$A$6:$A$332,0),MATCH(U$3,'Budget by Source'!$A$5:$I$5,0))</f>
        <v>42220467</v>
      </c>
      <c r="V276" s="152">
        <f t="shared" si="13"/>
        <v>4222047</v>
      </c>
      <c r="W276" s="152">
        <f t="shared" si="14"/>
        <v>42220470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56825</v>
      </c>
      <c r="D277" s="22">
        <f>IF(Notes!$B$2="June",ROUND('Budget by Source'!D277/10,0)+Q277,ROUND('Budget by Source'!D277/10,0))</f>
        <v>128907</v>
      </c>
      <c r="E277" s="22">
        <f>IF(Notes!$B$2="June",ROUND('Budget by Source'!E277/10,0)+R277,ROUND('Budget by Source'!E277/10,0))</f>
        <v>15326</v>
      </c>
      <c r="F277" s="22">
        <f>IF(Notes!$B$2="June",ROUND('Budget by Source'!F277/10,0)+S277,ROUND('Budget by Source'!F277/10,0))</f>
        <v>15493</v>
      </c>
      <c r="G277" s="22">
        <f>IF(Notes!$B$2="June",ROUND('Budget by Source'!G277/10,0)+T277,ROUND('Budget by Source'!G277/10,0))</f>
        <v>71646</v>
      </c>
      <c r="H277" s="22">
        <f t="shared" si="12"/>
        <v>1198366</v>
      </c>
      <c r="I277" s="22">
        <f>INDEX(Data[],MATCH($A277,Data[Dist],0),MATCH(I$5,Data[#Headers],0))</f>
        <v>1486563</v>
      </c>
      <c r="K277" s="69">
        <f>INDEX('Payment Total'!$A$7:$H$333,MATCH('Payment by Source'!$A277,'Payment Total'!$A$7:$A$333,0),3)-I277</f>
        <v>0</v>
      </c>
      <c r="P277" s="154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-3</v>
      </c>
      <c r="Q277" s="154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-5</v>
      </c>
      <c r="R277" s="154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4</v>
      </c>
      <c r="S277" s="154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4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5">
        <f>INDEX('Budget by Source'!$A$6:$I$332,MATCH('Payment by Source'!$A277,'Budget by Source'!$A$6:$A$332,0),MATCH(U$3,'Budget by Source'!$A$5:$I$5,0))</f>
        <v>11983665</v>
      </c>
      <c r="V277" s="152">
        <f t="shared" si="13"/>
        <v>1198367</v>
      </c>
      <c r="W277" s="152">
        <f t="shared" si="14"/>
        <v>11983670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25091</v>
      </c>
      <c r="D278" s="22">
        <f>IF(Notes!$B$2="June",ROUND('Budget by Source'!D278/10,0)+Q278,ROUND('Budget by Source'!D278/10,0))</f>
        <v>73170</v>
      </c>
      <c r="E278" s="22">
        <f>IF(Notes!$B$2="June",ROUND('Budget by Source'!E278/10,0)+R278,ROUND('Budget by Source'!E278/10,0))</f>
        <v>8353</v>
      </c>
      <c r="F278" s="22">
        <f>IF(Notes!$B$2="June",ROUND('Budget by Source'!F278/10,0)+S278,ROUND('Budget by Source'!F278/10,0))</f>
        <v>8648</v>
      </c>
      <c r="G278" s="22">
        <f>IF(Notes!$B$2="June",ROUND('Budget by Source'!G278/10,0)+T278,ROUND('Budget by Source'!G278/10,0))</f>
        <v>41000</v>
      </c>
      <c r="H278" s="22">
        <f t="shared" si="12"/>
        <v>113330</v>
      </c>
      <c r="I278" s="22">
        <f>INDEX(Data[],MATCH($A278,Data[Dist],0),MATCH(I$5,Data[#Headers],0))</f>
        <v>269592</v>
      </c>
      <c r="K278" s="69">
        <f>INDEX('Payment Total'!$A$7:$H$333,MATCH('Payment by Source'!$A278,'Payment Total'!$A$7:$A$333,0),3)-I278</f>
        <v>0</v>
      </c>
      <c r="P278" s="154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4</v>
      </c>
      <c r="Q278" s="154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3</v>
      </c>
      <c r="R278" s="154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-5</v>
      </c>
      <c r="S278" s="154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4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3</v>
      </c>
      <c r="U278" s="155">
        <f>INDEX('Budget by Source'!$A$6:$I$332,MATCH('Payment by Source'!$A278,'Budget by Source'!$A$6:$A$332,0),MATCH(U$3,'Budget by Source'!$A$5:$I$5,0))</f>
        <v>1133295</v>
      </c>
      <c r="V278" s="152">
        <f t="shared" si="13"/>
        <v>113330</v>
      </c>
      <c r="W278" s="152">
        <f t="shared" si="14"/>
        <v>1133300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11070</v>
      </c>
      <c r="D279" s="22">
        <f>IF(Notes!$B$2="June",ROUND('Budget by Source'!D279/10,0)+Q279,ROUND('Budget by Source'!D279/10,0))</f>
        <v>27386</v>
      </c>
      <c r="E279" s="22">
        <f>IF(Notes!$B$2="June",ROUND('Budget by Source'!E279/10,0)+R279,ROUND('Budget by Source'!E279/10,0))</f>
        <v>2494</v>
      </c>
      <c r="F279" s="22">
        <f>IF(Notes!$B$2="June",ROUND('Budget by Source'!F279/10,0)+S279,ROUND('Budget by Source'!F279/10,0))</f>
        <v>2660</v>
      </c>
      <c r="G279" s="22">
        <f>IF(Notes!$B$2="June",ROUND('Budget by Source'!G279/10,0)+T279,ROUND('Budget by Source'!G279/10,0))</f>
        <v>14351</v>
      </c>
      <c r="H279" s="22">
        <f t="shared" si="12"/>
        <v>215383</v>
      </c>
      <c r="I279" s="22">
        <f>INDEX(Data[],MATCH($A279,Data[Dist],0),MATCH(I$5,Data[#Headers],0))</f>
        <v>273344</v>
      </c>
      <c r="K279" s="69">
        <f>INDEX('Payment Total'!$A$7:$H$333,MATCH('Payment by Source'!$A279,'Payment Total'!$A$7:$A$333,0),3)-I279</f>
        <v>0</v>
      </c>
      <c r="P279" s="154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-3</v>
      </c>
      <c r="Q279" s="154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-1</v>
      </c>
      <c r="R279" s="154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4</v>
      </c>
      <c r="S279" s="154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1</v>
      </c>
      <c r="T279" s="154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5">
        <f>INDEX('Budget by Source'!$A$6:$I$332,MATCH('Payment by Source'!$A279,'Budget by Source'!$A$6:$A$332,0),MATCH(U$3,'Budget by Source'!$A$5:$I$5,0))</f>
        <v>2153828</v>
      </c>
      <c r="V279" s="152">
        <f t="shared" si="13"/>
        <v>215383</v>
      </c>
      <c r="W279" s="152">
        <f t="shared" si="14"/>
        <v>2153830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5166</v>
      </c>
      <c r="D280" s="22">
        <f>IF(Notes!$B$2="June",ROUND('Budget by Source'!D280/10,0)+Q280,ROUND('Budget by Source'!D280/10,0))</f>
        <v>14141</v>
      </c>
      <c r="E280" s="22">
        <f>IF(Notes!$B$2="June",ROUND('Budget by Source'!E280/10,0)+R280,ROUND('Budget by Source'!E280/10,0))</f>
        <v>1438</v>
      </c>
      <c r="F280" s="22">
        <f>IF(Notes!$B$2="June",ROUND('Budget by Source'!F280/10,0)+S280,ROUND('Budget by Source'!F280/10,0))</f>
        <v>1739</v>
      </c>
      <c r="G280" s="22">
        <f>IF(Notes!$B$2="June",ROUND('Budget by Source'!G280/10,0)+T280,ROUND('Budget by Source'!G280/10,0))</f>
        <v>6959</v>
      </c>
      <c r="H280" s="22">
        <f t="shared" si="12"/>
        <v>115876</v>
      </c>
      <c r="I280" s="22">
        <f>INDEX(Data[],MATCH($A280,Data[Dist],0),MATCH(I$5,Data[#Headers],0))</f>
        <v>145319</v>
      </c>
      <c r="K280" s="69">
        <f>INDEX('Payment Total'!$A$7:$H$333,MATCH('Payment by Source'!$A280,'Payment Total'!$A$7:$A$333,0),3)-I280</f>
        <v>0</v>
      </c>
      <c r="P280" s="154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-1</v>
      </c>
      <c r="Q280" s="154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4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-3</v>
      </c>
      <c r="S280" s="154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0</v>
      </c>
      <c r="T280" s="154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2</v>
      </c>
      <c r="U280" s="155">
        <f>INDEX('Budget by Source'!$A$6:$I$332,MATCH('Payment by Source'!$A280,'Budget by Source'!$A$6:$A$332,0),MATCH(U$3,'Budget by Source'!$A$5:$I$5,0))</f>
        <v>1158769</v>
      </c>
      <c r="V280" s="152">
        <f t="shared" si="13"/>
        <v>115877</v>
      </c>
      <c r="W280" s="152">
        <f t="shared" si="14"/>
        <v>1158770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11808</v>
      </c>
      <c r="D281" s="22">
        <f>IF(Notes!$B$2="June",ROUND('Budget by Source'!D281/10,0)+Q281,ROUND('Budget by Source'!D281/10,0))</f>
        <v>41803</v>
      </c>
      <c r="E281" s="22">
        <f>IF(Notes!$B$2="June",ROUND('Budget by Source'!E281/10,0)+R281,ROUND('Budget by Source'!E281/10,0))</f>
        <v>5136</v>
      </c>
      <c r="F281" s="22">
        <f>IF(Notes!$B$2="June",ROUND('Budget by Source'!F281/10,0)+S281,ROUND('Budget by Source'!F281/10,0))</f>
        <v>4645</v>
      </c>
      <c r="G281" s="22">
        <f>IF(Notes!$B$2="June",ROUND('Budget by Source'!G281/10,0)+T281,ROUND('Budget by Source'!G281/10,0))</f>
        <v>21633</v>
      </c>
      <c r="H281" s="22">
        <f t="shared" si="12"/>
        <v>325842</v>
      </c>
      <c r="I281" s="22">
        <f>INDEX(Data[],MATCH($A281,Data[Dist],0),MATCH(I$5,Data[#Headers],0))</f>
        <v>410867</v>
      </c>
      <c r="K281" s="69">
        <f>INDEX('Payment Total'!$A$7:$H$333,MATCH('Payment by Source'!$A281,'Payment Total'!$A$7:$A$333,0),3)-I281</f>
        <v>0</v>
      </c>
      <c r="P281" s="154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-3</v>
      </c>
      <c r="Q281" s="154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-4</v>
      </c>
      <c r="R281" s="154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-5</v>
      </c>
      <c r="S281" s="154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-5</v>
      </c>
      <c r="T281" s="154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-4</v>
      </c>
      <c r="U281" s="155">
        <f>INDEX('Budget by Source'!$A$6:$I$332,MATCH('Payment by Source'!$A281,'Budget by Source'!$A$6:$A$332,0),MATCH(U$3,'Budget by Source'!$A$5:$I$5,0))</f>
        <v>3258436</v>
      </c>
      <c r="V281" s="152">
        <f t="shared" si="13"/>
        <v>325844</v>
      </c>
      <c r="W281" s="152">
        <f t="shared" si="14"/>
        <v>3258440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58670</v>
      </c>
      <c r="D282" s="22">
        <f>IF(Notes!$B$2="June",ROUND('Budget by Source'!D282/10,0)+Q282,ROUND('Budget by Source'!D282/10,0))</f>
        <v>159877</v>
      </c>
      <c r="E282" s="22">
        <f>IF(Notes!$B$2="June",ROUND('Budget by Source'!E282/10,0)+R282,ROUND('Budget by Source'!E282/10,0))</f>
        <v>23273</v>
      </c>
      <c r="F282" s="22">
        <f>IF(Notes!$B$2="June",ROUND('Budget by Source'!F282/10,0)+S282,ROUND('Budget by Source'!F282/10,0))</f>
        <v>18405</v>
      </c>
      <c r="G282" s="22">
        <f>IF(Notes!$B$2="June",ROUND('Budget by Source'!G282/10,0)+T282,ROUND('Budget by Source'!G282/10,0))</f>
        <v>91962</v>
      </c>
      <c r="H282" s="22">
        <f t="shared" si="12"/>
        <v>1834299</v>
      </c>
      <c r="I282" s="22">
        <f>INDEX(Data[],MATCH($A282,Data[Dist],0),MATCH(I$5,Data[#Headers],0))</f>
        <v>2186486</v>
      </c>
      <c r="K282" s="69">
        <f>INDEX('Payment Total'!$A$7:$H$333,MATCH('Payment by Source'!$A282,'Payment Total'!$A$7:$A$333,0),3)-I282</f>
        <v>0</v>
      </c>
      <c r="P282" s="154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-3</v>
      </c>
      <c r="Q282" s="154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-3</v>
      </c>
      <c r="R282" s="154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2</v>
      </c>
      <c r="S282" s="154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2</v>
      </c>
      <c r="T282" s="154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-2</v>
      </c>
      <c r="U282" s="155">
        <f>INDEX('Budget by Source'!$A$6:$I$332,MATCH('Payment by Source'!$A282,'Budget by Source'!$A$6:$A$332,0),MATCH(U$3,'Budget by Source'!$A$5:$I$5,0))</f>
        <v>18342994</v>
      </c>
      <c r="V282" s="152">
        <f t="shared" si="13"/>
        <v>1834299</v>
      </c>
      <c r="W282" s="152">
        <f t="shared" si="14"/>
        <v>18342990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4428</v>
      </c>
      <c r="D283" s="22">
        <f>IF(Notes!$B$2="June",ROUND('Budget by Source'!D283/10,0)+Q283,ROUND('Budget by Source'!D283/10,0))</f>
        <v>7766</v>
      </c>
      <c r="E283" s="22">
        <f>IF(Notes!$B$2="June",ROUND('Budget by Source'!E283/10,0)+R283,ROUND('Budget by Source'!E283/10,0))</f>
        <v>872</v>
      </c>
      <c r="F283" s="22">
        <f>IF(Notes!$B$2="June",ROUND('Budget by Source'!F283/10,0)+S283,ROUND('Budget by Source'!F283/10,0))</f>
        <v>769</v>
      </c>
      <c r="G283" s="22">
        <f>IF(Notes!$B$2="June",ROUND('Budget by Source'!G283/10,0)+T283,ROUND('Budget by Source'!G283/10,0))</f>
        <v>4523</v>
      </c>
      <c r="H283" s="22">
        <f t="shared" si="12"/>
        <v>60851</v>
      </c>
      <c r="I283" s="22">
        <f>INDEX(Data[],MATCH($A283,Data[Dist],0),MATCH(I$5,Data[#Headers],0))</f>
        <v>79209</v>
      </c>
      <c r="K283" s="69">
        <f>INDEX('Payment Total'!$A$7:$H$333,MATCH('Payment by Source'!$A283,'Payment Total'!$A$7:$A$333,0),3)-I283</f>
        <v>0</v>
      </c>
      <c r="P283" s="154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-1</v>
      </c>
      <c r="Q283" s="154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4</v>
      </c>
      <c r="R283" s="154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-1</v>
      </c>
      <c r="S283" s="154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-5</v>
      </c>
      <c r="T283" s="154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-4</v>
      </c>
      <c r="U283" s="155">
        <f>INDEX('Budget by Source'!$A$6:$I$332,MATCH('Payment by Source'!$A283,'Budget by Source'!$A$6:$A$332,0),MATCH(U$3,'Budget by Source'!$A$5:$I$5,0))</f>
        <v>608519</v>
      </c>
      <c r="V283" s="152">
        <f t="shared" si="13"/>
        <v>60852</v>
      </c>
      <c r="W283" s="152">
        <f t="shared" si="14"/>
        <v>608520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14760</v>
      </c>
      <c r="D284" s="22">
        <f>IF(Notes!$B$2="June",ROUND('Budget by Source'!D284/10,0)+Q284,ROUND('Budget by Source'!D284/10,0))</f>
        <v>60790</v>
      </c>
      <c r="E284" s="22">
        <f>IF(Notes!$B$2="June",ROUND('Budget by Source'!E284/10,0)+R284,ROUND('Budget by Source'!E284/10,0))</f>
        <v>6652</v>
      </c>
      <c r="F284" s="22">
        <f>IF(Notes!$B$2="June",ROUND('Budget by Source'!F284/10,0)+S284,ROUND('Budget by Source'!F284/10,0))</f>
        <v>6029</v>
      </c>
      <c r="G284" s="22">
        <f>IF(Notes!$B$2="June",ROUND('Budget by Source'!G284/10,0)+T284,ROUND('Budget by Source'!G284/10,0))</f>
        <v>33444</v>
      </c>
      <c r="H284" s="22">
        <f t="shared" si="12"/>
        <v>413287</v>
      </c>
      <c r="I284" s="22">
        <f>INDEX(Data[],MATCH($A284,Data[Dist],0),MATCH(I$5,Data[#Headers],0))</f>
        <v>534962</v>
      </c>
      <c r="K284" s="69">
        <f>INDEX('Payment Total'!$A$7:$H$333,MATCH('Payment by Source'!$A284,'Payment Total'!$A$7:$A$333,0),3)-I284</f>
        <v>0</v>
      </c>
      <c r="P284" s="154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-3</v>
      </c>
      <c r="Q284" s="154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1</v>
      </c>
      <c r="R284" s="154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4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4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-4</v>
      </c>
      <c r="U284" s="155">
        <f>INDEX('Budget by Source'!$A$6:$I$332,MATCH('Payment by Source'!$A284,'Budget by Source'!$A$6:$A$332,0),MATCH(U$3,'Budget by Source'!$A$5:$I$5,0))</f>
        <v>4132871</v>
      </c>
      <c r="V284" s="152">
        <f t="shared" si="13"/>
        <v>413287</v>
      </c>
      <c r="W284" s="152">
        <f t="shared" si="14"/>
        <v>4132870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14391</v>
      </c>
      <c r="D285" s="22">
        <f>IF(Notes!$B$2="June",ROUND('Budget by Source'!D285/10,0)+Q285,ROUND('Budget by Source'!D285/10,0))</f>
        <v>51655</v>
      </c>
      <c r="E285" s="22">
        <f>IF(Notes!$B$2="June",ROUND('Budget by Source'!E285/10,0)+R285,ROUND('Budget by Source'!E285/10,0))</f>
        <v>5341</v>
      </c>
      <c r="F285" s="22">
        <f>IF(Notes!$B$2="June",ROUND('Budget by Source'!F285/10,0)+S285,ROUND('Budget by Source'!F285/10,0))</f>
        <v>5696</v>
      </c>
      <c r="G285" s="22">
        <f>IF(Notes!$B$2="June",ROUND('Budget by Source'!G285/10,0)+T285,ROUND('Budget by Source'!G285/10,0))</f>
        <v>28298</v>
      </c>
      <c r="H285" s="22">
        <f t="shared" si="12"/>
        <v>401212</v>
      </c>
      <c r="I285" s="22">
        <f>INDEX(Data[],MATCH($A285,Data[Dist],0),MATCH(I$5,Data[#Headers],0))</f>
        <v>506593</v>
      </c>
      <c r="K285" s="69">
        <f>INDEX('Payment Total'!$A$7:$H$333,MATCH('Payment by Source'!$A285,'Payment Total'!$A$7:$A$333,0),3)-I285</f>
        <v>0</v>
      </c>
      <c r="P285" s="154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-3</v>
      </c>
      <c r="Q285" s="154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-5</v>
      </c>
      <c r="R285" s="154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-1</v>
      </c>
      <c r="S285" s="154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1</v>
      </c>
      <c r="T285" s="154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4</v>
      </c>
      <c r="U285" s="155">
        <f>INDEX('Budget by Source'!$A$6:$I$332,MATCH('Payment by Source'!$A285,'Budget by Source'!$A$6:$A$332,0),MATCH(U$3,'Budget by Source'!$A$5:$I$5,0))</f>
        <v>4012124</v>
      </c>
      <c r="V285" s="152">
        <f t="shared" si="13"/>
        <v>401212</v>
      </c>
      <c r="W285" s="152">
        <f t="shared" si="14"/>
        <v>4012120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15498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461828</v>
      </c>
      <c r="I286" s="22">
        <f>INDEX(Data[],MATCH($A286,Data[Dist],0),MATCH(I$5,Data[#Headers],0))</f>
        <v>572980</v>
      </c>
      <c r="K286" s="69">
        <f>INDEX('Payment Total'!$A$7:$H$333,MATCH('Payment by Source'!$A286,'Payment Total'!$A$7:$A$333,0),3)-I286</f>
        <v>0</v>
      </c>
      <c r="P286" s="154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-4</v>
      </c>
      <c r="Q286" s="154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4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4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4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5">
        <f>INDEX('Budget by Source'!$A$6:$I$332,MATCH('Payment by Source'!$A286,'Budget by Source'!$A$6:$A$332,0),MATCH(U$3,'Budget by Source'!$A$5:$I$5,0))</f>
        <v>4618287</v>
      </c>
      <c r="V286" s="152">
        <f t="shared" si="13"/>
        <v>461829</v>
      </c>
      <c r="W286" s="152">
        <f t="shared" si="14"/>
        <v>4618290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38002</v>
      </c>
      <c r="E287" s="22">
        <f>IF(Notes!$B$2="June",ROUND('Budget by Source'!E287/10,0)+R287,ROUND('Budget by Source'!E287/10,0))</f>
        <v>4218</v>
      </c>
      <c r="F287" s="22">
        <f>IF(Notes!$B$2="June",ROUND('Budget by Source'!F287/10,0)+S287,ROUND('Budget by Source'!F287/10,0))</f>
        <v>4018</v>
      </c>
      <c r="G287" s="22">
        <f>IF(Notes!$B$2="June",ROUND('Budget by Source'!G287/10,0)+T287,ROUND('Budget by Source'!G287/10,0))</f>
        <v>21153</v>
      </c>
      <c r="H287" s="22">
        <f t="shared" si="12"/>
        <v>277577</v>
      </c>
      <c r="I287" s="22">
        <f>INDEX(Data[],MATCH($A287,Data[Dist],0),MATCH(I$5,Data[#Headers],0))</f>
        <v>344968</v>
      </c>
      <c r="K287" s="69">
        <f>INDEX('Payment Total'!$A$7:$H$333,MATCH('Payment by Source'!$A287,'Payment Total'!$A$7:$A$333,0),3)-I287</f>
        <v>0</v>
      </c>
      <c r="P287" s="154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4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-3</v>
      </c>
      <c r="R287" s="154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2</v>
      </c>
      <c r="S287" s="154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-2</v>
      </c>
      <c r="T287" s="154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1</v>
      </c>
      <c r="U287" s="155">
        <f>INDEX('Budget by Source'!$A$6:$I$332,MATCH('Payment by Source'!$A287,'Budget by Source'!$A$6:$A$332,0),MATCH(U$3,'Budget by Source'!$A$5:$I$5,0))</f>
        <v>2775772</v>
      </c>
      <c r="V287" s="152">
        <f t="shared" si="13"/>
        <v>277577</v>
      </c>
      <c r="W287" s="152">
        <f t="shared" si="14"/>
        <v>2775770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16236</v>
      </c>
      <c r="D288" s="22">
        <f>IF(Notes!$B$2="June",ROUND('Budget by Source'!D288/10,0)+Q288,ROUND('Budget by Source'!D288/10,0))</f>
        <v>42692</v>
      </c>
      <c r="E288" s="22">
        <f>IF(Notes!$B$2="June",ROUND('Budget by Source'!E288/10,0)+R288,ROUND('Budget by Source'!E288/10,0))</f>
        <v>4718</v>
      </c>
      <c r="F288" s="22">
        <f>IF(Notes!$B$2="June",ROUND('Budget by Source'!F288/10,0)+S288,ROUND('Budget by Source'!F288/10,0))</f>
        <v>4786</v>
      </c>
      <c r="G288" s="22">
        <f>IF(Notes!$B$2="June",ROUND('Budget by Source'!G288/10,0)+T288,ROUND('Budget by Source'!G288/10,0))</f>
        <v>23869</v>
      </c>
      <c r="H288" s="22">
        <f t="shared" si="12"/>
        <v>358719</v>
      </c>
      <c r="I288" s="22">
        <f>INDEX(Data[],MATCH($A288,Data[Dist],0),MATCH(I$5,Data[#Headers],0))</f>
        <v>451020</v>
      </c>
      <c r="K288" s="69">
        <f>INDEX('Payment Total'!$A$7:$H$333,MATCH('Payment by Source'!$A288,'Payment Total'!$A$7:$A$333,0),3)-I288</f>
        <v>0</v>
      </c>
      <c r="P288" s="154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-4</v>
      </c>
      <c r="Q288" s="154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-3</v>
      </c>
      <c r="R288" s="154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-3</v>
      </c>
      <c r="S288" s="154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-2</v>
      </c>
      <c r="T288" s="154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-2</v>
      </c>
      <c r="U288" s="155">
        <f>INDEX('Budget by Source'!$A$6:$I$332,MATCH('Payment by Source'!$A288,'Budget by Source'!$A$6:$A$332,0),MATCH(U$3,'Budget by Source'!$A$5:$I$5,0))</f>
        <v>3587203</v>
      </c>
      <c r="V288" s="152">
        <f t="shared" si="13"/>
        <v>358720</v>
      </c>
      <c r="W288" s="152">
        <f t="shared" si="14"/>
        <v>3587200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3690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143079</v>
      </c>
      <c r="I289" s="22">
        <f>INDEX(Data[],MATCH($A289,Data[Dist],0),MATCH(I$5,Data[#Headers],0))</f>
        <v>180485</v>
      </c>
      <c r="K289" s="69">
        <f>INDEX('Payment Total'!$A$7:$H$333,MATCH('Payment by Source'!$A289,'Payment Total'!$A$7:$A$333,0),3)-I289</f>
        <v>0</v>
      </c>
      <c r="P289" s="154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-1</v>
      </c>
      <c r="Q289" s="154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4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4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4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5">
        <f>INDEX('Budget by Source'!$A$6:$I$332,MATCH('Payment by Source'!$A289,'Budget by Source'!$A$6:$A$332,0),MATCH(U$3,'Budget by Source'!$A$5:$I$5,0))</f>
        <v>1430787</v>
      </c>
      <c r="V289" s="152">
        <f t="shared" si="13"/>
        <v>143079</v>
      </c>
      <c r="W289" s="152">
        <f t="shared" si="14"/>
        <v>1430790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7380</v>
      </c>
      <c r="D290" s="22">
        <f>IF(Notes!$B$2="June",ROUND('Budget by Source'!D290/10,0)+Q290,ROUND('Budget by Source'!D290/10,0))</f>
        <v>26576</v>
      </c>
      <c r="E290" s="22">
        <f>IF(Notes!$B$2="June",ROUND('Budget by Source'!E290/10,0)+R290,ROUND('Budget by Source'!E290/10,0))</f>
        <v>2852</v>
      </c>
      <c r="F290" s="22">
        <f>IF(Notes!$B$2="June",ROUND('Budget by Source'!F290/10,0)+S290,ROUND('Budget by Source'!F290/10,0))</f>
        <v>2756</v>
      </c>
      <c r="G290" s="22">
        <f>IF(Notes!$B$2="June",ROUND('Budget by Source'!G290/10,0)+T290,ROUND('Budget by Source'!G290/10,0))</f>
        <v>13788</v>
      </c>
      <c r="H290" s="22">
        <f t="shared" si="12"/>
        <v>224645</v>
      </c>
      <c r="I290" s="22">
        <f>INDEX(Data[],MATCH($A290,Data[Dist],0),MATCH(I$5,Data[#Headers],0))</f>
        <v>277997</v>
      </c>
      <c r="K290" s="69">
        <f>INDEX('Payment Total'!$A$7:$H$333,MATCH('Payment by Source'!$A290,'Payment Total'!$A$7:$A$333,0),3)-I290</f>
        <v>0</v>
      </c>
      <c r="P290" s="154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4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-4</v>
      </c>
      <c r="R290" s="154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-1</v>
      </c>
      <c r="S290" s="154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4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3</v>
      </c>
      <c r="U290" s="155">
        <f>INDEX('Budget by Source'!$A$6:$I$332,MATCH('Payment by Source'!$A290,'Budget by Source'!$A$6:$A$332,0),MATCH(U$3,'Budget by Source'!$A$5:$I$5,0))</f>
        <v>2246455</v>
      </c>
      <c r="V290" s="152">
        <f t="shared" si="13"/>
        <v>224646</v>
      </c>
      <c r="W290" s="152">
        <f t="shared" si="14"/>
        <v>2246460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11070</v>
      </c>
      <c r="D291" s="22">
        <f>IF(Notes!$B$2="June",ROUND('Budget by Source'!D291/10,0)+Q291,ROUND('Budget by Source'!D291/10,0))</f>
        <v>24312</v>
      </c>
      <c r="E291" s="22">
        <f>IF(Notes!$B$2="June",ROUND('Budget by Source'!E291/10,0)+R291,ROUND('Budget by Source'!E291/10,0))</f>
        <v>2082</v>
      </c>
      <c r="F291" s="22">
        <f>IF(Notes!$B$2="June",ROUND('Budget by Source'!F291/10,0)+S291,ROUND('Budget by Source'!F291/10,0))</f>
        <v>2784</v>
      </c>
      <c r="G291" s="22">
        <f>IF(Notes!$B$2="June",ROUND('Budget by Source'!G291/10,0)+T291,ROUND('Budget by Source'!G291/10,0))</f>
        <v>12745</v>
      </c>
      <c r="H291" s="22">
        <f t="shared" si="12"/>
        <v>160029</v>
      </c>
      <c r="I291" s="22">
        <f>INDEX(Data[],MATCH($A291,Data[Dist],0),MATCH(I$5,Data[#Headers],0))</f>
        <v>213022</v>
      </c>
      <c r="K291" s="69">
        <f>INDEX('Payment Total'!$A$7:$H$333,MATCH('Payment by Source'!$A291,'Payment Total'!$A$7:$A$333,0),3)-I291</f>
        <v>0</v>
      </c>
      <c r="P291" s="154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-3</v>
      </c>
      <c r="Q291" s="154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-3</v>
      </c>
      <c r="R291" s="154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0</v>
      </c>
      <c r="S291" s="154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1</v>
      </c>
      <c r="T291" s="154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-2</v>
      </c>
      <c r="U291" s="155">
        <f>INDEX('Budget by Source'!$A$6:$I$332,MATCH('Payment by Source'!$A291,'Budget by Source'!$A$6:$A$332,0),MATCH(U$3,'Budget by Source'!$A$5:$I$5,0))</f>
        <v>1600297</v>
      </c>
      <c r="V291" s="152">
        <f t="shared" si="13"/>
        <v>160030</v>
      </c>
      <c r="W291" s="152">
        <f t="shared" si="14"/>
        <v>1600300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6642</v>
      </c>
      <c r="D292" s="22">
        <f>IF(Notes!$B$2="June",ROUND('Budget by Source'!D292/10,0)+Q292,ROUND('Budget by Source'!D292/10,0))</f>
        <v>21971</v>
      </c>
      <c r="E292" s="22">
        <f>IF(Notes!$B$2="June",ROUND('Budget by Source'!E292/10,0)+R292,ROUND('Budget by Source'!E292/10,0))</f>
        <v>2678</v>
      </c>
      <c r="F292" s="22">
        <f>IF(Notes!$B$2="June",ROUND('Budget by Source'!F292/10,0)+S292,ROUND('Budget by Source'!F292/10,0))</f>
        <v>2309</v>
      </c>
      <c r="G292" s="22">
        <f>IF(Notes!$B$2="June",ROUND('Budget by Source'!G292/10,0)+T292,ROUND('Budget by Source'!G292/10,0))</f>
        <v>11371</v>
      </c>
      <c r="H292" s="22">
        <f t="shared" si="12"/>
        <v>196644</v>
      </c>
      <c r="I292" s="22">
        <f>INDEX(Data[],MATCH($A292,Data[Dist],0),MATCH(I$5,Data[#Headers],0))</f>
        <v>241615</v>
      </c>
      <c r="K292" s="69">
        <f>INDEX('Payment Total'!$A$7:$H$333,MATCH('Payment by Source'!$A292,'Payment Total'!$A$7:$A$333,0),3)-I292</f>
        <v>0</v>
      </c>
      <c r="P292" s="154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-2</v>
      </c>
      <c r="Q292" s="154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-5</v>
      </c>
      <c r="R292" s="154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4</v>
      </c>
      <c r="S292" s="154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-5</v>
      </c>
      <c r="T292" s="154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-1</v>
      </c>
      <c r="U292" s="155">
        <f>INDEX('Budget by Source'!$A$6:$I$332,MATCH('Payment by Source'!$A292,'Budget by Source'!$A$6:$A$332,0),MATCH(U$3,'Budget by Source'!$A$5:$I$5,0))</f>
        <v>1966453</v>
      </c>
      <c r="V292" s="152">
        <f t="shared" si="13"/>
        <v>196645</v>
      </c>
      <c r="W292" s="152">
        <f t="shared" si="14"/>
        <v>1966450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2952</v>
      </c>
      <c r="D293" s="22">
        <f>IF(Notes!$B$2="June",ROUND('Budget by Source'!D293/10,0)+Q293,ROUND('Budget by Source'!D293/10,0))</f>
        <v>11471</v>
      </c>
      <c r="E293" s="22">
        <f>IF(Notes!$B$2="June",ROUND('Budget by Source'!E293/10,0)+R293,ROUND('Budget by Source'!E293/10,0))</f>
        <v>1135</v>
      </c>
      <c r="F293" s="22">
        <f>IF(Notes!$B$2="June",ROUND('Budget by Source'!F293/10,0)+S293,ROUND('Budget by Source'!F293/10,0))</f>
        <v>1138</v>
      </c>
      <c r="G293" s="22">
        <f>IF(Notes!$B$2="June",ROUND('Budget by Source'!G293/10,0)+T293,ROUND('Budget by Source'!G293/10,0))</f>
        <v>5761</v>
      </c>
      <c r="H293" s="22">
        <f t="shared" si="12"/>
        <v>54271</v>
      </c>
      <c r="I293" s="22">
        <f>INDEX(Data[],MATCH($A293,Data[Dist],0),MATCH(I$5,Data[#Headers],0))</f>
        <v>76728</v>
      </c>
      <c r="K293" s="69">
        <f>INDEX('Payment Total'!$A$7:$H$333,MATCH('Payment by Source'!$A293,'Payment Total'!$A$7:$A$333,0),3)-I293</f>
        <v>0</v>
      </c>
      <c r="P293" s="154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-1</v>
      </c>
      <c r="Q293" s="154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-4</v>
      </c>
      <c r="R293" s="154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-1</v>
      </c>
      <c r="S293" s="154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1</v>
      </c>
      <c r="T293" s="154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-4</v>
      </c>
      <c r="U293" s="155">
        <f>INDEX('Budget by Source'!$A$6:$I$332,MATCH('Payment by Source'!$A293,'Budget by Source'!$A$6:$A$332,0),MATCH(U$3,'Budget by Source'!$A$5:$I$5,0))</f>
        <v>542715</v>
      </c>
      <c r="V293" s="152">
        <f t="shared" si="13"/>
        <v>54272</v>
      </c>
      <c r="W293" s="152">
        <f t="shared" si="14"/>
        <v>542720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17343</v>
      </c>
      <c r="D294" s="22">
        <f>IF(Notes!$B$2="June",ROUND('Budget by Source'!D294/10,0)+Q294,ROUND('Budget by Source'!D294/10,0))</f>
        <v>46533</v>
      </c>
      <c r="E294" s="22">
        <f>IF(Notes!$B$2="June",ROUND('Budget by Source'!E294/10,0)+R294,ROUND('Budget by Source'!E294/10,0))</f>
        <v>5335</v>
      </c>
      <c r="F294" s="22">
        <f>IF(Notes!$B$2="June",ROUND('Budget by Source'!F294/10,0)+S294,ROUND('Budget by Source'!F294/10,0))</f>
        <v>4839</v>
      </c>
      <c r="G294" s="22">
        <f>IF(Notes!$B$2="June",ROUND('Budget by Source'!G294/10,0)+T294,ROUND('Budget by Source'!G294/10,0))</f>
        <v>27379</v>
      </c>
      <c r="H294" s="22">
        <f t="shared" si="12"/>
        <v>398633</v>
      </c>
      <c r="I294" s="22">
        <f>INDEX(Data[],MATCH($A294,Data[Dist],0),MATCH(I$5,Data[#Headers],0))</f>
        <v>500062</v>
      </c>
      <c r="K294" s="69">
        <f>INDEX('Payment Total'!$A$7:$H$333,MATCH('Payment by Source'!$A294,'Payment Total'!$A$7:$A$333,0),3)-I294</f>
        <v>0</v>
      </c>
      <c r="P294" s="154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-3</v>
      </c>
      <c r="Q294" s="154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3</v>
      </c>
      <c r="R294" s="154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0</v>
      </c>
      <c r="S294" s="154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4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-1</v>
      </c>
      <c r="U294" s="155">
        <f>INDEX('Budget by Source'!$A$6:$I$332,MATCH('Payment by Source'!$A294,'Budget by Source'!$A$6:$A$332,0),MATCH(U$3,'Budget by Source'!$A$5:$I$5,0))</f>
        <v>3986325</v>
      </c>
      <c r="V294" s="152">
        <f t="shared" si="13"/>
        <v>398633</v>
      </c>
      <c r="W294" s="152">
        <f t="shared" si="14"/>
        <v>3986330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19188</v>
      </c>
      <c r="D295" s="22">
        <f>IF(Notes!$B$2="June",ROUND('Budget by Source'!D295/10,0)+Q295,ROUND('Budget by Source'!D295/10,0))</f>
        <v>20863</v>
      </c>
      <c r="E295" s="22">
        <f>IF(Notes!$B$2="June",ROUND('Budget by Source'!E295/10,0)+R295,ROUND('Budget by Source'!E295/10,0))</f>
        <v>2797</v>
      </c>
      <c r="F295" s="22">
        <f>IF(Notes!$B$2="June",ROUND('Budget by Source'!F295/10,0)+S295,ROUND('Budget by Source'!F295/10,0))</f>
        <v>1847</v>
      </c>
      <c r="G295" s="22">
        <f>IF(Notes!$B$2="June",ROUND('Budget by Source'!G295/10,0)+T295,ROUND('Budget by Source'!G295/10,0))</f>
        <v>13357</v>
      </c>
      <c r="H295" s="22">
        <f t="shared" si="12"/>
        <v>92002</v>
      </c>
      <c r="I295" s="22">
        <f>INDEX(Data[],MATCH($A295,Data[Dist],0),MATCH(I$5,Data[#Headers],0))</f>
        <v>150054</v>
      </c>
      <c r="K295" s="69">
        <f>INDEX('Payment Total'!$A$7:$H$333,MATCH('Payment by Source'!$A295,'Payment Total'!$A$7:$A$333,0),3)-I295</f>
        <v>0</v>
      </c>
      <c r="P295" s="154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-4</v>
      </c>
      <c r="Q295" s="154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4</v>
      </c>
      <c r="R295" s="154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-2</v>
      </c>
      <c r="S295" s="154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-3</v>
      </c>
      <c r="T295" s="154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-3</v>
      </c>
      <c r="U295" s="155">
        <f>INDEX('Budget by Source'!$A$6:$I$332,MATCH('Payment by Source'!$A295,'Budget by Source'!$A$6:$A$332,0),MATCH(U$3,'Budget by Source'!$A$5:$I$5,0))</f>
        <v>920032</v>
      </c>
      <c r="V295" s="152">
        <f t="shared" si="13"/>
        <v>92003</v>
      </c>
      <c r="W295" s="152">
        <f t="shared" si="14"/>
        <v>920030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74536</v>
      </c>
      <c r="D296" s="22">
        <f>IF(Notes!$B$2="June",ROUND('Budget by Source'!D296/10,0)+Q296,ROUND('Budget by Source'!D296/10,0))</f>
        <v>220343</v>
      </c>
      <c r="E296" s="22">
        <f>IF(Notes!$B$2="June",ROUND('Budget by Source'!E296/10,0)+R296,ROUND('Budget by Source'!E296/10,0))</f>
        <v>25177</v>
      </c>
      <c r="F296" s="22">
        <f>IF(Notes!$B$2="June",ROUND('Budget by Source'!F296/10,0)+S296,ROUND('Budget by Source'!F296/10,0))</f>
        <v>25900</v>
      </c>
      <c r="G296" s="22">
        <f>IF(Notes!$B$2="June",ROUND('Budget by Source'!G296/10,0)+T296,ROUND('Budget by Source'!G296/10,0))</f>
        <v>122529</v>
      </c>
      <c r="H296" s="22">
        <f t="shared" si="12"/>
        <v>1792210</v>
      </c>
      <c r="I296" s="22">
        <f>INDEX(Data[],MATCH($A296,Data[Dist],0),MATCH(I$5,Data[#Headers],0))</f>
        <v>2260695</v>
      </c>
      <c r="K296" s="69">
        <f>INDEX('Payment Total'!$A$7:$H$333,MATCH('Payment by Source'!$A296,'Payment Total'!$A$7:$A$333,0),3)-I296</f>
        <v>0</v>
      </c>
      <c r="P296" s="154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3</v>
      </c>
      <c r="Q296" s="154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-4</v>
      </c>
      <c r="R296" s="154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-1</v>
      </c>
      <c r="S296" s="154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-5</v>
      </c>
      <c r="T296" s="154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-4</v>
      </c>
      <c r="U296" s="155">
        <f>INDEX('Budget by Source'!$A$6:$I$332,MATCH('Payment by Source'!$A296,'Budget by Source'!$A$6:$A$332,0),MATCH(U$3,'Budget by Source'!$A$5:$I$5,0))</f>
        <v>17922111</v>
      </c>
      <c r="V296" s="152">
        <f t="shared" si="13"/>
        <v>1792211</v>
      </c>
      <c r="W296" s="152">
        <f t="shared" si="14"/>
        <v>17922110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18450</v>
      </c>
      <c r="D297" s="22">
        <f>IF(Notes!$B$2="June",ROUND('Budget by Source'!D297/10,0)+Q297,ROUND('Budget by Source'!D297/10,0))</f>
        <v>61201</v>
      </c>
      <c r="E297" s="22">
        <f>IF(Notes!$B$2="June",ROUND('Budget by Source'!E297/10,0)+R297,ROUND('Budget by Source'!E297/10,0))</f>
        <v>7397</v>
      </c>
      <c r="F297" s="22">
        <f>IF(Notes!$B$2="June",ROUND('Budget by Source'!F297/10,0)+S297,ROUND('Budget by Source'!F297/10,0))</f>
        <v>6110</v>
      </c>
      <c r="G297" s="22">
        <f>IF(Notes!$B$2="June",ROUND('Budget by Source'!G297/10,0)+T297,ROUND('Budget by Source'!G297/10,0))</f>
        <v>34460</v>
      </c>
      <c r="H297" s="22">
        <f t="shared" si="12"/>
        <v>515131</v>
      </c>
      <c r="I297" s="22">
        <f>INDEX(Data[],MATCH($A297,Data[Dist],0),MATCH(I$5,Data[#Headers],0))</f>
        <v>642749</v>
      </c>
      <c r="K297" s="69">
        <f>INDEX('Payment Total'!$A$7:$H$333,MATCH('Payment by Source'!$A297,'Payment Total'!$A$7:$A$333,0),3)-I297</f>
        <v>0</v>
      </c>
      <c r="P297" s="154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-4</v>
      </c>
      <c r="Q297" s="154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2</v>
      </c>
      <c r="R297" s="154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-4</v>
      </c>
      <c r="S297" s="154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-1</v>
      </c>
      <c r="T297" s="154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-3</v>
      </c>
      <c r="U297" s="155">
        <f>INDEX('Budget by Source'!$A$6:$I$332,MATCH('Payment by Source'!$A297,'Budget by Source'!$A$6:$A$332,0),MATCH(U$3,'Budget by Source'!$A$5:$I$5,0))</f>
        <v>5151317</v>
      </c>
      <c r="V297" s="152">
        <f t="shared" si="13"/>
        <v>515132</v>
      </c>
      <c r="W297" s="152">
        <f t="shared" si="14"/>
        <v>5151320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19188</v>
      </c>
      <c r="D298" s="22">
        <f>IF(Notes!$B$2="June",ROUND('Budget by Source'!D298/10,0)+Q298,ROUND('Budget by Source'!D298/10,0))</f>
        <v>56121</v>
      </c>
      <c r="E298" s="22">
        <f>IF(Notes!$B$2="June",ROUND('Budget by Source'!E298/10,0)+R298,ROUND('Budget by Source'!E298/10,0))</f>
        <v>6159</v>
      </c>
      <c r="F298" s="22">
        <f>IF(Notes!$B$2="June",ROUND('Budget by Source'!F298/10,0)+S298,ROUND('Budget by Source'!F298/10,0))</f>
        <v>5840</v>
      </c>
      <c r="G298" s="22">
        <f>IF(Notes!$B$2="June",ROUND('Budget by Source'!G298/10,0)+T298,ROUND('Budget by Source'!G298/10,0))</f>
        <v>30717</v>
      </c>
      <c r="H298" s="22">
        <f t="shared" si="12"/>
        <v>459807</v>
      </c>
      <c r="I298" s="22">
        <f>INDEX(Data[],MATCH($A298,Data[Dist],0),MATCH(I$5,Data[#Headers],0))</f>
        <v>577832</v>
      </c>
      <c r="K298" s="69">
        <f>INDEX('Payment Total'!$A$7:$H$333,MATCH('Payment by Source'!$A298,'Payment Total'!$A$7:$A$333,0),3)-I298</f>
        <v>0</v>
      </c>
      <c r="P298" s="154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-4</v>
      </c>
      <c r="Q298" s="154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0</v>
      </c>
      <c r="R298" s="154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4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-5</v>
      </c>
      <c r="T298" s="154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1</v>
      </c>
      <c r="U298" s="155">
        <f>INDEX('Budget by Source'!$A$6:$I$332,MATCH('Payment by Source'!$A298,'Budget by Source'!$A$6:$A$332,0),MATCH(U$3,'Budget by Source'!$A$5:$I$5,0))</f>
        <v>4598080</v>
      </c>
      <c r="V298" s="152">
        <f t="shared" si="13"/>
        <v>459808</v>
      </c>
      <c r="W298" s="152">
        <f t="shared" si="14"/>
        <v>4598080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5535</v>
      </c>
      <c r="D299" s="22">
        <f>IF(Notes!$B$2="June",ROUND('Budget by Source'!D299/10,0)+Q299,ROUND('Budget by Source'!D299/10,0))</f>
        <v>18251</v>
      </c>
      <c r="E299" s="22">
        <f>IF(Notes!$B$2="June",ROUND('Budget by Source'!E299/10,0)+R299,ROUND('Budget by Source'!E299/10,0))</f>
        <v>2236</v>
      </c>
      <c r="F299" s="22">
        <f>IF(Notes!$B$2="June",ROUND('Budget by Source'!F299/10,0)+S299,ROUND('Budget by Source'!F299/10,0))</f>
        <v>1971</v>
      </c>
      <c r="G299" s="22">
        <f>IF(Notes!$B$2="June",ROUND('Budget by Source'!G299/10,0)+T299,ROUND('Budget by Source'!G299/10,0))</f>
        <v>10054</v>
      </c>
      <c r="H299" s="22">
        <f t="shared" si="12"/>
        <v>134323</v>
      </c>
      <c r="I299" s="22">
        <f>INDEX(Data[],MATCH($A299,Data[Dist],0),MATCH(I$5,Data[#Headers],0))</f>
        <v>172370</v>
      </c>
      <c r="K299" s="69">
        <f>INDEX('Payment Total'!$A$7:$H$333,MATCH('Payment by Source'!$A299,'Payment Total'!$A$7:$A$333,0),3)-I299</f>
        <v>0</v>
      </c>
      <c r="P299" s="154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-1</v>
      </c>
      <c r="Q299" s="154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4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-1</v>
      </c>
      <c r="S299" s="154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2</v>
      </c>
      <c r="T299" s="154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2</v>
      </c>
      <c r="U299" s="155">
        <f>INDEX('Budget by Source'!$A$6:$I$332,MATCH('Payment by Source'!$A299,'Budget by Source'!$A$6:$A$332,0),MATCH(U$3,'Budget by Source'!$A$5:$I$5,0))</f>
        <v>1343228</v>
      </c>
      <c r="V299" s="152">
        <f t="shared" si="13"/>
        <v>134323</v>
      </c>
      <c r="W299" s="152">
        <f t="shared" si="14"/>
        <v>1343230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32102</v>
      </c>
      <c r="D300" s="22">
        <f>IF(Notes!$B$2="June",ROUND('Budget by Source'!D300/10,0)+Q300,ROUND('Budget by Source'!D300/10,0))</f>
        <v>106312</v>
      </c>
      <c r="E300" s="22">
        <f>IF(Notes!$B$2="June",ROUND('Budget by Source'!E300/10,0)+R300,ROUND('Budget by Source'!E300/10,0))</f>
        <v>11684</v>
      </c>
      <c r="F300" s="22">
        <f>IF(Notes!$B$2="June",ROUND('Budget by Source'!F300/10,0)+S300,ROUND('Budget by Source'!F300/10,0))</f>
        <v>11967</v>
      </c>
      <c r="G300" s="22">
        <f>IF(Notes!$B$2="June",ROUND('Budget by Source'!G300/10,0)+T300,ROUND('Budget by Source'!G300/10,0))</f>
        <v>57863</v>
      </c>
      <c r="H300" s="22">
        <f t="shared" si="12"/>
        <v>902199</v>
      </c>
      <c r="I300" s="22">
        <f>INDEX(Data[],MATCH($A300,Data[Dist],0),MATCH(I$5,Data[#Headers],0))</f>
        <v>1122127</v>
      </c>
      <c r="K300" s="69">
        <f>INDEX('Payment Total'!$A$7:$H$333,MATCH('Payment by Source'!$A300,'Payment Total'!$A$7:$A$333,0),3)-I300</f>
        <v>0</v>
      </c>
      <c r="P300" s="154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3</v>
      </c>
      <c r="Q300" s="154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4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3</v>
      </c>
      <c r="S300" s="154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3</v>
      </c>
      <c r="T300" s="154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4</v>
      </c>
      <c r="U300" s="155">
        <f>INDEX('Budget by Source'!$A$6:$I$332,MATCH('Payment by Source'!$A300,'Budget by Source'!$A$6:$A$332,0),MATCH(U$3,'Budget by Source'!$A$5:$I$5,0))</f>
        <v>9021977</v>
      </c>
      <c r="V300" s="152">
        <f t="shared" si="13"/>
        <v>902198</v>
      </c>
      <c r="W300" s="152">
        <f t="shared" si="14"/>
        <v>9021980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13653</v>
      </c>
      <c r="D301" s="22">
        <f>IF(Notes!$B$2="June",ROUND('Budget by Source'!D301/10,0)+Q301,ROUND('Budget by Source'!D301/10,0))</f>
        <v>33796</v>
      </c>
      <c r="E301" s="22">
        <f>IF(Notes!$B$2="June",ROUND('Budget by Source'!E301/10,0)+R301,ROUND('Budget by Source'!E301/10,0))</f>
        <v>3678</v>
      </c>
      <c r="F301" s="22">
        <f>IF(Notes!$B$2="June",ROUND('Budget by Source'!F301/10,0)+S301,ROUND('Budget by Source'!F301/10,0))</f>
        <v>3632</v>
      </c>
      <c r="G301" s="22">
        <f>IF(Notes!$B$2="June",ROUND('Budget by Source'!G301/10,0)+T301,ROUND('Budget by Source'!G301/10,0))</f>
        <v>17067</v>
      </c>
      <c r="H301" s="22">
        <f t="shared" si="12"/>
        <v>283252</v>
      </c>
      <c r="I301" s="22">
        <f>INDEX(Data[],MATCH($A301,Data[Dist],0),MATCH(I$5,Data[#Headers],0))</f>
        <v>355078</v>
      </c>
      <c r="K301" s="69">
        <f>INDEX('Payment Total'!$A$7:$H$333,MATCH('Payment by Source'!$A301,'Payment Total'!$A$7:$A$333,0),3)-I301</f>
        <v>0</v>
      </c>
      <c r="P301" s="154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-3</v>
      </c>
      <c r="Q301" s="154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-1</v>
      </c>
      <c r="R301" s="154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1</v>
      </c>
      <c r="S301" s="154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4</v>
      </c>
      <c r="T301" s="154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1</v>
      </c>
      <c r="U301" s="155">
        <f>INDEX('Budget by Source'!$A$6:$I$332,MATCH('Payment by Source'!$A301,'Budget by Source'!$A$6:$A$332,0),MATCH(U$3,'Budget by Source'!$A$5:$I$5,0))</f>
        <v>2832514</v>
      </c>
      <c r="V301" s="152">
        <f t="shared" si="13"/>
        <v>283251</v>
      </c>
      <c r="W301" s="152">
        <f t="shared" si="14"/>
        <v>2832510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16605</v>
      </c>
      <c r="D302" s="22">
        <f>IF(Notes!$B$2="June",ROUND('Budget by Source'!D302/10,0)+Q302,ROUND('Budget by Source'!D302/10,0))</f>
        <v>54596</v>
      </c>
      <c r="E302" s="22">
        <f>IF(Notes!$B$2="June",ROUND('Budget by Source'!E302/10,0)+R302,ROUND('Budget by Source'!E302/10,0))</f>
        <v>6301</v>
      </c>
      <c r="F302" s="22">
        <f>IF(Notes!$B$2="June",ROUND('Budget by Source'!F302/10,0)+S302,ROUND('Budget by Source'!F302/10,0))</f>
        <v>5806</v>
      </c>
      <c r="G302" s="22">
        <f>IF(Notes!$B$2="June",ROUND('Budget by Source'!G302/10,0)+T302,ROUND('Budget by Source'!G302/10,0))</f>
        <v>28960</v>
      </c>
      <c r="H302" s="22">
        <f t="shared" si="12"/>
        <v>349998</v>
      </c>
      <c r="I302" s="22">
        <f>INDEX(Data[],MATCH($A302,Data[Dist],0),MATCH(I$5,Data[#Headers],0))</f>
        <v>462266</v>
      </c>
      <c r="K302" s="69">
        <f>INDEX('Payment Total'!$A$7:$H$333,MATCH('Payment by Source'!$A302,'Payment Total'!$A$7:$A$333,0),3)-I302</f>
        <v>0</v>
      </c>
      <c r="P302" s="154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-3</v>
      </c>
      <c r="Q302" s="154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-4</v>
      </c>
      <c r="R302" s="154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2</v>
      </c>
      <c r="S302" s="154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-2</v>
      </c>
      <c r="T302" s="154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5">
        <f>INDEX('Budget by Source'!$A$6:$I$332,MATCH('Payment by Source'!$A302,'Budget by Source'!$A$6:$A$332,0),MATCH(U$3,'Budget by Source'!$A$5:$I$5,0))</f>
        <v>3499982</v>
      </c>
      <c r="V302" s="152">
        <f t="shared" si="13"/>
        <v>349998</v>
      </c>
      <c r="W302" s="152">
        <f t="shared" si="14"/>
        <v>3499980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9963</v>
      </c>
      <c r="D303" s="22">
        <f>IF(Notes!$B$2="June",ROUND('Budget by Source'!D303/10,0)+Q303,ROUND('Budget by Source'!D303/10,0))</f>
        <v>36503</v>
      </c>
      <c r="E303" s="22">
        <f>IF(Notes!$B$2="June",ROUND('Budget by Source'!E303/10,0)+R303,ROUND('Budget by Source'!E303/10,0))</f>
        <v>4547</v>
      </c>
      <c r="F303" s="22">
        <f>IF(Notes!$B$2="June",ROUND('Budget by Source'!F303/10,0)+S303,ROUND('Budget by Source'!F303/10,0))</f>
        <v>3807</v>
      </c>
      <c r="G303" s="22">
        <f>IF(Notes!$B$2="June",ROUND('Budget by Source'!G303/10,0)+T303,ROUND('Budget by Source'!G303/10,0))</f>
        <v>19468</v>
      </c>
      <c r="H303" s="22">
        <f t="shared" si="12"/>
        <v>287015</v>
      </c>
      <c r="I303" s="22">
        <f>INDEX(Data[],MATCH($A303,Data[Dist],0),MATCH(I$5,Data[#Headers],0))</f>
        <v>361303</v>
      </c>
      <c r="K303" s="69">
        <f>INDEX('Payment Total'!$A$7:$H$333,MATCH('Payment by Source'!$A303,'Payment Total'!$A$7:$A$333,0),3)-I303</f>
        <v>0</v>
      </c>
      <c r="P303" s="154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-2</v>
      </c>
      <c r="Q303" s="154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-4</v>
      </c>
      <c r="R303" s="154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-5</v>
      </c>
      <c r="S303" s="154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-5</v>
      </c>
      <c r="T303" s="154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-1</v>
      </c>
      <c r="U303" s="155">
        <f>INDEX('Budget by Source'!$A$6:$I$332,MATCH('Payment by Source'!$A303,'Budget by Source'!$A$6:$A$332,0),MATCH(U$3,'Budget by Source'!$A$5:$I$5,0))</f>
        <v>2870171</v>
      </c>
      <c r="V303" s="152">
        <f t="shared" si="13"/>
        <v>287017</v>
      </c>
      <c r="W303" s="152">
        <f t="shared" si="14"/>
        <v>2870170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13653</v>
      </c>
      <c r="D304" s="22">
        <f>IF(Notes!$B$2="June",ROUND('Budget by Source'!D304/10,0)+Q304,ROUND('Budget by Source'!D304/10,0))</f>
        <v>46227</v>
      </c>
      <c r="E304" s="22">
        <f>IF(Notes!$B$2="June",ROUND('Budget by Source'!E304/10,0)+R304,ROUND('Budget by Source'!E304/10,0))</f>
        <v>5082</v>
      </c>
      <c r="F304" s="22">
        <f>IF(Notes!$B$2="June",ROUND('Budget by Source'!F304/10,0)+S304,ROUND('Budget by Source'!F304/10,0))</f>
        <v>4812</v>
      </c>
      <c r="G304" s="22">
        <f>IF(Notes!$B$2="June",ROUND('Budget by Source'!G304/10,0)+T304,ROUND('Budget by Source'!G304/10,0))</f>
        <v>24101</v>
      </c>
      <c r="H304" s="22">
        <f t="shared" si="12"/>
        <v>371940</v>
      </c>
      <c r="I304" s="22">
        <f>INDEX(Data[],MATCH($A304,Data[Dist],0),MATCH(I$5,Data[#Headers],0))</f>
        <v>465815</v>
      </c>
      <c r="K304" s="69">
        <f>INDEX('Payment Total'!$A$7:$H$333,MATCH('Payment by Source'!$A304,'Payment Total'!$A$7:$A$333,0),3)-I304</f>
        <v>0</v>
      </c>
      <c r="P304" s="154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-3</v>
      </c>
      <c r="Q304" s="154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-5</v>
      </c>
      <c r="R304" s="154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-4</v>
      </c>
      <c r="S304" s="154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2</v>
      </c>
      <c r="T304" s="154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4</v>
      </c>
      <c r="U304" s="155">
        <f>INDEX('Budget by Source'!$A$6:$I$332,MATCH('Payment by Source'!$A304,'Budget by Source'!$A$6:$A$332,0),MATCH(U$3,'Budget by Source'!$A$5:$I$5,0))</f>
        <v>3719410</v>
      </c>
      <c r="V304" s="152">
        <f t="shared" si="13"/>
        <v>371941</v>
      </c>
      <c r="W304" s="152">
        <f t="shared" si="14"/>
        <v>3719410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33578</v>
      </c>
      <c r="D305" s="22">
        <f>IF(Notes!$B$2="June",ROUND('Budget by Source'!D305/10,0)+Q305,ROUND('Budget by Source'!D305/10,0))</f>
        <v>103161</v>
      </c>
      <c r="E305" s="22">
        <f>IF(Notes!$B$2="June",ROUND('Budget by Source'!E305/10,0)+R305,ROUND('Budget by Source'!E305/10,0))</f>
        <v>12698</v>
      </c>
      <c r="F305" s="22">
        <f>IF(Notes!$B$2="June",ROUND('Budget by Source'!F305/10,0)+S305,ROUND('Budget by Source'!F305/10,0))</f>
        <v>11451</v>
      </c>
      <c r="G305" s="22">
        <f>IF(Notes!$B$2="June",ROUND('Budget by Source'!G305/10,0)+T305,ROUND('Budget by Source'!G305/10,0))</f>
        <v>57863</v>
      </c>
      <c r="H305" s="22">
        <f t="shared" si="12"/>
        <v>978248</v>
      </c>
      <c r="I305" s="22">
        <f>INDEX(Data[],MATCH($A305,Data[Dist],0),MATCH(I$5,Data[#Headers],0))</f>
        <v>1196999</v>
      </c>
      <c r="K305" s="69">
        <f>INDEX('Payment Total'!$A$7:$H$333,MATCH('Payment by Source'!$A305,'Payment Total'!$A$7:$A$333,0),3)-I305</f>
        <v>0</v>
      </c>
      <c r="P305" s="154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3</v>
      </c>
      <c r="Q305" s="154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2</v>
      </c>
      <c r="R305" s="154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3</v>
      </c>
      <c r="S305" s="154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4</v>
      </c>
      <c r="T305" s="154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4</v>
      </c>
      <c r="U305" s="155">
        <f>INDEX('Budget by Source'!$A$6:$I$332,MATCH('Payment by Source'!$A305,'Budget by Source'!$A$6:$A$332,0),MATCH(U$3,'Budget by Source'!$A$5:$I$5,0))</f>
        <v>9782461</v>
      </c>
      <c r="V305" s="152">
        <f t="shared" si="13"/>
        <v>978246</v>
      </c>
      <c r="W305" s="152">
        <f t="shared" si="14"/>
        <v>9782460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170843</v>
      </c>
      <c r="D306" s="22">
        <f>IF(Notes!$B$2="June",ROUND('Budget by Source'!D306/10,0)+Q306,ROUND('Budget by Source'!D306/10,0))</f>
        <v>668295</v>
      </c>
      <c r="E306" s="22">
        <f>IF(Notes!$B$2="June",ROUND('Budget by Source'!E306/10,0)+R306,ROUND('Budget by Source'!E306/10,0))</f>
        <v>92029</v>
      </c>
      <c r="F306" s="22">
        <f>IF(Notes!$B$2="June",ROUND('Budget by Source'!F306/10,0)+S306,ROUND('Budget by Source'!F306/10,0))</f>
        <v>73051</v>
      </c>
      <c r="G306" s="22">
        <f>IF(Notes!$B$2="June",ROUND('Budget by Source'!G306/10,0)+T306,ROUND('Budget by Source'!G306/10,0))</f>
        <v>382127</v>
      </c>
      <c r="H306" s="22">
        <f t="shared" si="12"/>
        <v>7487315</v>
      </c>
      <c r="I306" s="22">
        <f>INDEX(Data[],MATCH($A306,Data[Dist],0),MATCH(I$5,Data[#Headers],0))</f>
        <v>8873660</v>
      </c>
      <c r="K306" s="69">
        <f>INDEX('Payment Total'!$A$7:$H$333,MATCH('Payment by Source'!$A306,'Payment Total'!$A$7:$A$333,0),3)-I306</f>
        <v>0</v>
      </c>
      <c r="P306" s="154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1</v>
      </c>
      <c r="Q306" s="154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-3</v>
      </c>
      <c r="R306" s="154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-3</v>
      </c>
      <c r="S306" s="154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-5</v>
      </c>
      <c r="T306" s="154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-2</v>
      </c>
      <c r="U306" s="155">
        <f>INDEX('Budget by Source'!$A$6:$I$332,MATCH('Payment by Source'!$A306,'Budget by Source'!$A$6:$A$332,0),MATCH(U$3,'Budget by Source'!$A$5:$I$5,0))</f>
        <v>74873166</v>
      </c>
      <c r="V306" s="152">
        <f t="shared" si="13"/>
        <v>7487317</v>
      </c>
      <c r="W306" s="152">
        <f t="shared" si="14"/>
        <v>74873170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33578</v>
      </c>
      <c r="D307" s="22">
        <f>IF(Notes!$B$2="June",ROUND('Budget by Source'!D307/10,0)+Q307,ROUND('Budget by Source'!D307/10,0))</f>
        <v>715770</v>
      </c>
      <c r="E307" s="22">
        <f>IF(Notes!$B$2="June",ROUND('Budget by Source'!E307/10,0)+R307,ROUND('Budget by Source'!E307/10,0))</f>
        <v>94101</v>
      </c>
      <c r="F307" s="22">
        <f>IF(Notes!$B$2="June",ROUND('Budget by Source'!F307/10,0)+S307,ROUND('Budget by Source'!F307/10,0))</f>
        <v>74686</v>
      </c>
      <c r="G307" s="22">
        <f>IF(Notes!$B$2="June",ROUND('Budget by Source'!G307/10,0)+T307,ROUND('Budget by Source'!G307/10,0))</f>
        <v>451393</v>
      </c>
      <c r="H307" s="22">
        <f t="shared" si="12"/>
        <v>6380315</v>
      </c>
      <c r="I307" s="22">
        <f>INDEX(Data[],MATCH($A307,Data[Dist],0),MATCH(I$5,Data[#Headers],0))</f>
        <v>7749843</v>
      </c>
      <c r="K307" s="69">
        <f>INDEX('Payment Total'!$A$7:$H$333,MATCH('Payment by Source'!$A307,'Payment Total'!$A$7:$A$333,0),3)-I307</f>
        <v>0</v>
      </c>
      <c r="P307" s="154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3</v>
      </c>
      <c r="Q307" s="154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0</v>
      </c>
      <c r="R307" s="154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3</v>
      </c>
      <c r="S307" s="154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-5</v>
      </c>
      <c r="T307" s="154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3</v>
      </c>
      <c r="U307" s="155">
        <f>INDEX('Budget by Source'!$A$6:$I$332,MATCH('Payment by Source'!$A307,'Budget by Source'!$A$6:$A$332,0),MATCH(U$3,'Budget by Source'!$A$5:$I$5,0))</f>
        <v>63803147</v>
      </c>
      <c r="V307" s="152">
        <f t="shared" si="13"/>
        <v>6380315</v>
      </c>
      <c r="W307" s="152">
        <f t="shared" si="14"/>
        <v>63803150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34316</v>
      </c>
      <c r="D308" s="22">
        <f>IF(Notes!$B$2="June",ROUND('Budget by Source'!D308/10,0)+Q308,ROUND('Budget by Source'!D308/10,0))</f>
        <v>146811</v>
      </c>
      <c r="E308" s="22">
        <f>IF(Notes!$B$2="June",ROUND('Budget by Source'!E308/10,0)+R308,ROUND('Budget by Source'!E308/10,0))</f>
        <v>14184</v>
      </c>
      <c r="F308" s="22">
        <f>IF(Notes!$B$2="June",ROUND('Budget by Source'!F308/10,0)+S308,ROUND('Budget by Source'!F308/10,0))</f>
        <v>16329</v>
      </c>
      <c r="G308" s="22">
        <f>IF(Notes!$B$2="June",ROUND('Budget by Source'!G308/10,0)+T308,ROUND('Budget by Source'!G308/10,0))</f>
        <v>77578</v>
      </c>
      <c r="H308" s="22">
        <f t="shared" si="12"/>
        <v>1182881</v>
      </c>
      <c r="I308" s="22">
        <f>INDEX(Data[],MATCH($A308,Data[Dist],0),MATCH(I$5,Data[#Headers],0))</f>
        <v>1472099</v>
      </c>
      <c r="K308" s="69">
        <f>INDEX('Payment Total'!$A$7:$H$333,MATCH('Payment by Source'!$A308,'Payment Total'!$A$7:$A$333,0),3)-I308</f>
        <v>0</v>
      </c>
      <c r="P308" s="154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3</v>
      </c>
      <c r="Q308" s="154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0</v>
      </c>
      <c r="R308" s="154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4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-3</v>
      </c>
      <c r="T308" s="154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2</v>
      </c>
      <c r="U308" s="155">
        <f>INDEX('Budget by Source'!$A$6:$I$332,MATCH('Payment by Source'!$A308,'Budget by Source'!$A$6:$A$332,0),MATCH(U$3,'Budget by Source'!$A$5:$I$5,0))</f>
        <v>11828807</v>
      </c>
      <c r="V308" s="152">
        <f t="shared" si="13"/>
        <v>1182881</v>
      </c>
      <c r="W308" s="152">
        <f t="shared" si="14"/>
        <v>11828810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11808</v>
      </c>
      <c r="D309" s="22">
        <f>IF(Notes!$B$2="June",ROUND('Budget by Source'!D309/10,0)+Q309,ROUND('Budget by Source'!D309/10,0))</f>
        <v>42552</v>
      </c>
      <c r="E309" s="22">
        <f>IF(Notes!$B$2="June",ROUND('Budget by Source'!E309/10,0)+R309,ROUND('Budget by Source'!E309/10,0))</f>
        <v>4796</v>
      </c>
      <c r="F309" s="22">
        <f>IF(Notes!$B$2="June",ROUND('Budget by Source'!F309/10,0)+S309,ROUND('Budget by Source'!F309/10,0))</f>
        <v>4746</v>
      </c>
      <c r="G309" s="22">
        <f>IF(Notes!$B$2="June",ROUND('Budget by Source'!G309/10,0)+T309,ROUND('Budget by Source'!G309/10,0))</f>
        <v>20624</v>
      </c>
      <c r="H309" s="22">
        <f t="shared" si="12"/>
        <v>279690</v>
      </c>
      <c r="I309" s="22">
        <f>INDEX(Data[],MATCH($A309,Data[Dist],0),MATCH(I$5,Data[#Headers],0))</f>
        <v>364216</v>
      </c>
      <c r="K309" s="69">
        <f>INDEX('Payment Total'!$A$7:$H$333,MATCH('Payment by Source'!$A309,'Payment Total'!$A$7:$A$333,0),3)-I309</f>
        <v>0</v>
      </c>
      <c r="P309" s="154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-3</v>
      </c>
      <c r="Q309" s="154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-4</v>
      </c>
      <c r="R309" s="154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4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1</v>
      </c>
      <c r="T309" s="154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-4</v>
      </c>
      <c r="U309" s="155">
        <f>INDEX('Budget by Source'!$A$6:$I$332,MATCH('Payment by Source'!$A309,'Budget by Source'!$A$6:$A$332,0),MATCH(U$3,'Budget by Source'!$A$5:$I$5,0))</f>
        <v>2796916</v>
      </c>
      <c r="V309" s="152">
        <f t="shared" si="13"/>
        <v>279692</v>
      </c>
      <c r="W309" s="152">
        <f t="shared" si="14"/>
        <v>2796920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40220</v>
      </c>
      <c r="D310" s="22">
        <f>IF(Notes!$B$2="June",ROUND('Budget by Source'!D310/10,0)+Q310,ROUND('Budget by Source'!D310/10,0))</f>
        <v>114988</v>
      </c>
      <c r="E310" s="22">
        <f>IF(Notes!$B$2="June",ROUND('Budget by Source'!E310/10,0)+R310,ROUND('Budget by Source'!E310/10,0))</f>
        <v>14061</v>
      </c>
      <c r="F310" s="22">
        <f>IF(Notes!$B$2="June",ROUND('Budget by Source'!F310/10,0)+S310,ROUND('Budget by Source'!F310/10,0))</f>
        <v>12711</v>
      </c>
      <c r="G310" s="22">
        <f>IF(Notes!$B$2="June",ROUND('Budget by Source'!G310/10,0)+T310,ROUND('Budget by Source'!G310/10,0))</f>
        <v>63095</v>
      </c>
      <c r="H310" s="22">
        <f t="shared" si="12"/>
        <v>1023615</v>
      </c>
      <c r="I310" s="22">
        <f>INDEX(Data[],MATCH($A310,Data[Dist],0),MATCH(I$5,Data[#Headers],0))</f>
        <v>1268690</v>
      </c>
      <c r="K310" s="69">
        <f>INDEX('Payment Total'!$A$7:$H$333,MATCH('Payment by Source'!$A310,'Payment Total'!$A$7:$A$333,0),3)-I310</f>
        <v>0</v>
      </c>
      <c r="P310" s="154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1</v>
      </c>
      <c r="Q310" s="154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-2</v>
      </c>
      <c r="R310" s="154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4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-4</v>
      </c>
      <c r="T310" s="154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-5</v>
      </c>
      <c r="U310" s="155">
        <f>INDEX('Budget by Source'!$A$6:$I$332,MATCH('Payment by Source'!$A310,'Budget by Source'!$A$6:$A$332,0),MATCH(U$3,'Budget by Source'!$A$5:$I$5,0))</f>
        <v>10236152</v>
      </c>
      <c r="V310" s="152">
        <f t="shared" si="13"/>
        <v>1023615</v>
      </c>
      <c r="W310" s="152">
        <f t="shared" si="14"/>
        <v>10236150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9594</v>
      </c>
      <c r="D311" s="22">
        <f>IF(Notes!$B$2="June",ROUND('Budget by Source'!D311/10,0)+Q311,ROUND('Budget by Source'!D311/10,0))</f>
        <v>22710</v>
      </c>
      <c r="E311" s="22">
        <f>IF(Notes!$B$2="June",ROUND('Budget by Source'!E311/10,0)+R311,ROUND('Budget by Source'!E311/10,0))</f>
        <v>2180</v>
      </c>
      <c r="F311" s="22">
        <f>IF(Notes!$B$2="June",ROUND('Budget by Source'!F311/10,0)+S311,ROUND('Budget by Source'!F311/10,0))</f>
        <v>2426</v>
      </c>
      <c r="G311" s="22">
        <f>IF(Notes!$B$2="June",ROUND('Budget by Source'!G311/10,0)+T311,ROUND('Budget by Source'!G311/10,0))</f>
        <v>11378</v>
      </c>
      <c r="H311" s="22">
        <f t="shared" si="12"/>
        <v>116439</v>
      </c>
      <c r="I311" s="22">
        <f>INDEX(Data[],MATCH($A311,Data[Dist],0),MATCH(I$5,Data[#Headers],0))</f>
        <v>164727</v>
      </c>
      <c r="K311" s="69">
        <f>INDEX('Payment Total'!$A$7:$H$333,MATCH('Payment by Source'!$A311,'Payment Total'!$A$7:$A$333,0),3)-I311</f>
        <v>0</v>
      </c>
      <c r="P311" s="154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-2</v>
      </c>
      <c r="Q311" s="154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0</v>
      </c>
      <c r="R311" s="154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4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3</v>
      </c>
      <c r="T311" s="154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0</v>
      </c>
      <c r="U311" s="155">
        <f>INDEX('Budget by Source'!$A$6:$I$332,MATCH('Payment by Source'!$A311,'Budget by Source'!$A$6:$A$332,0),MATCH(U$3,'Budget by Source'!$A$5:$I$5,0))</f>
        <v>1164386</v>
      </c>
      <c r="V311" s="152">
        <f t="shared" si="13"/>
        <v>116439</v>
      </c>
      <c r="W311" s="152">
        <f t="shared" si="14"/>
        <v>1164390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15498</v>
      </c>
      <c r="D312" s="22">
        <f>IF(Notes!$B$2="June",ROUND('Budget by Source'!D312/10,0)+Q312,ROUND('Budget by Source'!D312/10,0))</f>
        <v>48532</v>
      </c>
      <c r="E312" s="22">
        <f>IF(Notes!$B$2="June",ROUND('Budget by Source'!E312/10,0)+R312,ROUND('Budget by Source'!E312/10,0))</f>
        <v>5320</v>
      </c>
      <c r="F312" s="22">
        <f>IF(Notes!$B$2="June",ROUND('Budget by Source'!F312/10,0)+S312,ROUND('Budget by Source'!F312/10,0))</f>
        <v>5179</v>
      </c>
      <c r="G312" s="22">
        <f>IF(Notes!$B$2="June",ROUND('Budget by Source'!G312/10,0)+T312,ROUND('Budget by Source'!G312/10,0))</f>
        <v>27529</v>
      </c>
      <c r="H312" s="22">
        <f t="shared" si="12"/>
        <v>348528</v>
      </c>
      <c r="I312" s="22">
        <f>INDEX(Data[],MATCH($A312,Data[Dist],0),MATCH(I$5,Data[#Headers],0))</f>
        <v>450586</v>
      </c>
      <c r="K312" s="69">
        <f>INDEX('Payment Total'!$A$7:$H$333,MATCH('Payment by Source'!$A312,'Payment Total'!$A$7:$A$333,0),3)-I312</f>
        <v>0</v>
      </c>
      <c r="P312" s="154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-4</v>
      </c>
      <c r="Q312" s="154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2</v>
      </c>
      <c r="R312" s="154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-4</v>
      </c>
      <c r="S312" s="154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-2</v>
      </c>
      <c r="T312" s="154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1</v>
      </c>
      <c r="U312" s="155">
        <f>INDEX('Budget by Source'!$A$6:$I$332,MATCH('Payment by Source'!$A312,'Budget by Source'!$A$6:$A$332,0),MATCH(U$3,'Budget by Source'!$A$5:$I$5,0))</f>
        <v>3485282</v>
      </c>
      <c r="V312" s="152">
        <f t="shared" si="13"/>
        <v>348528</v>
      </c>
      <c r="W312" s="152">
        <f t="shared" si="14"/>
        <v>3485280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12915</v>
      </c>
      <c r="D313" s="22">
        <f>IF(Notes!$B$2="June",ROUND('Budget by Source'!D313/10,0)+Q313,ROUND('Budget by Source'!D313/10,0))</f>
        <v>33345</v>
      </c>
      <c r="E313" s="22">
        <f>IF(Notes!$B$2="June",ROUND('Budget by Source'!E313/10,0)+R313,ROUND('Budget by Source'!E313/10,0))</f>
        <v>5363</v>
      </c>
      <c r="F313" s="22">
        <f>IF(Notes!$B$2="June",ROUND('Budget by Source'!F313/10,0)+S313,ROUND('Budget by Source'!F313/10,0))</f>
        <v>4270</v>
      </c>
      <c r="G313" s="22">
        <f>IF(Notes!$B$2="June",ROUND('Budget by Source'!G313/10,0)+T313,ROUND('Budget by Source'!G313/10,0))</f>
        <v>15534</v>
      </c>
      <c r="H313" s="22">
        <f t="shared" si="12"/>
        <v>221206</v>
      </c>
      <c r="I313" s="22">
        <f>INDEX(Data[],MATCH($A313,Data[Dist],0),MATCH(I$5,Data[#Headers],0))</f>
        <v>292633</v>
      </c>
      <c r="K313" s="69">
        <f>INDEX('Payment Total'!$A$7:$H$333,MATCH('Payment by Source'!$A313,'Payment Total'!$A$7:$A$333,0),3)-I313</f>
        <v>0</v>
      </c>
      <c r="P313" s="154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-2</v>
      </c>
      <c r="Q313" s="154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4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1</v>
      </c>
      <c r="S313" s="154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4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-4</v>
      </c>
      <c r="U313" s="155">
        <f>INDEX('Budget by Source'!$A$6:$I$332,MATCH('Payment by Source'!$A313,'Budget by Source'!$A$6:$A$332,0),MATCH(U$3,'Budget by Source'!$A$5:$I$5,0))</f>
        <v>2212065</v>
      </c>
      <c r="V313" s="152">
        <f t="shared" si="13"/>
        <v>221207</v>
      </c>
      <c r="W313" s="152">
        <f t="shared" si="14"/>
        <v>2212070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7749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1699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104362</v>
      </c>
      <c r="I314" s="22">
        <f>INDEX(Data[],MATCH($A314,Data[Dist],0),MATCH(I$5,Data[#Headers],0))</f>
        <v>142097</v>
      </c>
      <c r="K314" s="69">
        <f>INDEX('Payment Total'!$A$7:$H$333,MATCH('Payment by Source'!$A314,'Payment Total'!$A$7:$A$333,0),3)-I314</f>
        <v>0</v>
      </c>
      <c r="P314" s="154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4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4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1</v>
      </c>
      <c r="S314" s="154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4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5">
        <f>INDEX('Budget by Source'!$A$6:$I$332,MATCH('Payment by Source'!$A314,'Budget by Source'!$A$6:$A$332,0),MATCH(U$3,'Budget by Source'!$A$5:$I$5,0))</f>
        <v>1043617</v>
      </c>
      <c r="V314" s="152">
        <f t="shared" si="13"/>
        <v>104362</v>
      </c>
      <c r="W314" s="152">
        <f t="shared" si="14"/>
        <v>1043620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23247</v>
      </c>
      <c r="D315" s="22">
        <f>IF(Notes!$B$2="June",ROUND('Budget by Source'!D315/10,0)+Q315,ROUND('Budget by Source'!D315/10,0))</f>
        <v>88639</v>
      </c>
      <c r="E315" s="22">
        <f>IF(Notes!$B$2="June",ROUND('Budget by Source'!E315/10,0)+R315,ROUND('Budget by Source'!E315/10,0))</f>
        <v>9764</v>
      </c>
      <c r="F315" s="22">
        <f>IF(Notes!$B$2="June",ROUND('Budget by Source'!F315/10,0)+S315,ROUND('Budget by Source'!F315/10,0))</f>
        <v>9849</v>
      </c>
      <c r="G315" s="22">
        <f>IF(Notes!$B$2="June",ROUND('Budget by Source'!G315/10,0)+T315,ROUND('Budget by Source'!G315/10,0))</f>
        <v>49877</v>
      </c>
      <c r="H315" s="22">
        <f t="shared" si="12"/>
        <v>702263</v>
      </c>
      <c r="I315" s="22">
        <f>INDEX(Data[],MATCH($A315,Data[Dist],0),MATCH(I$5,Data[#Headers],0))</f>
        <v>883639</v>
      </c>
      <c r="K315" s="69">
        <f>INDEX('Payment Total'!$A$7:$H$333,MATCH('Payment by Source'!$A315,'Payment Total'!$A$7:$A$333,0),3)-I315</f>
        <v>0</v>
      </c>
      <c r="P315" s="154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-5</v>
      </c>
      <c r="Q315" s="154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-1</v>
      </c>
      <c r="R315" s="154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-4</v>
      </c>
      <c r="S315" s="154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-4</v>
      </c>
      <c r="T315" s="154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3</v>
      </c>
      <c r="U315" s="155">
        <f>INDEX('Budget by Source'!$A$6:$I$332,MATCH('Payment by Source'!$A315,'Budget by Source'!$A$6:$A$332,0),MATCH(U$3,'Budget by Source'!$A$5:$I$5,0))</f>
        <v>7022639</v>
      </c>
      <c r="V315" s="152">
        <f t="shared" si="13"/>
        <v>702264</v>
      </c>
      <c r="W315" s="152">
        <f t="shared" si="14"/>
        <v>7022640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144276</v>
      </c>
      <c r="D316" s="22">
        <f>IF(Notes!$B$2="June",ROUND('Budget by Source'!D316/10,0)+Q316,ROUND('Budget by Source'!D316/10,0))</f>
        <v>534367</v>
      </c>
      <c r="E316" s="22">
        <f>IF(Notes!$B$2="June",ROUND('Budget by Source'!E316/10,0)+R316,ROUND('Budget by Source'!E316/10,0))</f>
        <v>60140</v>
      </c>
      <c r="F316" s="22">
        <f>IF(Notes!$B$2="June",ROUND('Budget by Source'!F316/10,0)+S316,ROUND('Budget by Source'!F316/10,0))</f>
        <v>60860</v>
      </c>
      <c r="G316" s="22">
        <f>IF(Notes!$B$2="June",ROUND('Budget by Source'!G316/10,0)+T316,ROUND('Budget by Source'!G316/10,0))</f>
        <v>313952</v>
      </c>
      <c r="H316" s="22">
        <f t="shared" si="12"/>
        <v>3848256</v>
      </c>
      <c r="I316" s="22">
        <f>INDEX(Data[],MATCH($A316,Data[Dist],0),MATCH(I$5,Data[#Headers],0))</f>
        <v>4961851</v>
      </c>
      <c r="K316" s="69">
        <f>INDEX('Payment Total'!$A$7:$H$333,MATCH('Payment by Source'!$A316,'Payment Total'!$A$7:$A$333,0),3)-I316</f>
        <v>0</v>
      </c>
      <c r="P316" s="154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-3</v>
      </c>
      <c r="Q316" s="154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1</v>
      </c>
      <c r="R316" s="154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4</v>
      </c>
      <c r="S316" s="154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4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-4</v>
      </c>
      <c r="U316" s="155">
        <f>INDEX('Budget by Source'!$A$6:$I$332,MATCH('Payment by Source'!$A316,'Budget by Source'!$A$6:$A$332,0),MATCH(U$3,'Budget by Source'!$A$5:$I$5,0))</f>
        <v>38482566</v>
      </c>
      <c r="V316" s="152">
        <f t="shared" si="13"/>
        <v>3848257</v>
      </c>
      <c r="W316" s="152">
        <f t="shared" si="14"/>
        <v>38482570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103318</v>
      </c>
      <c r="D317" s="22">
        <f>IF(Notes!$B$2="June",ROUND('Budget by Source'!D317/10,0)+Q317,ROUND('Budget by Source'!D317/10,0))</f>
        <v>201674</v>
      </c>
      <c r="E317" s="22">
        <f>IF(Notes!$B$2="June",ROUND('Budget by Source'!E317/10,0)+R317,ROUND('Budget by Source'!E317/10,0))</f>
        <v>23248</v>
      </c>
      <c r="F317" s="22">
        <f>IF(Notes!$B$2="June",ROUND('Budget by Source'!F317/10,0)+S317,ROUND('Budget by Source'!F317/10,0))</f>
        <v>22446</v>
      </c>
      <c r="G317" s="22">
        <f>IF(Notes!$B$2="June",ROUND('Budget by Source'!G317/10,0)+T317,ROUND('Budget by Source'!G317/10,0))</f>
        <v>114371</v>
      </c>
      <c r="H317" s="22">
        <f t="shared" si="12"/>
        <v>1506108</v>
      </c>
      <c r="I317" s="22">
        <f>INDEX(Data[],MATCH($A317,Data[Dist],0),MATCH(I$5,Data[#Headers],0))</f>
        <v>1971165</v>
      </c>
      <c r="K317" s="69">
        <f>INDEX('Payment Total'!$A$7:$H$333,MATCH('Payment by Source'!$A317,'Payment Total'!$A$7:$A$333,0),3)-I317</f>
        <v>0</v>
      </c>
      <c r="P317" s="154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-4</v>
      </c>
      <c r="Q317" s="154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-4</v>
      </c>
      <c r="R317" s="154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4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-2</v>
      </c>
      <c r="T317" s="154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-2</v>
      </c>
      <c r="U317" s="155">
        <f>INDEX('Budget by Source'!$A$6:$I$332,MATCH('Payment by Source'!$A317,'Budget by Source'!$A$6:$A$332,0),MATCH(U$3,'Budget by Source'!$A$5:$I$5,0))</f>
        <v>15061087</v>
      </c>
      <c r="V317" s="152">
        <f t="shared" si="13"/>
        <v>1506109</v>
      </c>
      <c r="W317" s="152">
        <f t="shared" si="14"/>
        <v>15061090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6273</v>
      </c>
      <c r="D318" s="22">
        <f>IF(Notes!$B$2="June",ROUND('Budget by Source'!D318/10,0)+Q318,ROUND('Budget by Source'!D318/10,0))</f>
        <v>22874</v>
      </c>
      <c r="E318" s="22">
        <f>IF(Notes!$B$2="June",ROUND('Budget by Source'!E318/10,0)+R318,ROUND('Budget by Source'!E318/10,0))</f>
        <v>2164</v>
      </c>
      <c r="F318" s="22">
        <f>IF(Notes!$B$2="June",ROUND('Budget by Source'!F318/10,0)+S318,ROUND('Budget by Source'!F318/10,0))</f>
        <v>2505</v>
      </c>
      <c r="G318" s="22">
        <f>IF(Notes!$B$2="June",ROUND('Budget by Source'!G318/10,0)+T318,ROUND('Budget by Source'!G318/10,0))</f>
        <v>12545</v>
      </c>
      <c r="H318" s="22">
        <f t="shared" si="12"/>
        <v>141455</v>
      </c>
      <c r="I318" s="22">
        <f>INDEX(Data[],MATCH($A318,Data[Dist],0),MATCH(I$5,Data[#Headers],0))</f>
        <v>187816</v>
      </c>
      <c r="K318" s="69">
        <f>INDEX('Payment Total'!$A$7:$H$333,MATCH('Payment by Source'!$A318,'Payment Total'!$A$7:$A$333,0),3)-I318</f>
        <v>0</v>
      </c>
      <c r="P318" s="154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-1</v>
      </c>
      <c r="Q318" s="154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-2</v>
      </c>
      <c r="R318" s="154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3</v>
      </c>
      <c r="S318" s="154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0</v>
      </c>
      <c r="T318" s="154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-5</v>
      </c>
      <c r="U318" s="155">
        <f>INDEX('Budget by Source'!$A$6:$I$332,MATCH('Payment by Source'!$A318,'Budget by Source'!$A$6:$A$332,0),MATCH(U$3,'Budget by Source'!$A$5:$I$5,0))</f>
        <v>1414550</v>
      </c>
      <c r="V318" s="152">
        <f t="shared" si="13"/>
        <v>141455</v>
      </c>
      <c r="W318" s="152">
        <f t="shared" si="14"/>
        <v>1414550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23616</v>
      </c>
      <c r="D319" s="22">
        <f>IF(Notes!$B$2="June",ROUND('Budget by Source'!D319/10,0)+Q319,ROUND('Budget by Source'!D319/10,0))</f>
        <v>79343</v>
      </c>
      <c r="E319" s="22">
        <f>IF(Notes!$B$2="June",ROUND('Budget by Source'!E319/10,0)+R319,ROUND('Budget by Source'!E319/10,0))</f>
        <v>10812</v>
      </c>
      <c r="F319" s="22">
        <f>IF(Notes!$B$2="June",ROUND('Budget by Source'!F319/10,0)+S319,ROUND('Budget by Source'!F319/10,0))</f>
        <v>8349</v>
      </c>
      <c r="G319" s="22">
        <f>IF(Notes!$B$2="June",ROUND('Budget by Source'!G319/10,0)+T319,ROUND('Budget by Source'!G319/10,0))</f>
        <v>44192</v>
      </c>
      <c r="H319" s="22">
        <f t="shared" si="12"/>
        <v>799318</v>
      </c>
      <c r="I319" s="22">
        <f>INDEX(Data[],MATCH($A319,Data[Dist],0),MATCH(I$5,Data[#Headers],0))</f>
        <v>965630</v>
      </c>
      <c r="K319" s="69">
        <f>INDEX('Payment Total'!$A$7:$H$333,MATCH('Payment by Source'!$A319,'Payment Total'!$A$7:$A$333,0),3)-I319</f>
        <v>0</v>
      </c>
      <c r="P319" s="154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-5</v>
      </c>
      <c r="Q319" s="154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-2</v>
      </c>
      <c r="R319" s="154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1</v>
      </c>
      <c r="S319" s="154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3</v>
      </c>
      <c r="T319" s="154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-1</v>
      </c>
      <c r="U319" s="155">
        <f>INDEX('Budget by Source'!$A$6:$I$332,MATCH('Payment by Source'!$A319,'Budget by Source'!$A$6:$A$332,0),MATCH(U$3,'Budget by Source'!$A$5:$I$5,0))</f>
        <v>7993183</v>
      </c>
      <c r="V319" s="152">
        <f t="shared" si="13"/>
        <v>799318</v>
      </c>
      <c r="W319" s="152">
        <f t="shared" si="14"/>
        <v>7993180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19557</v>
      </c>
      <c r="D320" s="22">
        <f>IF(Notes!$B$2="June",ROUND('Budget by Source'!D320/10,0)+Q320,ROUND('Budget by Source'!D320/10,0))</f>
        <v>56230</v>
      </c>
      <c r="E320" s="22">
        <f>IF(Notes!$B$2="June",ROUND('Budget by Source'!E320/10,0)+R320,ROUND('Budget by Source'!E320/10,0))</f>
        <v>6492</v>
      </c>
      <c r="F320" s="22">
        <f>IF(Notes!$B$2="June",ROUND('Budget by Source'!F320/10,0)+S320,ROUND('Budget by Source'!F320/10,0))</f>
        <v>6328</v>
      </c>
      <c r="G320" s="22">
        <f>IF(Notes!$B$2="June",ROUND('Budget by Source'!G320/10,0)+T320,ROUND('Budget by Source'!G320/10,0))</f>
        <v>33433</v>
      </c>
      <c r="H320" s="22">
        <f t="shared" si="12"/>
        <v>408449</v>
      </c>
      <c r="I320" s="22">
        <f>INDEX(Data[],MATCH($A320,Data[Dist],0),MATCH(I$5,Data[#Headers],0))</f>
        <v>530489</v>
      </c>
      <c r="K320" s="69">
        <f>INDEX('Payment Total'!$A$7:$H$333,MATCH('Payment by Source'!$A320,'Payment Total'!$A$7:$A$333,0),3)-I320</f>
        <v>0</v>
      </c>
      <c r="P320" s="154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-4</v>
      </c>
      <c r="Q320" s="154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3</v>
      </c>
      <c r="R320" s="154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2</v>
      </c>
      <c r="S320" s="154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-2</v>
      </c>
      <c r="T320" s="154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-2</v>
      </c>
      <c r="U320" s="155">
        <f>INDEX('Budget by Source'!$A$6:$I$332,MATCH('Payment by Source'!$A320,'Budget by Source'!$A$6:$A$332,0),MATCH(U$3,'Budget by Source'!$A$5:$I$5,0))</f>
        <v>4084497</v>
      </c>
      <c r="V320" s="152">
        <f t="shared" si="13"/>
        <v>408450</v>
      </c>
      <c r="W320" s="152">
        <f t="shared" si="14"/>
        <v>4084500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16605</v>
      </c>
      <c r="D321" s="22">
        <f>IF(Notes!$B$2="June",ROUND('Budget by Source'!D321/10,0)+Q321,ROUND('Budget by Source'!D321/10,0))</f>
        <v>51772</v>
      </c>
      <c r="E321" s="22">
        <f>IF(Notes!$B$2="June",ROUND('Budget by Source'!E321/10,0)+R321,ROUND('Budget by Source'!E321/10,0))</f>
        <v>6242</v>
      </c>
      <c r="F321" s="22">
        <f>IF(Notes!$B$2="June",ROUND('Budget by Source'!F321/10,0)+S321,ROUND('Budget by Source'!F321/10,0))</f>
        <v>5126</v>
      </c>
      <c r="G321" s="22">
        <f>IF(Notes!$B$2="June",ROUND('Budget by Source'!G321/10,0)+T321,ROUND('Budget by Source'!G321/10,0))</f>
        <v>29111</v>
      </c>
      <c r="H321" s="22">
        <f t="shared" si="12"/>
        <v>417267</v>
      </c>
      <c r="I321" s="22">
        <f>INDEX(Data[],MATCH($A321,Data[Dist],0),MATCH(I$5,Data[#Headers],0))</f>
        <v>526123</v>
      </c>
      <c r="K321" s="69">
        <f>INDEX('Payment Total'!$A$7:$H$333,MATCH('Payment by Source'!$A321,'Payment Total'!$A$7:$A$333,0),3)-I321</f>
        <v>0</v>
      </c>
      <c r="P321" s="154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-3</v>
      </c>
      <c r="Q321" s="154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-2</v>
      </c>
      <c r="R321" s="154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-1</v>
      </c>
      <c r="S321" s="154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-3</v>
      </c>
      <c r="T321" s="154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-4</v>
      </c>
      <c r="U321" s="155">
        <f>INDEX('Budget by Source'!$A$6:$I$332,MATCH('Payment by Source'!$A321,'Budget by Source'!$A$6:$A$332,0),MATCH(U$3,'Budget by Source'!$A$5:$I$5,0))</f>
        <v>4172684</v>
      </c>
      <c r="V321" s="152">
        <f t="shared" si="13"/>
        <v>417268</v>
      </c>
      <c r="W321" s="152">
        <f t="shared" si="14"/>
        <v>4172680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10332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4610</v>
      </c>
      <c r="F322" s="22">
        <f>IF(Notes!$B$2="June",ROUND('Budget by Source'!F322/10,0)+S322,ROUND('Budget by Source'!F322/10,0))</f>
        <v>4301</v>
      </c>
      <c r="G322" s="22">
        <f>IF(Notes!$B$2="June",ROUND('Budget by Source'!G322/10,0)+T322,ROUND('Budget by Source'!G322/10,0))</f>
        <v>21998</v>
      </c>
      <c r="H322" s="22">
        <f t="shared" si="12"/>
        <v>320384</v>
      </c>
      <c r="I322" s="22">
        <f>INDEX(Data[],MATCH($A322,Data[Dist],0),MATCH(I$5,Data[#Headers],0))</f>
        <v>402086</v>
      </c>
      <c r="K322" s="69">
        <f>INDEX('Payment Total'!$A$7:$H$333,MATCH('Payment by Source'!$A322,'Payment Total'!$A$7:$A$333,0),3)-I322</f>
        <v>0</v>
      </c>
      <c r="P322" s="154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-2</v>
      </c>
      <c r="Q322" s="154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4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-2</v>
      </c>
      <c r="S322" s="154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-5</v>
      </c>
      <c r="T322" s="154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5">
        <f>INDEX('Budget by Source'!$A$6:$I$332,MATCH('Payment by Source'!$A322,'Budget by Source'!$A$6:$A$332,0),MATCH(U$3,'Budget by Source'!$A$5:$I$5,0))</f>
        <v>3203837</v>
      </c>
      <c r="V322" s="152">
        <f t="shared" si="13"/>
        <v>320384</v>
      </c>
      <c r="W322" s="152">
        <f t="shared" si="14"/>
        <v>3203840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12915</v>
      </c>
      <c r="D323" s="22">
        <f>IF(Notes!$B$2="June",ROUND('Budget by Source'!D323/10,0)+Q323,ROUND('Budget by Source'!D323/10,0))</f>
        <v>54136</v>
      </c>
      <c r="E323" s="22">
        <f>IF(Notes!$B$2="June",ROUND('Budget by Source'!E323/10,0)+R323,ROUND('Budget by Source'!E323/10,0))</f>
        <v>6429</v>
      </c>
      <c r="F323" s="22">
        <f>IF(Notes!$B$2="June",ROUND('Budget by Source'!F323/10,0)+S323,ROUND('Budget by Source'!F323/10,0))</f>
        <v>6214</v>
      </c>
      <c r="G323" s="22">
        <f>IF(Notes!$B$2="June",ROUND('Budget by Source'!G323/10,0)+T323,ROUND('Budget by Source'!G323/10,0))</f>
        <v>28975</v>
      </c>
      <c r="H323" s="22">
        <f t="shared" si="12"/>
        <v>534566</v>
      </c>
      <c r="I323" s="22">
        <f>INDEX(Data[],MATCH($A323,Data[Dist],0),MATCH(I$5,Data[#Headers],0))</f>
        <v>643235</v>
      </c>
      <c r="K323" s="69">
        <f>INDEX('Payment Total'!$A$7:$H$333,MATCH('Payment by Source'!$A323,'Payment Total'!$A$7:$A$333,0),3)-I323</f>
        <v>0</v>
      </c>
      <c r="P323" s="154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-2</v>
      </c>
      <c r="Q323" s="154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2</v>
      </c>
      <c r="R323" s="154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3</v>
      </c>
      <c r="S323" s="154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4</v>
      </c>
      <c r="T323" s="154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-4</v>
      </c>
      <c r="U323" s="155">
        <f>INDEX('Budget by Source'!$A$6:$I$332,MATCH('Payment by Source'!$A323,'Budget by Source'!$A$6:$A$332,0),MATCH(U$3,'Budget by Source'!$A$5:$I$5,0))</f>
        <v>5345659</v>
      </c>
      <c r="V323" s="152">
        <f t="shared" si="13"/>
        <v>534566</v>
      </c>
      <c r="W323" s="152">
        <f t="shared" si="14"/>
        <v>5345660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10332</v>
      </c>
      <c r="D324" s="22">
        <f>IF(Notes!$B$2="June",ROUND('Budget by Source'!D324/10,0)+Q324,ROUND('Budget by Source'!D324/10,0))</f>
        <v>35001</v>
      </c>
      <c r="E324" s="22">
        <f>IF(Notes!$B$2="June",ROUND('Budget by Source'!E324/10,0)+R324,ROUND('Budget by Source'!E324/10,0))</f>
        <v>4000</v>
      </c>
      <c r="F324" s="22">
        <f>IF(Notes!$B$2="June",ROUND('Budget by Source'!F324/10,0)+S324,ROUND('Budget by Source'!F324/10,0))</f>
        <v>4032</v>
      </c>
      <c r="G324" s="22">
        <f>IF(Notes!$B$2="June",ROUND('Budget by Source'!G324/10,0)+T324,ROUND('Budget by Source'!G324/10,0))</f>
        <v>18659</v>
      </c>
      <c r="H324" s="22">
        <f t="shared" si="12"/>
        <v>182312</v>
      </c>
      <c r="I324" s="22">
        <f>INDEX(Data[],MATCH($A324,Data[Dist],0),MATCH(I$5,Data[#Headers],0))</f>
        <v>254336</v>
      </c>
      <c r="K324" s="69">
        <f>INDEX('Payment Total'!$A$7:$H$333,MATCH('Payment by Source'!$A324,'Payment Total'!$A$7:$A$333,0),3)-I324</f>
        <v>0</v>
      </c>
      <c r="P324" s="154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-2</v>
      </c>
      <c r="Q324" s="154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-5</v>
      </c>
      <c r="R324" s="154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-1</v>
      </c>
      <c r="S324" s="154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-3</v>
      </c>
      <c r="T324" s="154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5">
        <f>INDEX('Budget by Source'!$A$6:$I$332,MATCH('Payment by Source'!$A324,'Budget by Source'!$A$6:$A$332,0),MATCH(U$3,'Budget by Source'!$A$5:$I$5,0))</f>
        <v>1823129</v>
      </c>
      <c r="V324" s="152">
        <f t="shared" si="13"/>
        <v>182313</v>
      </c>
      <c r="W324" s="152">
        <f t="shared" si="14"/>
        <v>1823130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2214</v>
      </c>
      <c r="D325" s="22">
        <f>IF(Notes!$B$2="June",ROUND('Budget by Source'!D325/10,0)+Q325,ROUND('Budget by Source'!D325/10,0))</f>
        <v>14890</v>
      </c>
      <c r="E325" s="22">
        <f>IF(Notes!$B$2="June",ROUND('Budget by Source'!E325/10,0)+R325,ROUND('Budget by Source'!E325/10,0))</f>
        <v>1847</v>
      </c>
      <c r="F325" s="22">
        <f>IF(Notes!$B$2="June",ROUND('Budget by Source'!F325/10,0)+S325,ROUND('Budget by Source'!F325/10,0))</f>
        <v>1679</v>
      </c>
      <c r="G325" s="22">
        <f>IF(Notes!$B$2="June",ROUND('Budget by Source'!G325/10,0)+T325,ROUND('Budget by Source'!G325/10,0))</f>
        <v>6906</v>
      </c>
      <c r="H325" s="22">
        <f t="shared" si="12"/>
        <v>82321</v>
      </c>
      <c r="I325" s="22">
        <f>INDEX(Data[],MATCH($A325,Data[Dist],0),MATCH(I$5,Data[#Headers],0))</f>
        <v>109857</v>
      </c>
      <c r="K325" s="69">
        <f>INDEX('Payment Total'!$A$7:$H$333,MATCH('Payment by Source'!$A325,'Payment Total'!$A$7:$A$333,0),3)-I325</f>
        <v>0</v>
      </c>
      <c r="P325" s="154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-1</v>
      </c>
      <c r="Q325" s="154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3</v>
      </c>
      <c r="R325" s="154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4</v>
      </c>
      <c r="S325" s="154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3</v>
      </c>
      <c r="T325" s="154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-5</v>
      </c>
      <c r="U325" s="155">
        <f>INDEX('Budget by Source'!$A$6:$I$332,MATCH('Payment by Source'!$A325,'Budget by Source'!$A$6:$A$332,0),MATCH(U$3,'Budget by Source'!$A$5:$I$5,0))</f>
        <v>823203</v>
      </c>
      <c r="V325" s="152">
        <f t="shared" si="13"/>
        <v>82320</v>
      </c>
      <c r="W325" s="152">
        <f t="shared" si="14"/>
        <v>823200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24361</v>
      </c>
      <c r="D326" s="22">
        <f>IF(Notes!$B$2="June",ROUND('Budget by Source'!D326/10,0)+Q326,ROUND('Budget by Source'!D326/10,0))</f>
        <v>72177</v>
      </c>
      <c r="E326" s="22">
        <f>IF(Notes!$B$2="June",ROUND('Budget by Source'!E326/10,0)+R326,ROUND('Budget by Source'!E326/10,0))</f>
        <v>7028</v>
      </c>
      <c r="F326" s="22">
        <f>IF(Notes!$B$2="June",ROUND('Budget by Source'!F326/10,0)+S326,ROUND('Budget by Source'!F326/10,0))</f>
        <v>7916</v>
      </c>
      <c r="G326" s="22">
        <f>IF(Notes!$B$2="June",ROUND('Budget by Source'!G326/10,0)+T326,ROUND('Budget by Source'!G326/10,0))</f>
        <v>40550</v>
      </c>
      <c r="H326" s="22">
        <f t="shared" si="12"/>
        <v>574532</v>
      </c>
      <c r="I326" s="22">
        <f>INDEX(Data[],MATCH($A326,Data[Dist],0),MATCH(I$5,Data[#Headers],0))</f>
        <v>726564</v>
      </c>
      <c r="K326" s="69">
        <f>INDEX('Payment Total'!$A$7:$H$333,MATCH('Payment by Source'!$A326,'Payment Total'!$A$7:$A$333,0),3)-I326</f>
        <v>0</v>
      </c>
      <c r="P326" s="154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1</v>
      </c>
      <c r="Q326" s="154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-5</v>
      </c>
      <c r="R326" s="154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-4</v>
      </c>
      <c r="S326" s="154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1</v>
      </c>
      <c r="T326" s="154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-5</v>
      </c>
      <c r="U326" s="155">
        <f>INDEX('Budget by Source'!$A$6:$I$332,MATCH('Payment by Source'!$A326,'Budget by Source'!$A$6:$A$332,0),MATCH(U$3,'Budget by Source'!$A$5:$I$5,0))</f>
        <v>5745335</v>
      </c>
      <c r="V326" s="152">
        <f t="shared" si="13"/>
        <v>574534</v>
      </c>
      <c r="W326" s="152">
        <f t="shared" si="14"/>
        <v>5745340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18450</v>
      </c>
      <c r="D327" s="22">
        <f>IF(Notes!$B$2="June",ROUND('Budget by Source'!D327/10,0)+Q327,ROUND('Budget by Source'!D327/10,0))</f>
        <v>54890</v>
      </c>
      <c r="E327" s="22">
        <f>IF(Notes!$B$2="June",ROUND('Budget by Source'!E327/10,0)+R327,ROUND('Budget by Source'!E327/10,0))</f>
        <v>6264</v>
      </c>
      <c r="F327" s="22">
        <f>IF(Notes!$B$2="June",ROUND('Budget by Source'!F327/10,0)+S327,ROUND('Budget by Source'!F327/10,0))</f>
        <v>6136</v>
      </c>
      <c r="G327" s="22">
        <f>IF(Notes!$B$2="June",ROUND('Budget by Source'!G327/10,0)+T327,ROUND('Budget by Source'!G327/10,0))</f>
        <v>30173</v>
      </c>
      <c r="H327" s="22">
        <f t="shared" ref="H327:H332" si="15">I327-SUM(C327:G327)</f>
        <v>486646</v>
      </c>
      <c r="I327" s="22">
        <f>INDEX(Data[],MATCH($A327,Data[Dist],0),MATCH(I$5,Data[#Headers],0))</f>
        <v>602559</v>
      </c>
      <c r="K327" s="69">
        <f>INDEX('Payment Total'!$A$7:$H$333,MATCH('Payment by Source'!$A327,'Payment Total'!$A$7:$A$333,0),3)-I327</f>
        <v>0</v>
      </c>
      <c r="P327" s="154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-4</v>
      </c>
      <c r="Q327" s="154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-4</v>
      </c>
      <c r="R327" s="154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0</v>
      </c>
      <c r="S327" s="154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-1</v>
      </c>
      <c r="T327" s="154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3</v>
      </c>
      <c r="U327" s="155">
        <f>INDEX('Budget by Source'!$A$6:$I$332,MATCH('Payment by Source'!$A327,'Budget by Source'!$A$6:$A$332,0),MATCH(U$3,'Budget by Source'!$A$5:$I$5,0))</f>
        <v>4866461</v>
      </c>
      <c r="V327" s="152">
        <f t="shared" ref="V327:V332" si="16">ROUND(U327/10,0)</f>
        <v>486646</v>
      </c>
      <c r="W327" s="152">
        <f t="shared" ref="W327:W332" si="17">V327*10</f>
        <v>4866460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5543</v>
      </c>
      <c r="D328" s="22">
        <f>IF(Notes!$B$2="June",ROUND('Budget by Source'!D328/10,0)+Q328,ROUND('Budget by Source'!D328/10,0))</f>
        <v>20915</v>
      </c>
      <c r="E328" s="22">
        <f>IF(Notes!$B$2="June",ROUND('Budget by Source'!E328/10,0)+R328,ROUND('Budget by Source'!E328/10,0))</f>
        <v>2575</v>
      </c>
      <c r="F328" s="22">
        <f>IF(Notes!$B$2="June",ROUND('Budget by Source'!F328/10,0)+S328,ROUND('Budget by Source'!F328/10,0))</f>
        <v>2276</v>
      </c>
      <c r="G328" s="22">
        <f>IF(Notes!$B$2="June",ROUND('Budget by Source'!G328/10,0)+T328,ROUND('Budget by Source'!G328/10,0))</f>
        <v>11274</v>
      </c>
      <c r="H328" s="22">
        <f t="shared" si="15"/>
        <v>169981</v>
      </c>
      <c r="I328" s="22">
        <f>INDEX(Data[],MATCH($A328,Data[Dist],0),MATCH(I$5,Data[#Headers],0))</f>
        <v>212564</v>
      </c>
      <c r="K328" s="69">
        <f>INDEX('Payment Total'!$A$7:$H$333,MATCH('Payment by Source'!$A328,'Payment Total'!$A$7:$A$333,0),3)-I328</f>
        <v>0</v>
      </c>
      <c r="P328" s="154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-5</v>
      </c>
      <c r="Q328" s="154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-2</v>
      </c>
      <c r="R328" s="154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4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-3</v>
      </c>
      <c r="T328" s="154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3</v>
      </c>
      <c r="U328" s="155">
        <f>INDEX('Budget by Source'!$A$6:$I$332,MATCH('Payment by Source'!$A328,'Budget by Source'!$A$6:$A$332,0),MATCH(U$3,'Budget by Source'!$A$5:$I$5,0))</f>
        <v>1699819</v>
      </c>
      <c r="V328" s="152">
        <f t="shared" si="16"/>
        <v>169982</v>
      </c>
      <c r="W328" s="152">
        <f t="shared" si="17"/>
        <v>1699820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26567</v>
      </c>
      <c r="D329" s="22">
        <f>IF(Notes!$B$2="June",ROUND('Budget by Source'!D329/10,0)+Q329,ROUND('Budget by Source'!D329/10,0))</f>
        <v>105156</v>
      </c>
      <c r="E329" s="22">
        <f>IF(Notes!$B$2="June",ROUND('Budget by Source'!E329/10,0)+R329,ROUND('Budget by Source'!E329/10,0))</f>
        <v>13590</v>
      </c>
      <c r="F329" s="22">
        <f>IF(Notes!$B$2="June",ROUND('Budget by Source'!F329/10,0)+S329,ROUND('Budget by Source'!F329/10,0))</f>
        <v>11420</v>
      </c>
      <c r="G329" s="22">
        <f>IF(Notes!$B$2="June",ROUND('Budget by Source'!G329/10,0)+T329,ROUND('Budget by Source'!G329/10,0))</f>
        <v>60912</v>
      </c>
      <c r="H329" s="22">
        <f t="shared" si="15"/>
        <v>941441</v>
      </c>
      <c r="I329" s="22">
        <f>INDEX(Data[],MATCH($A329,Data[Dist],0),MATCH(I$5,Data[#Headers],0))</f>
        <v>1159086</v>
      </c>
      <c r="K329" s="69">
        <f>INDEX('Payment Total'!$A$7:$H$333,MATCH('Payment by Source'!$A329,'Payment Total'!$A$7:$A$333,0),3)-I329</f>
        <v>0</v>
      </c>
      <c r="P329" s="154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4</v>
      </c>
      <c r="Q329" s="154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-5</v>
      </c>
      <c r="R329" s="154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4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-3</v>
      </c>
      <c r="T329" s="154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-1</v>
      </c>
      <c r="U329" s="155">
        <f>INDEX('Budget by Source'!$A$6:$I$332,MATCH('Payment by Source'!$A329,'Budget by Source'!$A$6:$A$332,0),MATCH(U$3,'Budget by Source'!$A$5:$I$5,0))</f>
        <v>9414415</v>
      </c>
      <c r="V329" s="152">
        <f t="shared" si="16"/>
        <v>941442</v>
      </c>
      <c r="W329" s="152">
        <f t="shared" si="17"/>
        <v>9414420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12546</v>
      </c>
      <c r="D330" s="22">
        <f>IF(Notes!$B$2="June",ROUND('Budget by Source'!D330/10,0)+Q330,ROUND('Budget by Source'!D330/10,0))</f>
        <v>32893</v>
      </c>
      <c r="E330" s="22">
        <f>IF(Notes!$B$2="June",ROUND('Budget by Source'!E330/10,0)+R330,ROUND('Budget by Source'!E330/10,0))</f>
        <v>3844</v>
      </c>
      <c r="F330" s="22">
        <f>IF(Notes!$B$2="June",ROUND('Budget by Source'!F330/10,0)+S330,ROUND('Budget by Source'!F330/10,0))</f>
        <v>3687</v>
      </c>
      <c r="G330" s="22">
        <f>IF(Notes!$B$2="June",ROUND('Budget by Source'!G330/10,0)+T330,ROUND('Budget by Source'!G330/10,0))</f>
        <v>17117</v>
      </c>
      <c r="H330" s="22">
        <f t="shared" si="15"/>
        <v>248150</v>
      </c>
      <c r="I330" s="22">
        <f>INDEX(Data[],MATCH($A330,Data[Dist],0),MATCH(I$5,Data[#Headers],0))</f>
        <v>318237</v>
      </c>
      <c r="K330" s="69">
        <f>INDEX('Payment Total'!$A$7:$H$333,MATCH('Payment by Source'!$A330,'Payment Total'!$A$7:$A$333,0),3)-I330</f>
        <v>0</v>
      </c>
      <c r="P330" s="154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-3</v>
      </c>
      <c r="Q330" s="154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-1</v>
      </c>
      <c r="R330" s="154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4</v>
      </c>
      <c r="S330" s="154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-4</v>
      </c>
      <c r="T330" s="154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2</v>
      </c>
      <c r="U330" s="155">
        <f>INDEX('Budget by Source'!$A$6:$I$332,MATCH('Payment by Source'!$A330,'Budget by Source'!$A$6:$A$332,0),MATCH(U$3,'Budget by Source'!$A$5:$I$5,0))</f>
        <v>2481498</v>
      </c>
      <c r="V330" s="152">
        <f>ROUND(U330/10,0)</f>
        <v>248150</v>
      </c>
      <c r="W330" s="152">
        <f>V330*10</f>
        <v>2481500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12546</v>
      </c>
      <c r="D331" s="22">
        <f>IF(Notes!$B$2="June",ROUND('Budget by Source'!D331/10,0)+Q331,ROUND('Budget by Source'!D331/10,0))</f>
        <v>33580</v>
      </c>
      <c r="E331" s="22">
        <f>IF(Notes!$B$2="June",ROUND('Budget by Source'!E331/10,0)+R331,ROUND('Budget by Source'!E331/10,0))</f>
        <v>3846</v>
      </c>
      <c r="F331" s="22">
        <f>IF(Notes!$B$2="June",ROUND('Budget by Source'!F331/10,0)+S331,ROUND('Budget by Source'!F331/10,0))</f>
        <v>3669</v>
      </c>
      <c r="G331" s="22">
        <f>IF(Notes!$B$2="June",ROUND('Budget by Source'!G331/10,0)+T331,ROUND('Budget by Source'!G331/10,0))</f>
        <v>18806</v>
      </c>
      <c r="H331" s="22">
        <f t="shared" si="15"/>
        <v>290358</v>
      </c>
      <c r="I331" s="22">
        <f>INDEX(Data[],MATCH($A331,Data[Dist],0),MATCH(I$5,Data[#Headers],0))</f>
        <v>362805</v>
      </c>
      <c r="K331" s="69">
        <f>INDEX('Payment Total'!$A$7:$H$333,MATCH('Payment by Source'!$A331,'Payment Total'!$A$7:$A$333,0),3)-I331</f>
        <v>0</v>
      </c>
      <c r="P331" s="154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-3</v>
      </c>
      <c r="Q331" s="154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1</v>
      </c>
      <c r="R331" s="154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3</v>
      </c>
      <c r="S331" s="154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2</v>
      </c>
      <c r="T331" s="154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5">
        <f>INDEX('Budget by Source'!$A$6:$I$332,MATCH('Payment by Source'!$A331,'Budget by Source'!$A$6:$A$332,0),MATCH(U$3,'Budget by Source'!$A$5:$I$5,0))</f>
        <v>2903577</v>
      </c>
      <c r="V331" s="152">
        <f t="shared" si="16"/>
        <v>290358</v>
      </c>
      <c r="W331" s="152">
        <f t="shared" si="17"/>
        <v>2903580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21771</v>
      </c>
      <c r="D332" s="22">
        <f>IF(Notes!$B$2="June",ROUND('Budget by Source'!D332/10,0)+Q332,ROUND('Budget by Source'!D332/10,0))</f>
        <v>65529</v>
      </c>
      <c r="E332" s="22">
        <f>IF(Notes!$B$2="June",ROUND('Budget by Source'!E332/10,0)+R332,ROUND('Budget by Source'!E332/10,0))</f>
        <v>7320</v>
      </c>
      <c r="F332" s="22">
        <f>IF(Notes!$B$2="June",ROUND('Budget by Source'!F332/10,0)+S332,ROUND('Budget by Source'!F332/10,0))</f>
        <v>6910</v>
      </c>
      <c r="G332" s="22">
        <f>IF(Notes!$B$2="June",ROUND('Budget by Source'!G332/10,0)+T332,ROUND('Budget by Source'!G332/10,0))</f>
        <v>37111</v>
      </c>
      <c r="H332" s="22">
        <f t="shared" si="15"/>
        <v>565731</v>
      </c>
      <c r="I332" s="22">
        <f>INDEX(Data[],MATCH($A332,Data[Dist],0),MATCH(I$5,Data[#Headers],0))</f>
        <v>704372</v>
      </c>
      <c r="K332" s="69">
        <f>INDEX('Payment Total'!$A$7:$H$333,MATCH('Payment by Source'!$A332,'Payment Total'!$A$7:$A$333,0),3)-I332</f>
        <v>0</v>
      </c>
      <c r="P332" s="154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-5</v>
      </c>
      <c r="Q332" s="154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3</v>
      </c>
      <c r="R332" s="154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-5</v>
      </c>
      <c r="S332" s="154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-2</v>
      </c>
      <c r="T332" s="154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0</v>
      </c>
      <c r="U332" s="155">
        <f>INDEX('Budget by Source'!$A$6:$I$332,MATCH('Payment by Source'!$A332,'Budget by Source'!$A$6:$A$332,0),MATCH(U$3,'Budget by Source'!$A$5:$I$5,0))</f>
        <v>5657321</v>
      </c>
      <c r="V332" s="152">
        <f t="shared" si="16"/>
        <v>565732</v>
      </c>
      <c r="W332" s="152">
        <f t="shared" si="17"/>
        <v>5657320</v>
      </c>
    </row>
    <row r="333" spans="1:23" ht="13.5" thickBot="1" x14ac:dyDescent="0.25">
      <c r="A333" s="122" t="s">
        <v>790</v>
      </c>
      <c r="B333" s="21" t="s">
        <v>789</v>
      </c>
      <c r="C333" s="24">
        <f t="shared" ref="C333:I333" si="18">SUM(C6:C332)</f>
        <v>8786425</v>
      </c>
      <c r="D333" s="24">
        <f t="shared" si="18"/>
        <v>30832111</v>
      </c>
      <c r="E333" s="24">
        <f t="shared" si="18"/>
        <v>3794744</v>
      </c>
      <c r="F333" s="24">
        <f t="shared" si="18"/>
        <v>3490591</v>
      </c>
      <c r="G333" s="24">
        <f t="shared" si="18"/>
        <v>17395925</v>
      </c>
      <c r="H333" s="24">
        <f t="shared" si="18"/>
        <v>270718555</v>
      </c>
      <c r="I333" s="24">
        <f t="shared" si="18"/>
        <v>335018351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71" customWidth="1"/>
    <col min="3" max="3" width="5" style="187" bestFit="1" customWidth="1"/>
    <col min="4" max="6" width="5" style="187" customWidth="1"/>
    <col min="7" max="7" width="32.28515625" style="171" bestFit="1" customWidth="1"/>
    <col min="8" max="8" width="11" style="171" bestFit="1" customWidth="1"/>
    <col min="9" max="9" width="12.7109375" style="171" customWidth="1"/>
    <col min="10" max="10" width="1.7109375" style="171" customWidth="1"/>
    <col min="11" max="11" width="12.7109375" style="171" bestFit="1" customWidth="1"/>
    <col min="12" max="12" width="13.5703125" style="171" bestFit="1" customWidth="1"/>
    <col min="13" max="13" width="12.85546875" style="171" bestFit="1" customWidth="1"/>
    <col min="14" max="14" width="1.7109375" style="171" customWidth="1"/>
    <col min="15" max="15" width="13.28515625" style="171" customWidth="1"/>
    <col min="16" max="16" width="12.42578125" style="171" customWidth="1"/>
    <col min="17" max="17" width="13.85546875" style="171" customWidth="1"/>
    <col min="18" max="18" width="1.7109375" style="171" customWidth="1"/>
    <col min="19" max="19" width="13.85546875" style="171" customWidth="1"/>
    <col min="20" max="20" width="12.7109375" style="171" customWidth="1"/>
    <col min="21" max="21" width="13.85546875" style="171" bestFit="1" customWidth="1"/>
    <col min="22" max="16384" width="9.140625" style="171"/>
  </cols>
  <sheetData>
    <row r="1" spans="1:22" x14ac:dyDescent="0.25">
      <c r="A1" s="188"/>
      <c r="B1" s="188"/>
      <c r="C1" s="189"/>
      <c r="D1" s="188"/>
      <c r="E1" s="188"/>
      <c r="F1" s="190"/>
      <c r="G1" s="224" t="str">
        <f>_xlfn.CONCAT("School District Income Surtax Payment - FY ",Notes!$B$1)</f>
        <v>School District Income Surtax Payment - FY 2023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2" x14ac:dyDescent="0.25">
      <c r="A2" s="188"/>
      <c r="B2" s="188"/>
      <c r="C2" s="189"/>
      <c r="D2" s="188"/>
      <c r="E2" s="188"/>
      <c r="F2" s="190"/>
      <c r="G2" s="224" t="str">
        <f>_xlfn.CONCAT("Based upon income surtax rates in FY ",Notes!B1-1," budgets")</f>
        <v>Based upon income surtax rates in FY 2022 budgets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x14ac:dyDescent="0.25">
      <c r="A3" s="188"/>
      <c r="B3" s="188"/>
      <c r="C3" s="189"/>
      <c r="D3" s="188"/>
      <c r="E3" s="188"/>
      <c r="F3" s="172"/>
      <c r="G3" s="173"/>
      <c r="H3" s="173"/>
      <c r="I3" s="173"/>
      <c r="J3" s="173"/>
      <c r="K3" s="173"/>
      <c r="L3" s="173"/>
      <c r="M3" s="173"/>
      <c r="N3" s="189"/>
      <c r="O3" s="189"/>
      <c r="P3" s="189"/>
      <c r="Q3" s="189"/>
      <c r="R3" s="189"/>
      <c r="S3" s="189"/>
      <c r="T3" s="189"/>
      <c r="U3" s="189"/>
    </row>
    <row r="4" spans="1:22" ht="15" customHeight="1" x14ac:dyDescent="0.25">
      <c r="A4" s="188"/>
      <c r="B4" s="188"/>
      <c r="C4" s="189"/>
      <c r="D4" s="188"/>
      <c r="E4" s="188"/>
      <c r="F4" s="174"/>
      <c r="G4" s="175"/>
      <c r="H4" s="189"/>
      <c r="I4" s="189"/>
      <c r="J4" s="191"/>
      <c r="K4" s="223" t="str">
        <f>CONCATENATE("First Payment - 12/01/",Notes!$B$1-1)</f>
        <v>First Payment - 12/01/2022</v>
      </c>
      <c r="L4" s="223"/>
      <c r="M4" s="223"/>
      <c r="N4" s="191"/>
      <c r="O4" s="223" t="str">
        <f>CONCATENATE("Second Payment - 02/01/",Notes!$B$1)</f>
        <v>Second Payment - 02/01/2023</v>
      </c>
      <c r="P4" s="223"/>
      <c r="Q4" s="223"/>
      <c r="R4" s="176"/>
      <c r="S4" s="223" t="s">
        <v>793</v>
      </c>
      <c r="T4" s="223"/>
      <c r="U4" s="223"/>
    </row>
    <row r="5" spans="1:22" ht="45" x14ac:dyDescent="0.25">
      <c r="A5" s="188" t="s">
        <v>353</v>
      </c>
      <c r="B5" s="188" t="s">
        <v>817</v>
      </c>
      <c r="C5" s="177" t="s">
        <v>799</v>
      </c>
      <c r="D5" s="188" t="s">
        <v>818</v>
      </c>
      <c r="E5" s="188" t="s">
        <v>819</v>
      </c>
      <c r="F5" s="178" t="s">
        <v>354</v>
      </c>
      <c r="G5" s="179" t="s">
        <v>804</v>
      </c>
      <c r="H5" s="180" t="s">
        <v>794</v>
      </c>
      <c r="I5" s="181" t="s">
        <v>795</v>
      </c>
      <c r="J5" s="182"/>
      <c r="K5" s="183" t="s">
        <v>727</v>
      </c>
      <c r="L5" s="181" t="s">
        <v>796</v>
      </c>
      <c r="M5" s="181" t="s">
        <v>797</v>
      </c>
      <c r="N5" s="191"/>
      <c r="O5" s="184" t="s">
        <v>727</v>
      </c>
      <c r="P5" s="180" t="s">
        <v>796</v>
      </c>
      <c r="Q5" s="180" t="s">
        <v>797</v>
      </c>
      <c r="R5" s="191"/>
      <c r="S5" s="184" t="s">
        <v>727</v>
      </c>
      <c r="T5" s="180" t="s">
        <v>796</v>
      </c>
      <c r="U5" s="180" t="s">
        <v>797</v>
      </c>
    </row>
    <row r="6" spans="1:22" x14ac:dyDescent="0.25">
      <c r="A6" s="192">
        <v>2021</v>
      </c>
      <c r="B6" s="192" t="s">
        <v>820</v>
      </c>
      <c r="C6" s="193" t="s">
        <v>21</v>
      </c>
      <c r="D6" s="194" t="s">
        <v>821</v>
      </c>
      <c r="E6" s="194" t="s">
        <v>821</v>
      </c>
      <c r="F6" s="194" t="s">
        <v>21</v>
      </c>
      <c r="G6" s="193" t="s">
        <v>381</v>
      </c>
      <c r="H6" s="195">
        <v>4</v>
      </c>
      <c r="I6" s="195">
        <v>4</v>
      </c>
      <c r="J6" s="196"/>
      <c r="K6" s="195">
        <v>115914.75</v>
      </c>
      <c r="L6" s="195">
        <v>57957.38</v>
      </c>
      <c r="M6" s="195">
        <v>57957.37</v>
      </c>
      <c r="N6" s="196"/>
      <c r="O6" s="195">
        <v>48642.25</v>
      </c>
      <c r="P6" s="195">
        <v>24321.13</v>
      </c>
      <c r="Q6" s="195">
        <v>24321.119999999999</v>
      </c>
      <c r="R6" s="196"/>
      <c r="S6" s="195">
        <v>164557</v>
      </c>
      <c r="T6" s="195">
        <v>82278.509999999995</v>
      </c>
      <c r="U6" s="195">
        <v>82278.490000000005</v>
      </c>
      <c r="V6" s="185"/>
    </row>
    <row r="7" spans="1:22" x14ac:dyDescent="0.25">
      <c r="A7" s="192">
        <v>2021</v>
      </c>
      <c r="B7" s="192" t="s">
        <v>820</v>
      </c>
      <c r="C7" s="193" t="s">
        <v>22</v>
      </c>
      <c r="D7" s="194" t="s">
        <v>821</v>
      </c>
      <c r="E7" s="194" t="s">
        <v>821</v>
      </c>
      <c r="F7" s="194" t="s">
        <v>22</v>
      </c>
      <c r="G7" s="193" t="s">
        <v>382</v>
      </c>
      <c r="H7" s="195">
        <v>0</v>
      </c>
      <c r="I7" s="195">
        <v>0</v>
      </c>
      <c r="J7" s="196"/>
      <c r="K7" s="195">
        <v>0</v>
      </c>
      <c r="L7" s="195">
        <v>0</v>
      </c>
      <c r="M7" s="195">
        <v>0</v>
      </c>
      <c r="N7" s="196"/>
      <c r="O7" s="195">
        <v>0</v>
      </c>
      <c r="P7" s="195">
        <v>0</v>
      </c>
      <c r="Q7" s="195">
        <v>0</v>
      </c>
      <c r="R7" s="196"/>
      <c r="S7" s="195">
        <v>0</v>
      </c>
      <c r="T7" s="195">
        <v>0</v>
      </c>
      <c r="U7" s="195">
        <v>0</v>
      </c>
      <c r="V7" s="185"/>
    </row>
    <row r="8" spans="1:22" x14ac:dyDescent="0.25">
      <c r="A8" s="192">
        <v>2021</v>
      </c>
      <c r="B8" s="192" t="s">
        <v>822</v>
      </c>
      <c r="C8" s="193" t="s">
        <v>20</v>
      </c>
      <c r="D8" s="194" t="s">
        <v>821</v>
      </c>
      <c r="E8" s="194" t="s">
        <v>821</v>
      </c>
      <c r="F8" s="194" t="s">
        <v>20</v>
      </c>
      <c r="G8" s="193" t="s">
        <v>0</v>
      </c>
      <c r="H8" s="195">
        <v>8</v>
      </c>
      <c r="I8" s="195">
        <v>0</v>
      </c>
      <c r="J8" s="196"/>
      <c r="K8" s="195">
        <v>254678.25</v>
      </c>
      <c r="L8" s="195">
        <v>254678.25</v>
      </c>
      <c r="M8" s="195">
        <v>0</v>
      </c>
      <c r="N8" s="196"/>
      <c r="O8" s="195">
        <v>91966.75</v>
      </c>
      <c r="P8" s="195">
        <v>91966.75</v>
      </c>
      <c r="Q8" s="195">
        <v>0</v>
      </c>
      <c r="R8" s="196"/>
      <c r="S8" s="195">
        <v>346645</v>
      </c>
      <c r="T8" s="195">
        <v>346645</v>
      </c>
      <c r="U8" s="195">
        <v>0</v>
      </c>
      <c r="V8" s="185"/>
    </row>
    <row r="9" spans="1:22" x14ac:dyDescent="0.25">
      <c r="A9" s="192">
        <v>2021</v>
      </c>
      <c r="B9" s="192" t="s">
        <v>823</v>
      </c>
      <c r="C9" s="193" t="s">
        <v>42</v>
      </c>
      <c r="D9" s="194" t="s">
        <v>821</v>
      </c>
      <c r="E9" s="194" t="s">
        <v>821</v>
      </c>
      <c r="F9" s="194" t="s">
        <v>42</v>
      </c>
      <c r="G9" s="193" t="s">
        <v>19</v>
      </c>
      <c r="H9" s="195">
        <v>0</v>
      </c>
      <c r="I9" s="195">
        <v>10</v>
      </c>
      <c r="J9" s="196"/>
      <c r="K9" s="195">
        <v>297183.75</v>
      </c>
      <c r="L9" s="195">
        <v>0</v>
      </c>
      <c r="M9" s="195">
        <v>297183.75</v>
      </c>
      <c r="N9" s="196"/>
      <c r="O9" s="195">
        <v>117582.25</v>
      </c>
      <c r="P9" s="195">
        <v>0</v>
      </c>
      <c r="Q9" s="195">
        <v>117582.25</v>
      </c>
      <c r="R9" s="196"/>
      <c r="S9" s="195">
        <v>414766</v>
      </c>
      <c r="T9" s="195">
        <v>0</v>
      </c>
      <c r="U9" s="195">
        <v>414766</v>
      </c>
      <c r="V9" s="185"/>
    </row>
    <row r="10" spans="1:22" x14ac:dyDescent="0.25">
      <c r="A10" s="192">
        <v>2021</v>
      </c>
      <c r="B10" s="192" t="s">
        <v>824</v>
      </c>
      <c r="C10" s="193" t="s">
        <v>23</v>
      </c>
      <c r="D10" s="194" t="s">
        <v>821</v>
      </c>
      <c r="E10" s="194" t="s">
        <v>821</v>
      </c>
      <c r="F10" s="194" t="s">
        <v>23</v>
      </c>
      <c r="G10" s="193" t="s">
        <v>383</v>
      </c>
      <c r="H10" s="195">
        <v>0</v>
      </c>
      <c r="I10" s="195">
        <v>4</v>
      </c>
      <c r="J10" s="196"/>
      <c r="K10" s="195">
        <v>82251</v>
      </c>
      <c r="L10" s="195">
        <v>0</v>
      </c>
      <c r="M10" s="195">
        <v>82251</v>
      </c>
      <c r="N10" s="196"/>
      <c r="O10" s="195">
        <v>32273</v>
      </c>
      <c r="P10" s="195">
        <v>0</v>
      </c>
      <c r="Q10" s="195">
        <v>32273</v>
      </c>
      <c r="R10" s="196"/>
      <c r="S10" s="195">
        <v>114524</v>
      </c>
      <c r="T10" s="195">
        <v>0</v>
      </c>
      <c r="U10" s="195">
        <v>114524</v>
      </c>
      <c r="V10" s="185"/>
    </row>
    <row r="11" spans="1:22" x14ac:dyDescent="0.25">
      <c r="A11" s="192">
        <v>2021</v>
      </c>
      <c r="B11" s="192" t="s">
        <v>825</v>
      </c>
      <c r="C11" s="193" t="s">
        <v>24</v>
      </c>
      <c r="D11" s="194" t="s">
        <v>821</v>
      </c>
      <c r="E11" s="194" t="s">
        <v>821</v>
      </c>
      <c r="F11" s="194" t="s">
        <v>24</v>
      </c>
      <c r="G11" s="193" t="s">
        <v>384</v>
      </c>
      <c r="H11" s="195">
        <v>0</v>
      </c>
      <c r="I11" s="195">
        <v>0</v>
      </c>
      <c r="J11" s="196"/>
      <c r="K11" s="195">
        <v>0</v>
      </c>
      <c r="L11" s="195">
        <v>0</v>
      </c>
      <c r="M11" s="195">
        <v>0</v>
      </c>
      <c r="N11" s="196"/>
      <c r="O11" s="195">
        <v>0</v>
      </c>
      <c r="P11" s="195">
        <v>0</v>
      </c>
      <c r="Q11" s="195">
        <v>0</v>
      </c>
      <c r="R11" s="196"/>
      <c r="S11" s="195">
        <v>0</v>
      </c>
      <c r="T11" s="195">
        <v>0</v>
      </c>
      <c r="U11" s="195">
        <v>0</v>
      </c>
      <c r="V11" s="185"/>
    </row>
    <row r="12" spans="1:22" x14ac:dyDescent="0.25">
      <c r="A12" s="192">
        <v>2021</v>
      </c>
      <c r="B12" s="192" t="s">
        <v>826</v>
      </c>
      <c r="C12" s="193" t="s">
        <v>25</v>
      </c>
      <c r="D12" s="194" t="s">
        <v>821</v>
      </c>
      <c r="E12" s="194" t="s">
        <v>821</v>
      </c>
      <c r="F12" s="194" t="s">
        <v>25</v>
      </c>
      <c r="G12" s="193" t="s">
        <v>385</v>
      </c>
      <c r="H12" s="195">
        <v>0</v>
      </c>
      <c r="I12" s="195">
        <v>1</v>
      </c>
      <c r="J12" s="196"/>
      <c r="K12" s="195">
        <v>44015.25</v>
      </c>
      <c r="L12" s="195">
        <v>0</v>
      </c>
      <c r="M12" s="195">
        <v>44015.25</v>
      </c>
      <c r="N12" s="196"/>
      <c r="O12" s="195">
        <v>15923.75</v>
      </c>
      <c r="P12" s="195">
        <v>0</v>
      </c>
      <c r="Q12" s="195">
        <v>15923.75</v>
      </c>
      <c r="R12" s="196"/>
      <c r="S12" s="195">
        <v>59939</v>
      </c>
      <c r="T12" s="195">
        <v>0</v>
      </c>
      <c r="U12" s="195">
        <v>59939</v>
      </c>
      <c r="V12" s="185"/>
    </row>
    <row r="13" spans="1:22" x14ac:dyDescent="0.25">
      <c r="A13" s="192">
        <v>2021</v>
      </c>
      <c r="B13" s="192" t="s">
        <v>827</v>
      </c>
      <c r="C13" s="193" t="s">
        <v>26</v>
      </c>
      <c r="D13" s="194" t="s">
        <v>821</v>
      </c>
      <c r="E13" s="194" t="s">
        <v>821</v>
      </c>
      <c r="F13" s="194" t="s">
        <v>26</v>
      </c>
      <c r="G13" s="193" t="s">
        <v>386</v>
      </c>
      <c r="H13" s="195">
        <v>1</v>
      </c>
      <c r="I13" s="195">
        <v>0</v>
      </c>
      <c r="J13" s="196"/>
      <c r="K13" s="195">
        <v>32905.5</v>
      </c>
      <c r="L13" s="195">
        <v>32905.5</v>
      </c>
      <c r="M13" s="195">
        <v>0</v>
      </c>
      <c r="N13" s="196"/>
      <c r="O13" s="195">
        <v>12157.5</v>
      </c>
      <c r="P13" s="195">
        <v>12157.5</v>
      </c>
      <c r="Q13" s="195">
        <v>0</v>
      </c>
      <c r="R13" s="196"/>
      <c r="S13" s="195">
        <v>45063</v>
      </c>
      <c r="T13" s="195">
        <v>45063</v>
      </c>
      <c r="U13" s="195">
        <v>0</v>
      </c>
      <c r="V13" s="185"/>
    </row>
    <row r="14" spans="1:22" x14ac:dyDescent="0.25">
      <c r="A14" s="192">
        <v>2021</v>
      </c>
      <c r="B14" s="192" t="s">
        <v>822</v>
      </c>
      <c r="C14" s="193" t="s">
        <v>27</v>
      </c>
      <c r="D14" s="194" t="s">
        <v>821</v>
      </c>
      <c r="E14" s="194" t="s">
        <v>821</v>
      </c>
      <c r="F14" s="194" t="s">
        <v>27</v>
      </c>
      <c r="G14" s="193" t="s">
        <v>387</v>
      </c>
      <c r="H14" s="195">
        <v>0</v>
      </c>
      <c r="I14" s="195">
        <v>7</v>
      </c>
      <c r="J14" s="196"/>
      <c r="K14" s="195">
        <v>69137.25</v>
      </c>
      <c r="L14" s="195">
        <v>0</v>
      </c>
      <c r="M14" s="195">
        <v>69137.25</v>
      </c>
      <c r="N14" s="196"/>
      <c r="O14" s="195">
        <v>23500.75</v>
      </c>
      <c r="P14" s="195">
        <v>0</v>
      </c>
      <c r="Q14" s="195">
        <v>23500.75</v>
      </c>
      <c r="R14" s="196"/>
      <c r="S14" s="195">
        <v>92638</v>
      </c>
      <c r="T14" s="195">
        <v>0</v>
      </c>
      <c r="U14" s="195">
        <v>92638</v>
      </c>
      <c r="V14" s="185"/>
    </row>
    <row r="15" spans="1:22" x14ac:dyDescent="0.25">
      <c r="A15" s="192">
        <v>2021</v>
      </c>
      <c r="B15" s="192" t="s">
        <v>825</v>
      </c>
      <c r="C15" s="193" t="s">
        <v>28</v>
      </c>
      <c r="D15" s="194" t="s">
        <v>828</v>
      </c>
      <c r="E15" s="194" t="s">
        <v>821</v>
      </c>
      <c r="F15" s="194" t="s">
        <v>28</v>
      </c>
      <c r="G15" s="193" t="s">
        <v>388</v>
      </c>
      <c r="H15" s="195">
        <v>0</v>
      </c>
      <c r="I15" s="195">
        <v>6</v>
      </c>
      <c r="J15" s="196"/>
      <c r="K15" s="195">
        <v>470724.75</v>
      </c>
      <c r="L15" s="195">
        <v>0</v>
      </c>
      <c r="M15" s="195">
        <v>470724.75</v>
      </c>
      <c r="N15" s="196"/>
      <c r="O15" s="195">
        <v>176486.25</v>
      </c>
      <c r="P15" s="195">
        <v>0</v>
      </c>
      <c r="Q15" s="195">
        <v>176486.25</v>
      </c>
      <c r="R15" s="196"/>
      <c r="S15" s="195">
        <v>647211</v>
      </c>
      <c r="T15" s="195">
        <v>0</v>
      </c>
      <c r="U15" s="195">
        <v>647211</v>
      </c>
      <c r="V15" s="185"/>
    </row>
    <row r="16" spans="1:22" x14ac:dyDescent="0.25">
      <c r="A16" s="192">
        <v>2021</v>
      </c>
      <c r="B16" s="192" t="s">
        <v>829</v>
      </c>
      <c r="C16" s="193" t="s">
        <v>29</v>
      </c>
      <c r="D16" s="194" t="s">
        <v>821</v>
      </c>
      <c r="E16" s="194" t="s">
        <v>821</v>
      </c>
      <c r="F16" s="194" t="s">
        <v>29</v>
      </c>
      <c r="G16" s="193" t="s">
        <v>389</v>
      </c>
      <c r="H16" s="195">
        <v>8</v>
      </c>
      <c r="I16" s="195">
        <v>0</v>
      </c>
      <c r="J16" s="196"/>
      <c r="K16" s="195">
        <v>368304.75</v>
      </c>
      <c r="L16" s="195">
        <v>368304.75</v>
      </c>
      <c r="M16" s="195">
        <v>0</v>
      </c>
      <c r="N16" s="196"/>
      <c r="O16" s="195">
        <v>132349.25</v>
      </c>
      <c r="P16" s="195">
        <v>132349.25</v>
      </c>
      <c r="Q16" s="195">
        <v>0</v>
      </c>
      <c r="R16" s="196"/>
      <c r="S16" s="195">
        <v>500654</v>
      </c>
      <c r="T16" s="195">
        <v>500654</v>
      </c>
      <c r="U16" s="195">
        <v>0</v>
      </c>
      <c r="V16" s="185"/>
    </row>
    <row r="17" spans="1:22" x14ac:dyDescent="0.25">
      <c r="A17" s="192">
        <v>2021</v>
      </c>
      <c r="B17" s="192" t="s">
        <v>825</v>
      </c>
      <c r="C17" s="193" t="s">
        <v>31</v>
      </c>
      <c r="D17" s="194" t="s">
        <v>41</v>
      </c>
      <c r="E17" s="194" t="s">
        <v>821</v>
      </c>
      <c r="F17" s="194" t="s">
        <v>31</v>
      </c>
      <c r="G17" s="193" t="s">
        <v>800</v>
      </c>
      <c r="H17" s="195">
        <v>0</v>
      </c>
      <c r="I17" s="195">
        <v>9</v>
      </c>
      <c r="J17" s="196"/>
      <c r="K17" s="195">
        <v>322301.25</v>
      </c>
      <c r="L17" s="195">
        <v>0</v>
      </c>
      <c r="M17" s="195">
        <v>322301.25</v>
      </c>
      <c r="N17" s="196"/>
      <c r="O17" s="195">
        <v>113225.75</v>
      </c>
      <c r="P17" s="195">
        <v>0</v>
      </c>
      <c r="Q17" s="195">
        <v>113225.75</v>
      </c>
      <c r="R17" s="196"/>
      <c r="S17" s="195">
        <v>435527</v>
      </c>
      <c r="T17" s="195">
        <v>0</v>
      </c>
      <c r="U17" s="195">
        <v>435527</v>
      </c>
      <c r="V17" s="185"/>
    </row>
    <row r="18" spans="1:22" x14ac:dyDescent="0.25">
      <c r="A18" s="192">
        <v>2021</v>
      </c>
      <c r="B18" s="192" t="s">
        <v>820</v>
      </c>
      <c r="C18" s="193" t="s">
        <v>32</v>
      </c>
      <c r="D18" s="194" t="s">
        <v>821</v>
      </c>
      <c r="E18" s="194" t="s">
        <v>821</v>
      </c>
      <c r="F18" s="194" t="s">
        <v>32</v>
      </c>
      <c r="G18" s="193" t="s">
        <v>391</v>
      </c>
      <c r="H18" s="195">
        <v>0</v>
      </c>
      <c r="I18" s="195">
        <v>4</v>
      </c>
      <c r="J18" s="196"/>
      <c r="K18" s="195">
        <v>1532883.75</v>
      </c>
      <c r="L18" s="195">
        <v>0</v>
      </c>
      <c r="M18" s="195">
        <v>1532883.75</v>
      </c>
      <c r="N18" s="196"/>
      <c r="O18" s="195">
        <v>610205.25</v>
      </c>
      <c r="P18" s="195">
        <v>0</v>
      </c>
      <c r="Q18" s="195">
        <v>610205.25</v>
      </c>
      <c r="R18" s="196"/>
      <c r="S18" s="195">
        <v>2143089</v>
      </c>
      <c r="T18" s="195">
        <v>0</v>
      </c>
      <c r="U18" s="195">
        <v>2143089</v>
      </c>
      <c r="V18" s="185"/>
    </row>
    <row r="19" spans="1:22" x14ac:dyDescent="0.25">
      <c r="A19" s="192">
        <v>2021</v>
      </c>
      <c r="B19" s="192" t="s">
        <v>827</v>
      </c>
      <c r="C19" s="193" t="s">
        <v>33</v>
      </c>
      <c r="D19" s="194" t="s">
        <v>821</v>
      </c>
      <c r="E19" s="194" t="s">
        <v>821</v>
      </c>
      <c r="F19" s="194" t="s">
        <v>33</v>
      </c>
      <c r="G19" s="193" t="s">
        <v>392</v>
      </c>
      <c r="H19" s="195">
        <v>0</v>
      </c>
      <c r="I19" s="195">
        <v>7</v>
      </c>
      <c r="J19" s="196"/>
      <c r="K19" s="195">
        <v>443761.5</v>
      </c>
      <c r="L19" s="195">
        <v>0</v>
      </c>
      <c r="M19" s="195">
        <v>443761.5</v>
      </c>
      <c r="N19" s="196"/>
      <c r="O19" s="195">
        <v>159859.5</v>
      </c>
      <c r="P19" s="195">
        <v>0</v>
      </c>
      <c r="Q19" s="195">
        <v>159859.5</v>
      </c>
      <c r="R19" s="196"/>
      <c r="S19" s="195">
        <v>603621</v>
      </c>
      <c r="T19" s="195">
        <v>0</v>
      </c>
      <c r="U19" s="195">
        <v>603621</v>
      </c>
      <c r="V19" s="185"/>
    </row>
    <row r="20" spans="1:22" x14ac:dyDescent="0.25">
      <c r="A20" s="192">
        <v>2021</v>
      </c>
      <c r="B20" s="192" t="s">
        <v>830</v>
      </c>
      <c r="C20" s="193" t="s">
        <v>34</v>
      </c>
      <c r="D20" s="194" t="s">
        <v>821</v>
      </c>
      <c r="E20" s="194" t="s">
        <v>821</v>
      </c>
      <c r="F20" s="194" t="s">
        <v>34</v>
      </c>
      <c r="G20" s="193" t="s">
        <v>393</v>
      </c>
      <c r="H20" s="195">
        <v>0</v>
      </c>
      <c r="I20" s="195">
        <v>5</v>
      </c>
      <c r="J20" s="196"/>
      <c r="K20" s="195">
        <v>47743.5</v>
      </c>
      <c r="L20" s="195">
        <v>0</v>
      </c>
      <c r="M20" s="195">
        <v>47743.5</v>
      </c>
      <c r="N20" s="196"/>
      <c r="O20" s="195">
        <v>17680.5</v>
      </c>
      <c r="P20" s="195">
        <v>0</v>
      </c>
      <c r="Q20" s="195">
        <v>17680.5</v>
      </c>
      <c r="R20" s="196"/>
      <c r="S20" s="195">
        <v>65424</v>
      </c>
      <c r="T20" s="195">
        <v>0</v>
      </c>
      <c r="U20" s="195">
        <v>65424</v>
      </c>
      <c r="V20" s="185"/>
    </row>
    <row r="21" spans="1:22" x14ac:dyDescent="0.25">
      <c r="A21" s="192">
        <v>2021</v>
      </c>
      <c r="B21" s="192" t="s">
        <v>820</v>
      </c>
      <c r="C21" s="193" t="s">
        <v>35</v>
      </c>
      <c r="D21" s="194" t="s">
        <v>821</v>
      </c>
      <c r="E21" s="194" t="s">
        <v>821</v>
      </c>
      <c r="F21" s="194" t="s">
        <v>35</v>
      </c>
      <c r="G21" s="193" t="s">
        <v>394</v>
      </c>
      <c r="H21" s="195">
        <v>0</v>
      </c>
      <c r="I21" s="195">
        <v>0</v>
      </c>
      <c r="J21" s="196"/>
      <c r="K21" s="195">
        <v>0</v>
      </c>
      <c r="L21" s="195">
        <v>0</v>
      </c>
      <c r="M21" s="195">
        <v>0</v>
      </c>
      <c r="N21" s="196"/>
      <c r="O21" s="195">
        <v>0</v>
      </c>
      <c r="P21" s="195">
        <v>0</v>
      </c>
      <c r="Q21" s="195">
        <v>0</v>
      </c>
      <c r="R21" s="196"/>
      <c r="S21" s="195">
        <v>0</v>
      </c>
      <c r="T21" s="195">
        <v>0</v>
      </c>
      <c r="U21" s="195">
        <v>0</v>
      </c>
      <c r="V21" s="185"/>
    </row>
    <row r="22" spans="1:22" x14ac:dyDescent="0.25">
      <c r="A22" s="192">
        <v>2021</v>
      </c>
      <c r="B22" s="192" t="s">
        <v>822</v>
      </c>
      <c r="C22" s="193" t="s">
        <v>36</v>
      </c>
      <c r="D22" s="194" t="s">
        <v>821</v>
      </c>
      <c r="E22" s="194" t="s">
        <v>821</v>
      </c>
      <c r="F22" s="194" t="s">
        <v>36</v>
      </c>
      <c r="G22" s="193" t="s">
        <v>395</v>
      </c>
      <c r="H22" s="195">
        <v>0</v>
      </c>
      <c r="I22" s="195">
        <v>7</v>
      </c>
      <c r="J22" s="196"/>
      <c r="K22" s="195">
        <v>298909.5</v>
      </c>
      <c r="L22" s="195">
        <v>0</v>
      </c>
      <c r="M22" s="195">
        <v>298909.5</v>
      </c>
      <c r="N22" s="196"/>
      <c r="O22" s="195">
        <v>129060.5</v>
      </c>
      <c r="P22" s="195">
        <v>0</v>
      </c>
      <c r="Q22" s="195">
        <v>129060.5</v>
      </c>
      <c r="R22" s="196"/>
      <c r="S22" s="195">
        <v>427970</v>
      </c>
      <c r="T22" s="195">
        <v>0</v>
      </c>
      <c r="U22" s="195">
        <v>427970</v>
      </c>
      <c r="V22" s="185"/>
    </row>
    <row r="23" spans="1:22" x14ac:dyDescent="0.25">
      <c r="A23" s="192">
        <v>2021</v>
      </c>
      <c r="B23" s="192" t="s">
        <v>824</v>
      </c>
      <c r="C23" s="193" t="s">
        <v>38</v>
      </c>
      <c r="D23" s="194" t="s">
        <v>821</v>
      </c>
      <c r="E23" s="194" t="s">
        <v>821</v>
      </c>
      <c r="F23" s="194" t="s">
        <v>38</v>
      </c>
      <c r="G23" s="193" t="s">
        <v>397</v>
      </c>
      <c r="H23" s="195">
        <v>0</v>
      </c>
      <c r="I23" s="195">
        <v>9</v>
      </c>
      <c r="J23" s="196"/>
      <c r="K23" s="195">
        <v>133154.25</v>
      </c>
      <c r="L23" s="195">
        <v>0</v>
      </c>
      <c r="M23" s="195">
        <v>133154.25</v>
      </c>
      <c r="N23" s="196"/>
      <c r="O23" s="195">
        <v>49466.75</v>
      </c>
      <c r="P23" s="195">
        <v>0</v>
      </c>
      <c r="Q23" s="195">
        <v>49466.75</v>
      </c>
      <c r="R23" s="196"/>
      <c r="S23" s="195">
        <v>182621</v>
      </c>
      <c r="T23" s="195">
        <v>0</v>
      </c>
      <c r="U23" s="195">
        <v>182621</v>
      </c>
      <c r="V23" s="185"/>
    </row>
    <row r="24" spans="1:22" x14ac:dyDescent="0.25">
      <c r="A24" s="192">
        <v>2021</v>
      </c>
      <c r="B24" s="192" t="s">
        <v>823</v>
      </c>
      <c r="C24" s="193" t="s">
        <v>39</v>
      </c>
      <c r="D24" s="194" t="s">
        <v>821</v>
      </c>
      <c r="E24" s="194" t="s">
        <v>821</v>
      </c>
      <c r="F24" s="194" t="s">
        <v>39</v>
      </c>
      <c r="G24" s="193" t="s">
        <v>398</v>
      </c>
      <c r="H24" s="195">
        <v>4</v>
      </c>
      <c r="I24" s="195">
        <v>8</v>
      </c>
      <c r="J24" s="196"/>
      <c r="K24" s="195">
        <v>655338.75</v>
      </c>
      <c r="L24" s="195">
        <v>218446.25</v>
      </c>
      <c r="M24" s="195">
        <v>436892.5</v>
      </c>
      <c r="N24" s="196"/>
      <c r="O24" s="195">
        <v>302223.25</v>
      </c>
      <c r="P24" s="195">
        <v>100741.08</v>
      </c>
      <c r="Q24" s="195">
        <v>201482.16999999998</v>
      </c>
      <c r="R24" s="196"/>
      <c r="S24" s="195">
        <v>957562</v>
      </c>
      <c r="T24" s="195">
        <v>319187.33</v>
      </c>
      <c r="U24" s="195">
        <v>638374.66999999993</v>
      </c>
      <c r="V24" s="185"/>
    </row>
    <row r="25" spans="1:22" x14ac:dyDescent="0.25">
      <c r="A25" s="192">
        <v>2021</v>
      </c>
      <c r="B25" s="192" t="s">
        <v>820</v>
      </c>
      <c r="C25" s="193" t="s">
        <v>40</v>
      </c>
      <c r="D25" s="194" t="s">
        <v>821</v>
      </c>
      <c r="E25" s="194" t="s">
        <v>821</v>
      </c>
      <c r="F25" s="194" t="s">
        <v>40</v>
      </c>
      <c r="G25" s="193" t="s">
        <v>399</v>
      </c>
      <c r="H25" s="195">
        <v>0</v>
      </c>
      <c r="I25" s="195">
        <v>6</v>
      </c>
      <c r="J25" s="196"/>
      <c r="K25" s="195">
        <v>145886.25</v>
      </c>
      <c r="L25" s="195">
        <v>0</v>
      </c>
      <c r="M25" s="195">
        <v>145886.25</v>
      </c>
      <c r="N25" s="196"/>
      <c r="O25" s="195">
        <v>59015.75</v>
      </c>
      <c r="P25" s="195">
        <v>0</v>
      </c>
      <c r="Q25" s="195">
        <v>59015.75</v>
      </c>
      <c r="R25" s="196"/>
      <c r="S25" s="195">
        <v>204902</v>
      </c>
      <c r="T25" s="195">
        <v>0</v>
      </c>
      <c r="U25" s="195">
        <v>204902</v>
      </c>
      <c r="V25" s="185"/>
    </row>
    <row r="26" spans="1:22" x14ac:dyDescent="0.25">
      <c r="A26" s="192">
        <v>2021</v>
      </c>
      <c r="B26" s="192" t="s">
        <v>820</v>
      </c>
      <c r="C26" s="193" t="s">
        <v>43</v>
      </c>
      <c r="D26" s="194" t="s">
        <v>821</v>
      </c>
      <c r="E26" s="194" t="s">
        <v>821</v>
      </c>
      <c r="F26" s="194" t="s">
        <v>43</v>
      </c>
      <c r="G26" s="193" t="s">
        <v>400</v>
      </c>
      <c r="H26" s="195">
        <v>2</v>
      </c>
      <c r="I26" s="195">
        <v>0</v>
      </c>
      <c r="J26" s="196"/>
      <c r="K26" s="195">
        <v>165458.25</v>
      </c>
      <c r="L26" s="195">
        <v>165458.25</v>
      </c>
      <c r="M26" s="195">
        <v>0</v>
      </c>
      <c r="N26" s="196"/>
      <c r="O26" s="195">
        <v>64323.75</v>
      </c>
      <c r="P26" s="195">
        <v>64323.75</v>
      </c>
      <c r="Q26" s="195">
        <v>0</v>
      </c>
      <c r="R26" s="196"/>
      <c r="S26" s="195">
        <v>229782</v>
      </c>
      <c r="T26" s="195">
        <v>229782</v>
      </c>
      <c r="U26" s="195">
        <v>0</v>
      </c>
      <c r="V26" s="185"/>
    </row>
    <row r="27" spans="1:22" x14ac:dyDescent="0.25">
      <c r="A27" s="192">
        <v>2021</v>
      </c>
      <c r="B27" s="192" t="s">
        <v>820</v>
      </c>
      <c r="C27" s="193" t="s">
        <v>45</v>
      </c>
      <c r="D27" s="194" t="s">
        <v>821</v>
      </c>
      <c r="E27" s="194" t="s">
        <v>821</v>
      </c>
      <c r="F27" s="194" t="s">
        <v>45</v>
      </c>
      <c r="G27" s="193" t="s">
        <v>401</v>
      </c>
      <c r="H27" s="195">
        <v>0</v>
      </c>
      <c r="I27" s="195">
        <v>7</v>
      </c>
      <c r="J27" s="196"/>
      <c r="K27" s="195">
        <v>102060.75</v>
      </c>
      <c r="L27" s="195">
        <v>0</v>
      </c>
      <c r="M27" s="195">
        <v>102060.75</v>
      </c>
      <c r="N27" s="196"/>
      <c r="O27" s="195">
        <v>38890.25</v>
      </c>
      <c r="P27" s="195">
        <v>0</v>
      </c>
      <c r="Q27" s="195">
        <v>38890.25</v>
      </c>
      <c r="R27" s="196"/>
      <c r="S27" s="195">
        <v>140951</v>
      </c>
      <c r="T27" s="195">
        <v>0</v>
      </c>
      <c r="U27" s="195">
        <v>140951</v>
      </c>
      <c r="V27" s="185"/>
    </row>
    <row r="28" spans="1:22" x14ac:dyDescent="0.25">
      <c r="A28" s="192">
        <v>2021</v>
      </c>
      <c r="B28" s="192" t="s">
        <v>822</v>
      </c>
      <c r="C28" s="193" t="s">
        <v>46</v>
      </c>
      <c r="D28" s="194" t="s">
        <v>821</v>
      </c>
      <c r="E28" s="194" t="s">
        <v>821</v>
      </c>
      <c r="F28" s="194" t="s">
        <v>46</v>
      </c>
      <c r="G28" s="193" t="s">
        <v>1</v>
      </c>
      <c r="H28" s="195">
        <v>0</v>
      </c>
      <c r="I28" s="195">
        <v>9</v>
      </c>
      <c r="J28" s="196"/>
      <c r="K28" s="195">
        <v>222549</v>
      </c>
      <c r="L28" s="195">
        <v>0</v>
      </c>
      <c r="M28" s="195">
        <v>222549</v>
      </c>
      <c r="N28" s="196"/>
      <c r="O28" s="195">
        <v>83697</v>
      </c>
      <c r="P28" s="195">
        <v>0</v>
      </c>
      <c r="Q28" s="195">
        <v>83697</v>
      </c>
      <c r="R28" s="196"/>
      <c r="S28" s="195">
        <v>306246</v>
      </c>
      <c r="T28" s="195">
        <v>0</v>
      </c>
      <c r="U28" s="195">
        <v>306246</v>
      </c>
      <c r="V28" s="185"/>
    </row>
    <row r="29" spans="1:22" x14ac:dyDescent="0.25">
      <c r="A29" s="192">
        <v>2021</v>
      </c>
      <c r="B29" s="192" t="s">
        <v>823</v>
      </c>
      <c r="C29" s="193" t="s">
        <v>47</v>
      </c>
      <c r="D29" s="194" t="s">
        <v>821</v>
      </c>
      <c r="E29" s="194" t="s">
        <v>821</v>
      </c>
      <c r="F29" s="194" t="s">
        <v>47</v>
      </c>
      <c r="G29" s="193" t="s">
        <v>402</v>
      </c>
      <c r="H29" s="195">
        <v>0</v>
      </c>
      <c r="I29" s="195">
        <v>10</v>
      </c>
      <c r="J29" s="196"/>
      <c r="K29" s="195">
        <v>143180.25</v>
      </c>
      <c r="L29" s="195">
        <v>0</v>
      </c>
      <c r="M29" s="195">
        <v>143180.25</v>
      </c>
      <c r="N29" s="196"/>
      <c r="O29" s="195">
        <v>58185.75</v>
      </c>
      <c r="P29" s="195">
        <v>0</v>
      </c>
      <c r="Q29" s="195">
        <v>58185.75</v>
      </c>
      <c r="R29" s="196"/>
      <c r="S29" s="195">
        <v>201366</v>
      </c>
      <c r="T29" s="195">
        <v>0</v>
      </c>
      <c r="U29" s="195">
        <v>201366</v>
      </c>
      <c r="V29" s="185"/>
    </row>
    <row r="30" spans="1:22" x14ac:dyDescent="0.25">
      <c r="A30" s="192">
        <v>2021</v>
      </c>
      <c r="B30" s="192" t="s">
        <v>827</v>
      </c>
      <c r="C30" s="193" t="s">
        <v>48</v>
      </c>
      <c r="D30" s="194" t="s">
        <v>821</v>
      </c>
      <c r="E30" s="194" t="s">
        <v>821</v>
      </c>
      <c r="F30" s="194" t="s">
        <v>48</v>
      </c>
      <c r="G30" s="193" t="s">
        <v>403</v>
      </c>
      <c r="H30" s="195">
        <v>1</v>
      </c>
      <c r="I30" s="195">
        <v>5</v>
      </c>
      <c r="J30" s="196"/>
      <c r="K30" s="195">
        <v>134185.5</v>
      </c>
      <c r="L30" s="195">
        <v>22364.25</v>
      </c>
      <c r="M30" s="195">
        <v>111821.25</v>
      </c>
      <c r="N30" s="196"/>
      <c r="O30" s="195">
        <v>46554.5</v>
      </c>
      <c r="P30" s="195">
        <v>7759.08</v>
      </c>
      <c r="Q30" s="195">
        <v>38795.42</v>
      </c>
      <c r="R30" s="196"/>
      <c r="S30" s="195">
        <v>180740</v>
      </c>
      <c r="T30" s="195">
        <v>30123.33</v>
      </c>
      <c r="U30" s="195">
        <v>150616.66999999998</v>
      </c>
      <c r="V30" s="185"/>
    </row>
    <row r="31" spans="1:22" x14ac:dyDescent="0.25">
      <c r="A31" s="192">
        <v>2021</v>
      </c>
      <c r="B31" s="192" t="s">
        <v>830</v>
      </c>
      <c r="C31" s="193" t="s">
        <v>49</v>
      </c>
      <c r="D31" s="194" t="s">
        <v>821</v>
      </c>
      <c r="E31" s="194" t="s">
        <v>821</v>
      </c>
      <c r="F31" s="194" t="s">
        <v>49</v>
      </c>
      <c r="G31" s="193" t="s">
        <v>404</v>
      </c>
      <c r="H31" s="195">
        <v>4</v>
      </c>
      <c r="I31" s="195">
        <v>0</v>
      </c>
      <c r="J31" s="196"/>
      <c r="K31" s="195">
        <v>151726.5</v>
      </c>
      <c r="L31" s="195">
        <v>151726.5</v>
      </c>
      <c r="M31" s="195">
        <v>0</v>
      </c>
      <c r="N31" s="196"/>
      <c r="O31" s="195">
        <v>63380.5</v>
      </c>
      <c r="P31" s="195">
        <v>63380.5</v>
      </c>
      <c r="Q31" s="195">
        <v>0</v>
      </c>
      <c r="R31" s="196"/>
      <c r="S31" s="195">
        <v>215107</v>
      </c>
      <c r="T31" s="195">
        <v>215107</v>
      </c>
      <c r="U31" s="195">
        <v>0</v>
      </c>
      <c r="V31" s="185"/>
    </row>
    <row r="32" spans="1:22" x14ac:dyDescent="0.25">
      <c r="A32" s="192">
        <v>2021</v>
      </c>
      <c r="B32" s="192" t="s">
        <v>822</v>
      </c>
      <c r="C32" s="193" t="s">
        <v>50</v>
      </c>
      <c r="D32" s="194" t="s">
        <v>821</v>
      </c>
      <c r="E32" s="194" t="s">
        <v>821</v>
      </c>
      <c r="F32" s="194" t="s">
        <v>50</v>
      </c>
      <c r="G32" s="193" t="s">
        <v>405</v>
      </c>
      <c r="H32" s="195">
        <v>0</v>
      </c>
      <c r="I32" s="195">
        <v>3</v>
      </c>
      <c r="J32" s="196"/>
      <c r="K32" s="195">
        <v>76185.75</v>
      </c>
      <c r="L32" s="195">
        <v>0</v>
      </c>
      <c r="M32" s="195">
        <v>76185.75</v>
      </c>
      <c r="N32" s="196"/>
      <c r="O32" s="195">
        <v>29324.25</v>
      </c>
      <c r="P32" s="195">
        <v>0</v>
      </c>
      <c r="Q32" s="195">
        <v>29324.25</v>
      </c>
      <c r="R32" s="196"/>
      <c r="S32" s="195">
        <v>105510</v>
      </c>
      <c r="T32" s="195">
        <v>0</v>
      </c>
      <c r="U32" s="195">
        <v>105510</v>
      </c>
      <c r="V32" s="185"/>
    </row>
    <row r="33" spans="1:22" x14ac:dyDescent="0.25">
      <c r="A33" s="192">
        <v>2021</v>
      </c>
      <c r="B33" s="192" t="s">
        <v>830</v>
      </c>
      <c r="C33" s="193" t="s">
        <v>51</v>
      </c>
      <c r="D33" s="194" t="s">
        <v>821</v>
      </c>
      <c r="E33" s="194" t="s">
        <v>821</v>
      </c>
      <c r="F33" s="194" t="s">
        <v>51</v>
      </c>
      <c r="G33" s="193" t="s">
        <v>406</v>
      </c>
      <c r="H33" s="195">
        <v>0</v>
      </c>
      <c r="I33" s="195">
        <v>1</v>
      </c>
      <c r="J33" s="196"/>
      <c r="K33" s="195">
        <v>11602.5</v>
      </c>
      <c r="L33" s="195">
        <v>0</v>
      </c>
      <c r="M33" s="195">
        <v>11602.5</v>
      </c>
      <c r="N33" s="196"/>
      <c r="O33" s="195">
        <v>3783.5</v>
      </c>
      <c r="P33" s="195">
        <v>0</v>
      </c>
      <c r="Q33" s="195">
        <v>3783.5</v>
      </c>
      <c r="R33" s="196"/>
      <c r="S33" s="195">
        <v>15386</v>
      </c>
      <c r="T33" s="195">
        <v>0</v>
      </c>
      <c r="U33" s="195">
        <v>15386</v>
      </c>
      <c r="V33" s="185"/>
    </row>
    <row r="34" spans="1:22" x14ac:dyDescent="0.25">
      <c r="A34" s="192">
        <v>2021</v>
      </c>
      <c r="B34" s="192" t="s">
        <v>827</v>
      </c>
      <c r="C34" s="193" t="s">
        <v>52</v>
      </c>
      <c r="D34" s="194" t="s">
        <v>821</v>
      </c>
      <c r="E34" s="194" t="s">
        <v>821</v>
      </c>
      <c r="F34" s="194" t="s">
        <v>52</v>
      </c>
      <c r="G34" s="193" t="s">
        <v>407</v>
      </c>
      <c r="H34" s="195">
        <v>0</v>
      </c>
      <c r="I34" s="195">
        <v>4</v>
      </c>
      <c r="J34" s="196"/>
      <c r="K34" s="195">
        <v>329938.5</v>
      </c>
      <c r="L34" s="195">
        <v>0</v>
      </c>
      <c r="M34" s="195">
        <v>329938.5</v>
      </c>
      <c r="N34" s="196"/>
      <c r="O34" s="195">
        <v>117845.5</v>
      </c>
      <c r="P34" s="195">
        <v>0</v>
      </c>
      <c r="Q34" s="195">
        <v>117845.5</v>
      </c>
      <c r="R34" s="196"/>
      <c r="S34" s="195">
        <v>447784</v>
      </c>
      <c r="T34" s="195">
        <v>0</v>
      </c>
      <c r="U34" s="195">
        <v>447784</v>
      </c>
      <c r="V34" s="185"/>
    </row>
    <row r="35" spans="1:22" x14ac:dyDescent="0.25">
      <c r="A35" s="192">
        <v>2021</v>
      </c>
      <c r="B35" s="192" t="s">
        <v>830</v>
      </c>
      <c r="C35" s="193" t="s">
        <v>53</v>
      </c>
      <c r="D35" s="194" t="s">
        <v>821</v>
      </c>
      <c r="E35" s="194" t="s">
        <v>821</v>
      </c>
      <c r="F35" s="194" t="s">
        <v>53</v>
      </c>
      <c r="G35" s="193" t="s">
        <v>408</v>
      </c>
      <c r="H35" s="195">
        <v>0</v>
      </c>
      <c r="I35" s="195">
        <v>0</v>
      </c>
      <c r="J35" s="196"/>
      <c r="K35" s="195">
        <v>0</v>
      </c>
      <c r="L35" s="195">
        <v>0</v>
      </c>
      <c r="M35" s="195">
        <v>0</v>
      </c>
      <c r="N35" s="196"/>
      <c r="O35" s="195">
        <v>0</v>
      </c>
      <c r="P35" s="195">
        <v>0</v>
      </c>
      <c r="Q35" s="195">
        <v>0</v>
      </c>
      <c r="R35" s="196"/>
      <c r="S35" s="195">
        <v>0</v>
      </c>
      <c r="T35" s="195">
        <v>0</v>
      </c>
      <c r="U35" s="195">
        <v>0</v>
      </c>
      <c r="V35" s="185"/>
    </row>
    <row r="36" spans="1:22" x14ac:dyDescent="0.25">
      <c r="A36" s="192">
        <v>2021</v>
      </c>
      <c r="B36" s="192" t="s">
        <v>820</v>
      </c>
      <c r="C36" s="193" t="s">
        <v>55</v>
      </c>
      <c r="D36" s="194" t="s">
        <v>821</v>
      </c>
      <c r="E36" s="194" t="s">
        <v>821</v>
      </c>
      <c r="F36" s="194" t="s">
        <v>55</v>
      </c>
      <c r="G36" s="193" t="s">
        <v>410</v>
      </c>
      <c r="H36" s="195">
        <v>0</v>
      </c>
      <c r="I36" s="195">
        <v>3</v>
      </c>
      <c r="J36" s="196"/>
      <c r="K36" s="195">
        <v>283572</v>
      </c>
      <c r="L36" s="195">
        <v>0</v>
      </c>
      <c r="M36" s="195">
        <v>283572</v>
      </c>
      <c r="N36" s="196"/>
      <c r="O36" s="195">
        <v>106392</v>
      </c>
      <c r="P36" s="195">
        <v>0</v>
      </c>
      <c r="Q36" s="195">
        <v>106392</v>
      </c>
      <c r="R36" s="196"/>
      <c r="S36" s="195">
        <v>389964</v>
      </c>
      <c r="T36" s="195">
        <v>0</v>
      </c>
      <c r="U36" s="195">
        <v>389964</v>
      </c>
      <c r="V36" s="185"/>
    </row>
    <row r="37" spans="1:22" x14ac:dyDescent="0.25">
      <c r="A37" s="192">
        <v>2021</v>
      </c>
      <c r="B37" s="192" t="s">
        <v>820</v>
      </c>
      <c r="C37" s="193" t="s">
        <v>56</v>
      </c>
      <c r="D37" s="194" t="s">
        <v>821</v>
      </c>
      <c r="E37" s="194" t="s">
        <v>821</v>
      </c>
      <c r="F37" s="194" t="s">
        <v>56</v>
      </c>
      <c r="G37" s="193" t="s">
        <v>411</v>
      </c>
      <c r="H37" s="195">
        <v>0</v>
      </c>
      <c r="I37" s="195">
        <v>4</v>
      </c>
      <c r="J37" s="196"/>
      <c r="K37" s="195">
        <v>405579</v>
      </c>
      <c r="L37" s="195">
        <v>0</v>
      </c>
      <c r="M37" s="195">
        <v>405579</v>
      </c>
      <c r="N37" s="196"/>
      <c r="O37" s="195">
        <v>148141</v>
      </c>
      <c r="P37" s="195">
        <v>0</v>
      </c>
      <c r="Q37" s="195">
        <v>148141</v>
      </c>
      <c r="R37" s="196"/>
      <c r="S37" s="195">
        <v>553720</v>
      </c>
      <c r="T37" s="195">
        <v>0</v>
      </c>
      <c r="U37" s="195">
        <v>553720</v>
      </c>
      <c r="V37" s="185"/>
    </row>
    <row r="38" spans="1:22" x14ac:dyDescent="0.25">
      <c r="A38" s="192">
        <v>2021</v>
      </c>
      <c r="B38" s="192" t="s">
        <v>824</v>
      </c>
      <c r="C38" s="193" t="s">
        <v>57</v>
      </c>
      <c r="D38" s="194" t="s">
        <v>821</v>
      </c>
      <c r="E38" s="194" t="s">
        <v>821</v>
      </c>
      <c r="F38" s="194" t="s">
        <v>57</v>
      </c>
      <c r="G38" s="193" t="s">
        <v>412</v>
      </c>
      <c r="H38" s="195">
        <v>0</v>
      </c>
      <c r="I38" s="195">
        <v>4</v>
      </c>
      <c r="J38" s="196"/>
      <c r="K38" s="195">
        <v>121431</v>
      </c>
      <c r="L38" s="195">
        <v>0</v>
      </c>
      <c r="M38" s="195">
        <v>121431</v>
      </c>
      <c r="N38" s="196"/>
      <c r="O38" s="195">
        <v>45138</v>
      </c>
      <c r="P38" s="195">
        <v>0</v>
      </c>
      <c r="Q38" s="195">
        <v>45138</v>
      </c>
      <c r="R38" s="196"/>
      <c r="S38" s="195">
        <v>166569</v>
      </c>
      <c r="T38" s="195">
        <v>0</v>
      </c>
      <c r="U38" s="195">
        <v>166569</v>
      </c>
      <c r="V38" s="185"/>
    </row>
    <row r="39" spans="1:22" x14ac:dyDescent="0.25">
      <c r="A39" s="192">
        <v>2021</v>
      </c>
      <c r="B39" s="192" t="s">
        <v>823</v>
      </c>
      <c r="C39" s="193" t="s">
        <v>113</v>
      </c>
      <c r="D39" s="194" t="s">
        <v>821</v>
      </c>
      <c r="E39" s="194" t="s">
        <v>821</v>
      </c>
      <c r="F39" s="194" t="s">
        <v>113</v>
      </c>
      <c r="G39" s="193" t="s">
        <v>466</v>
      </c>
      <c r="H39" s="195">
        <v>0</v>
      </c>
      <c r="I39" s="195">
        <v>10</v>
      </c>
      <c r="J39" s="196"/>
      <c r="K39" s="195">
        <v>158204.25</v>
      </c>
      <c r="L39" s="195">
        <v>0</v>
      </c>
      <c r="M39" s="195">
        <v>158204.25</v>
      </c>
      <c r="N39" s="196"/>
      <c r="O39" s="195">
        <v>58211.75</v>
      </c>
      <c r="P39" s="195">
        <v>0</v>
      </c>
      <c r="Q39" s="195">
        <v>58211.75</v>
      </c>
      <c r="R39" s="196"/>
      <c r="S39" s="195">
        <v>216416</v>
      </c>
      <c r="T39" s="195">
        <v>0</v>
      </c>
      <c r="U39" s="195">
        <v>216416</v>
      </c>
      <c r="V39" s="185"/>
    </row>
    <row r="40" spans="1:22" x14ac:dyDescent="0.25">
      <c r="A40" s="192">
        <v>2021</v>
      </c>
      <c r="B40" s="192" t="s">
        <v>822</v>
      </c>
      <c r="C40" s="193" t="s">
        <v>59</v>
      </c>
      <c r="D40" s="194" t="s">
        <v>821</v>
      </c>
      <c r="E40" s="194" t="s">
        <v>821</v>
      </c>
      <c r="F40" s="194" t="s">
        <v>59</v>
      </c>
      <c r="G40" s="193" t="s">
        <v>414</v>
      </c>
      <c r="H40" s="195">
        <v>3</v>
      </c>
      <c r="I40" s="195">
        <v>2</v>
      </c>
      <c r="J40" s="196"/>
      <c r="K40" s="195">
        <v>118373.25</v>
      </c>
      <c r="L40" s="195">
        <v>71023.95</v>
      </c>
      <c r="M40" s="195">
        <v>47349.3</v>
      </c>
      <c r="N40" s="196"/>
      <c r="O40" s="195">
        <v>56677.75</v>
      </c>
      <c r="P40" s="195">
        <v>34006.65</v>
      </c>
      <c r="Q40" s="195">
        <v>22671.1</v>
      </c>
      <c r="R40" s="196"/>
      <c r="S40" s="195">
        <v>175051</v>
      </c>
      <c r="T40" s="195">
        <v>105030.6</v>
      </c>
      <c r="U40" s="195">
        <v>70020.399999999994</v>
      </c>
      <c r="V40" s="185"/>
    </row>
    <row r="41" spans="1:22" x14ac:dyDescent="0.25">
      <c r="A41" s="192">
        <v>2021</v>
      </c>
      <c r="B41" s="192" t="s">
        <v>826</v>
      </c>
      <c r="C41" s="193" t="s">
        <v>61</v>
      </c>
      <c r="D41" s="194" t="s">
        <v>821</v>
      </c>
      <c r="E41" s="194" t="s">
        <v>821</v>
      </c>
      <c r="F41" s="194" t="s">
        <v>61</v>
      </c>
      <c r="G41" s="193" t="s">
        <v>416</v>
      </c>
      <c r="H41" s="195">
        <v>0</v>
      </c>
      <c r="I41" s="195">
        <v>0</v>
      </c>
      <c r="J41" s="196"/>
      <c r="K41" s="195">
        <v>0</v>
      </c>
      <c r="L41" s="195">
        <v>0</v>
      </c>
      <c r="M41" s="195">
        <v>0</v>
      </c>
      <c r="N41" s="196"/>
      <c r="O41" s="195">
        <v>0</v>
      </c>
      <c r="P41" s="195">
        <v>0</v>
      </c>
      <c r="Q41" s="195">
        <v>0</v>
      </c>
      <c r="R41" s="196"/>
      <c r="S41" s="195">
        <v>0</v>
      </c>
      <c r="T41" s="195">
        <v>0</v>
      </c>
      <c r="U41" s="195">
        <v>0</v>
      </c>
      <c r="V41" s="185"/>
    </row>
    <row r="42" spans="1:22" x14ac:dyDescent="0.25">
      <c r="A42" s="192">
        <v>2021</v>
      </c>
      <c r="B42" s="192" t="s">
        <v>822</v>
      </c>
      <c r="C42" s="193" t="s">
        <v>63</v>
      </c>
      <c r="D42" s="194" t="s">
        <v>821</v>
      </c>
      <c r="E42" s="194" t="s">
        <v>821</v>
      </c>
      <c r="F42" s="194" t="s">
        <v>63</v>
      </c>
      <c r="G42" s="193" t="s">
        <v>3</v>
      </c>
      <c r="H42" s="195">
        <v>3</v>
      </c>
      <c r="I42" s="195">
        <v>8</v>
      </c>
      <c r="J42" s="196"/>
      <c r="K42" s="195">
        <v>95676.75</v>
      </c>
      <c r="L42" s="195">
        <v>26093.66</v>
      </c>
      <c r="M42" s="195">
        <v>69583.09</v>
      </c>
      <c r="N42" s="196"/>
      <c r="O42" s="195">
        <v>34357.25</v>
      </c>
      <c r="P42" s="195">
        <v>9370.16</v>
      </c>
      <c r="Q42" s="195">
        <v>24987.09</v>
      </c>
      <c r="R42" s="196"/>
      <c r="S42" s="195">
        <v>130034</v>
      </c>
      <c r="T42" s="195">
        <v>35463.82</v>
      </c>
      <c r="U42" s="195">
        <v>94570.18</v>
      </c>
      <c r="V42" s="185"/>
    </row>
    <row r="43" spans="1:22" x14ac:dyDescent="0.25">
      <c r="A43" s="192">
        <v>2021</v>
      </c>
      <c r="B43" s="192" t="s">
        <v>830</v>
      </c>
      <c r="C43" s="193" t="s">
        <v>64</v>
      </c>
      <c r="D43" s="194" t="s">
        <v>821</v>
      </c>
      <c r="E43" s="194" t="s">
        <v>821</v>
      </c>
      <c r="F43" s="194" t="s">
        <v>64</v>
      </c>
      <c r="G43" s="193" t="s">
        <v>417</v>
      </c>
      <c r="H43" s="195">
        <v>0</v>
      </c>
      <c r="I43" s="195">
        <v>3</v>
      </c>
      <c r="J43" s="196"/>
      <c r="K43" s="195">
        <v>51897</v>
      </c>
      <c r="L43" s="195">
        <v>0</v>
      </c>
      <c r="M43" s="195">
        <v>51897</v>
      </c>
      <c r="N43" s="196"/>
      <c r="O43" s="195">
        <v>18110</v>
      </c>
      <c r="P43" s="195">
        <v>0</v>
      </c>
      <c r="Q43" s="195">
        <v>18110</v>
      </c>
      <c r="R43" s="196"/>
      <c r="S43" s="195">
        <v>70007</v>
      </c>
      <c r="T43" s="195">
        <v>0</v>
      </c>
      <c r="U43" s="195">
        <v>70007</v>
      </c>
      <c r="V43" s="185"/>
    </row>
    <row r="44" spans="1:22" x14ac:dyDescent="0.25">
      <c r="A44" s="192">
        <v>2021</v>
      </c>
      <c r="B44" s="192" t="s">
        <v>823</v>
      </c>
      <c r="C44" s="193" t="s">
        <v>62</v>
      </c>
      <c r="D44" s="194" t="s">
        <v>821</v>
      </c>
      <c r="E44" s="194" t="s">
        <v>821</v>
      </c>
      <c r="F44" s="194" t="s">
        <v>62</v>
      </c>
      <c r="G44" s="193" t="s">
        <v>2</v>
      </c>
      <c r="H44" s="195">
        <v>0</v>
      </c>
      <c r="I44" s="195">
        <v>10</v>
      </c>
      <c r="J44" s="196"/>
      <c r="K44" s="195">
        <v>163948.5</v>
      </c>
      <c r="L44" s="195">
        <v>0</v>
      </c>
      <c r="M44" s="195">
        <v>163948.5</v>
      </c>
      <c r="N44" s="196"/>
      <c r="O44" s="195">
        <v>60099.5</v>
      </c>
      <c r="P44" s="195">
        <v>0</v>
      </c>
      <c r="Q44" s="195">
        <v>60099.5</v>
      </c>
      <c r="R44" s="196"/>
      <c r="S44" s="195">
        <v>224048</v>
      </c>
      <c r="T44" s="195">
        <v>0</v>
      </c>
      <c r="U44" s="195">
        <v>224048</v>
      </c>
      <c r="V44" s="185"/>
    </row>
    <row r="45" spans="1:22" x14ac:dyDescent="0.25">
      <c r="A45" s="192">
        <v>2021</v>
      </c>
      <c r="B45" s="192" t="s">
        <v>830</v>
      </c>
      <c r="C45" s="193" t="s">
        <v>65</v>
      </c>
      <c r="D45" s="194" t="s">
        <v>821</v>
      </c>
      <c r="E45" s="194" t="s">
        <v>821</v>
      </c>
      <c r="F45" s="194" t="s">
        <v>65</v>
      </c>
      <c r="G45" s="193" t="s">
        <v>418</v>
      </c>
      <c r="H45" s="195">
        <v>0</v>
      </c>
      <c r="I45" s="195">
        <v>0</v>
      </c>
      <c r="J45" s="196"/>
      <c r="K45" s="195">
        <v>0</v>
      </c>
      <c r="L45" s="195">
        <v>0</v>
      </c>
      <c r="M45" s="195">
        <v>0</v>
      </c>
      <c r="N45" s="196"/>
      <c r="O45" s="195">
        <v>0</v>
      </c>
      <c r="P45" s="195">
        <v>0</v>
      </c>
      <c r="Q45" s="195">
        <v>0</v>
      </c>
      <c r="R45" s="196"/>
      <c r="S45" s="195">
        <v>0</v>
      </c>
      <c r="T45" s="195">
        <v>0</v>
      </c>
      <c r="U45" s="195">
        <v>0</v>
      </c>
      <c r="V45" s="185"/>
    </row>
    <row r="46" spans="1:22" x14ac:dyDescent="0.25">
      <c r="A46" s="192">
        <v>2021</v>
      </c>
      <c r="B46" s="192" t="s">
        <v>826</v>
      </c>
      <c r="C46" s="193" t="s">
        <v>66</v>
      </c>
      <c r="D46" s="194" t="s">
        <v>821</v>
      </c>
      <c r="E46" s="194" t="s">
        <v>821</v>
      </c>
      <c r="F46" s="194" t="s">
        <v>66</v>
      </c>
      <c r="G46" s="193" t="s">
        <v>419</v>
      </c>
      <c r="H46" s="195">
        <v>0</v>
      </c>
      <c r="I46" s="195">
        <v>10</v>
      </c>
      <c r="J46" s="196"/>
      <c r="K46" s="195">
        <v>224721</v>
      </c>
      <c r="L46" s="195">
        <v>0</v>
      </c>
      <c r="M46" s="195">
        <v>224721</v>
      </c>
      <c r="N46" s="196"/>
      <c r="O46" s="195">
        <v>76226</v>
      </c>
      <c r="P46" s="195">
        <v>0</v>
      </c>
      <c r="Q46" s="195">
        <v>76226</v>
      </c>
      <c r="R46" s="196"/>
      <c r="S46" s="195">
        <v>300947</v>
      </c>
      <c r="T46" s="195">
        <v>0</v>
      </c>
      <c r="U46" s="195">
        <v>300947</v>
      </c>
      <c r="V46" s="185"/>
    </row>
    <row r="47" spans="1:22" x14ac:dyDescent="0.25">
      <c r="A47" s="192">
        <v>2021</v>
      </c>
      <c r="B47" s="192" t="s">
        <v>820</v>
      </c>
      <c r="C47" s="193" t="s">
        <v>67</v>
      </c>
      <c r="D47" s="194" t="s">
        <v>821</v>
      </c>
      <c r="E47" s="194" t="s">
        <v>821</v>
      </c>
      <c r="F47" s="194" t="s">
        <v>67</v>
      </c>
      <c r="G47" s="193" t="s">
        <v>420</v>
      </c>
      <c r="H47" s="195">
        <v>0</v>
      </c>
      <c r="I47" s="195">
        <v>0</v>
      </c>
      <c r="J47" s="196"/>
      <c r="K47" s="195">
        <v>0</v>
      </c>
      <c r="L47" s="195">
        <v>0</v>
      </c>
      <c r="M47" s="195">
        <v>0</v>
      </c>
      <c r="N47" s="196"/>
      <c r="O47" s="195">
        <v>0</v>
      </c>
      <c r="P47" s="195">
        <v>0</v>
      </c>
      <c r="Q47" s="195">
        <v>0</v>
      </c>
      <c r="R47" s="196"/>
      <c r="S47" s="195">
        <v>0</v>
      </c>
      <c r="T47" s="195">
        <v>0</v>
      </c>
      <c r="U47" s="195">
        <v>0</v>
      </c>
      <c r="V47" s="185"/>
    </row>
    <row r="48" spans="1:22" x14ac:dyDescent="0.25">
      <c r="A48" s="192">
        <v>2021</v>
      </c>
      <c r="B48" s="192" t="s">
        <v>820</v>
      </c>
      <c r="C48" s="193" t="s">
        <v>68</v>
      </c>
      <c r="D48" s="194" t="s">
        <v>821</v>
      </c>
      <c r="E48" s="194" t="s">
        <v>821</v>
      </c>
      <c r="F48" s="194" t="s">
        <v>68</v>
      </c>
      <c r="G48" s="193" t="s">
        <v>421</v>
      </c>
      <c r="H48" s="195">
        <v>0</v>
      </c>
      <c r="I48" s="195">
        <v>3</v>
      </c>
      <c r="J48" s="196"/>
      <c r="K48" s="195">
        <v>363668.25</v>
      </c>
      <c r="L48" s="195">
        <v>0</v>
      </c>
      <c r="M48" s="195">
        <v>363668.25</v>
      </c>
      <c r="N48" s="196"/>
      <c r="O48" s="195">
        <v>133124.75</v>
      </c>
      <c r="P48" s="195">
        <v>0</v>
      </c>
      <c r="Q48" s="195">
        <v>133124.75</v>
      </c>
      <c r="R48" s="196"/>
      <c r="S48" s="195">
        <v>496793</v>
      </c>
      <c r="T48" s="195">
        <v>0</v>
      </c>
      <c r="U48" s="195">
        <v>496793</v>
      </c>
      <c r="V48" s="185"/>
    </row>
    <row r="49" spans="1:22" x14ac:dyDescent="0.25">
      <c r="A49" s="192">
        <v>2021</v>
      </c>
      <c r="B49" s="192" t="s">
        <v>822</v>
      </c>
      <c r="C49" s="193" t="s">
        <v>69</v>
      </c>
      <c r="D49" s="194" t="s">
        <v>821</v>
      </c>
      <c r="E49" s="194" t="s">
        <v>821</v>
      </c>
      <c r="F49" s="194" t="s">
        <v>69</v>
      </c>
      <c r="G49" s="193" t="s">
        <v>422</v>
      </c>
      <c r="H49" s="195">
        <v>0</v>
      </c>
      <c r="I49" s="195">
        <v>0</v>
      </c>
      <c r="J49" s="196"/>
      <c r="K49" s="195">
        <v>0</v>
      </c>
      <c r="L49" s="195">
        <v>0</v>
      </c>
      <c r="M49" s="195">
        <v>0</v>
      </c>
      <c r="N49" s="196"/>
      <c r="O49" s="195">
        <v>0</v>
      </c>
      <c r="P49" s="195">
        <v>0</v>
      </c>
      <c r="Q49" s="195">
        <v>0</v>
      </c>
      <c r="R49" s="196"/>
      <c r="S49" s="195">
        <v>0</v>
      </c>
      <c r="T49" s="195">
        <v>0</v>
      </c>
      <c r="U49" s="195">
        <v>0</v>
      </c>
      <c r="V49" s="185"/>
    </row>
    <row r="50" spans="1:22" x14ac:dyDescent="0.25">
      <c r="A50" s="192">
        <v>2021</v>
      </c>
      <c r="B50" s="192" t="s">
        <v>827</v>
      </c>
      <c r="C50" s="193" t="s">
        <v>70</v>
      </c>
      <c r="D50" s="194" t="s">
        <v>821</v>
      </c>
      <c r="E50" s="194" t="s">
        <v>821</v>
      </c>
      <c r="F50" s="194" t="s">
        <v>70</v>
      </c>
      <c r="G50" s="193" t="s">
        <v>423</v>
      </c>
      <c r="H50" s="195">
        <v>0</v>
      </c>
      <c r="I50" s="195">
        <v>5</v>
      </c>
      <c r="J50" s="196"/>
      <c r="K50" s="195">
        <v>5505719.25</v>
      </c>
      <c r="L50" s="195">
        <v>0</v>
      </c>
      <c r="M50" s="195">
        <v>5505719.25</v>
      </c>
      <c r="N50" s="196"/>
      <c r="O50" s="195">
        <v>2145388.75</v>
      </c>
      <c r="P50" s="195">
        <v>0</v>
      </c>
      <c r="Q50" s="195">
        <v>2145388.75</v>
      </c>
      <c r="R50" s="196"/>
      <c r="S50" s="195">
        <v>7651108</v>
      </c>
      <c r="T50" s="195">
        <v>0</v>
      </c>
      <c r="U50" s="195">
        <v>7651108</v>
      </c>
      <c r="V50" s="185"/>
    </row>
    <row r="51" spans="1:22" x14ac:dyDescent="0.25">
      <c r="A51" s="192">
        <v>2021</v>
      </c>
      <c r="B51" s="192" t="s">
        <v>827</v>
      </c>
      <c r="C51" s="193" t="s">
        <v>71</v>
      </c>
      <c r="D51" s="194" t="s">
        <v>821</v>
      </c>
      <c r="E51" s="194" t="s">
        <v>821</v>
      </c>
      <c r="F51" s="194" t="s">
        <v>71</v>
      </c>
      <c r="G51" s="193" t="s">
        <v>424</v>
      </c>
      <c r="H51" s="195">
        <v>0</v>
      </c>
      <c r="I51" s="195">
        <v>6</v>
      </c>
      <c r="J51" s="196"/>
      <c r="K51" s="195">
        <v>351669.75</v>
      </c>
      <c r="L51" s="195">
        <v>0</v>
      </c>
      <c r="M51" s="195">
        <v>351669.75</v>
      </c>
      <c r="N51" s="196"/>
      <c r="O51" s="195">
        <v>126639.25</v>
      </c>
      <c r="P51" s="195">
        <v>0</v>
      </c>
      <c r="Q51" s="195">
        <v>126639.25</v>
      </c>
      <c r="R51" s="196"/>
      <c r="S51" s="195">
        <v>478309</v>
      </c>
      <c r="T51" s="195">
        <v>0</v>
      </c>
      <c r="U51" s="195">
        <v>478309</v>
      </c>
      <c r="V51" s="185"/>
    </row>
    <row r="52" spans="1:22" x14ac:dyDescent="0.25">
      <c r="A52" s="192">
        <v>2021</v>
      </c>
      <c r="B52" s="192" t="s">
        <v>826</v>
      </c>
      <c r="C52" s="193" t="s">
        <v>72</v>
      </c>
      <c r="D52" s="194" t="s">
        <v>821</v>
      </c>
      <c r="E52" s="194" t="s">
        <v>821</v>
      </c>
      <c r="F52" s="194" t="s">
        <v>72</v>
      </c>
      <c r="G52" s="193" t="s">
        <v>425</v>
      </c>
      <c r="H52" s="195">
        <v>2</v>
      </c>
      <c r="I52" s="195">
        <v>1</v>
      </c>
      <c r="J52" s="196"/>
      <c r="K52" s="195">
        <v>117495.75</v>
      </c>
      <c r="L52" s="195">
        <v>78330.5</v>
      </c>
      <c r="M52" s="195">
        <v>39165.25</v>
      </c>
      <c r="N52" s="196"/>
      <c r="O52" s="195">
        <v>50214.25</v>
      </c>
      <c r="P52" s="195">
        <v>33476.17</v>
      </c>
      <c r="Q52" s="195">
        <v>16738.080000000002</v>
      </c>
      <c r="R52" s="196"/>
      <c r="S52" s="195">
        <v>167710</v>
      </c>
      <c r="T52" s="195">
        <v>111806.67</v>
      </c>
      <c r="U52" s="195">
        <v>55903.33</v>
      </c>
      <c r="V52" s="185"/>
    </row>
    <row r="53" spans="1:22" x14ac:dyDescent="0.25">
      <c r="A53" s="192">
        <v>2021</v>
      </c>
      <c r="B53" s="192" t="s">
        <v>827</v>
      </c>
      <c r="C53" s="193" t="s">
        <v>76</v>
      </c>
      <c r="D53" s="194" t="s">
        <v>821</v>
      </c>
      <c r="E53" s="194" t="s">
        <v>821</v>
      </c>
      <c r="F53" s="194" t="s">
        <v>76</v>
      </c>
      <c r="G53" s="193" t="s">
        <v>429</v>
      </c>
      <c r="H53" s="195">
        <v>0</v>
      </c>
      <c r="I53" s="195">
        <v>0</v>
      </c>
      <c r="J53" s="196"/>
      <c r="K53" s="195">
        <v>0</v>
      </c>
      <c r="L53" s="195">
        <v>0</v>
      </c>
      <c r="M53" s="195">
        <v>0</v>
      </c>
      <c r="N53" s="196"/>
      <c r="O53" s="195">
        <v>0</v>
      </c>
      <c r="P53" s="195">
        <v>0</v>
      </c>
      <c r="Q53" s="195">
        <v>0</v>
      </c>
      <c r="R53" s="196"/>
      <c r="S53" s="195">
        <v>0</v>
      </c>
      <c r="T53" s="195">
        <v>0</v>
      </c>
      <c r="U53" s="195">
        <v>0</v>
      </c>
      <c r="V53" s="185"/>
    </row>
    <row r="54" spans="1:22" x14ac:dyDescent="0.25">
      <c r="A54" s="192">
        <v>2021</v>
      </c>
      <c r="B54" s="192" t="s">
        <v>829</v>
      </c>
      <c r="C54" s="193" t="s">
        <v>74</v>
      </c>
      <c r="D54" s="194" t="s">
        <v>821</v>
      </c>
      <c r="E54" s="194" t="s">
        <v>821</v>
      </c>
      <c r="F54" s="194" t="s">
        <v>74</v>
      </c>
      <c r="G54" s="193" t="s">
        <v>427</v>
      </c>
      <c r="H54" s="195">
        <v>0</v>
      </c>
      <c r="I54" s="195">
        <v>1</v>
      </c>
      <c r="J54" s="196"/>
      <c r="K54" s="195">
        <v>26837.25</v>
      </c>
      <c r="L54" s="195">
        <v>0</v>
      </c>
      <c r="M54" s="195">
        <v>26837.25</v>
      </c>
      <c r="N54" s="196"/>
      <c r="O54" s="195">
        <v>11165.75</v>
      </c>
      <c r="P54" s="195">
        <v>0</v>
      </c>
      <c r="Q54" s="195">
        <v>11165.75</v>
      </c>
      <c r="R54" s="196"/>
      <c r="S54" s="195">
        <v>38003</v>
      </c>
      <c r="T54" s="195">
        <v>0</v>
      </c>
      <c r="U54" s="195">
        <v>38003</v>
      </c>
      <c r="V54" s="185"/>
    </row>
    <row r="55" spans="1:22" x14ac:dyDescent="0.25">
      <c r="A55" s="192">
        <v>2021</v>
      </c>
      <c r="B55" s="192" t="s">
        <v>830</v>
      </c>
      <c r="C55" s="193" t="s">
        <v>75</v>
      </c>
      <c r="D55" s="194" t="s">
        <v>821</v>
      </c>
      <c r="E55" s="194" t="s">
        <v>821</v>
      </c>
      <c r="F55" s="194" t="s">
        <v>75</v>
      </c>
      <c r="G55" s="193" t="s">
        <v>428</v>
      </c>
      <c r="H55" s="195">
        <v>0</v>
      </c>
      <c r="I55" s="195">
        <v>7</v>
      </c>
      <c r="J55" s="196"/>
      <c r="K55" s="195">
        <v>523118.25</v>
      </c>
      <c r="L55" s="195">
        <v>0</v>
      </c>
      <c r="M55" s="195">
        <v>523118.25</v>
      </c>
      <c r="N55" s="196"/>
      <c r="O55" s="195">
        <v>191129.75</v>
      </c>
      <c r="P55" s="195">
        <v>0</v>
      </c>
      <c r="Q55" s="195">
        <v>191129.75</v>
      </c>
      <c r="R55" s="196"/>
      <c r="S55" s="195">
        <v>714248</v>
      </c>
      <c r="T55" s="195">
        <v>0</v>
      </c>
      <c r="U55" s="195">
        <v>714248</v>
      </c>
      <c r="V55" s="185"/>
    </row>
    <row r="56" spans="1:22" x14ac:dyDescent="0.25">
      <c r="A56" s="192">
        <v>2021</v>
      </c>
      <c r="B56" s="192" t="s">
        <v>823</v>
      </c>
      <c r="C56" s="193" t="s">
        <v>77</v>
      </c>
      <c r="D56" s="194" t="s">
        <v>821</v>
      </c>
      <c r="E56" s="194" t="s">
        <v>821</v>
      </c>
      <c r="F56" s="194" t="s">
        <v>77</v>
      </c>
      <c r="G56" s="193" t="s">
        <v>430</v>
      </c>
      <c r="H56" s="195">
        <v>0</v>
      </c>
      <c r="I56" s="195">
        <v>2</v>
      </c>
      <c r="J56" s="196"/>
      <c r="K56" s="195">
        <v>34384.5</v>
      </c>
      <c r="L56" s="195">
        <v>0</v>
      </c>
      <c r="M56" s="195">
        <v>34384.5</v>
      </c>
      <c r="N56" s="196"/>
      <c r="O56" s="195">
        <v>13517.5</v>
      </c>
      <c r="P56" s="195">
        <v>0</v>
      </c>
      <c r="Q56" s="195">
        <v>13517.5</v>
      </c>
      <c r="R56" s="196"/>
      <c r="S56" s="195">
        <v>47902</v>
      </c>
      <c r="T56" s="195">
        <v>0</v>
      </c>
      <c r="U56" s="195">
        <v>47902</v>
      </c>
      <c r="V56" s="185"/>
    </row>
    <row r="57" spans="1:22" x14ac:dyDescent="0.25">
      <c r="A57" s="192">
        <v>2021</v>
      </c>
      <c r="B57" s="192" t="s">
        <v>826</v>
      </c>
      <c r="C57" s="193" t="s">
        <v>73</v>
      </c>
      <c r="D57" s="194" t="s">
        <v>821</v>
      </c>
      <c r="E57" s="194" t="s">
        <v>821</v>
      </c>
      <c r="F57" s="194" t="s">
        <v>73</v>
      </c>
      <c r="G57" s="193" t="s">
        <v>426</v>
      </c>
      <c r="H57" s="195">
        <v>0</v>
      </c>
      <c r="I57" s="195">
        <v>1</v>
      </c>
      <c r="J57" s="196"/>
      <c r="K57" s="195">
        <v>31892.25</v>
      </c>
      <c r="L57" s="195">
        <v>0</v>
      </c>
      <c r="M57" s="195">
        <v>31892.25</v>
      </c>
      <c r="N57" s="196"/>
      <c r="O57" s="195">
        <v>11226.75</v>
      </c>
      <c r="P57" s="195">
        <v>0</v>
      </c>
      <c r="Q57" s="195">
        <v>11226.75</v>
      </c>
      <c r="R57" s="196"/>
      <c r="S57" s="195">
        <v>43119</v>
      </c>
      <c r="T57" s="195">
        <v>0</v>
      </c>
      <c r="U57" s="195">
        <v>43119</v>
      </c>
      <c r="V57" s="185"/>
    </row>
    <row r="58" spans="1:22" x14ac:dyDescent="0.25">
      <c r="A58" s="192">
        <v>2021</v>
      </c>
      <c r="B58" s="192" t="s">
        <v>824</v>
      </c>
      <c r="C58" s="193" t="s">
        <v>78</v>
      </c>
      <c r="D58" s="194" t="s">
        <v>821</v>
      </c>
      <c r="E58" s="194" t="s">
        <v>821</v>
      </c>
      <c r="F58" s="194" t="s">
        <v>78</v>
      </c>
      <c r="G58" s="193" t="s">
        <v>431</v>
      </c>
      <c r="H58" s="195">
        <v>0</v>
      </c>
      <c r="I58" s="195">
        <v>8</v>
      </c>
      <c r="J58" s="196"/>
      <c r="K58" s="195">
        <v>285503.25</v>
      </c>
      <c r="L58" s="195">
        <v>0</v>
      </c>
      <c r="M58" s="195">
        <v>285503.25</v>
      </c>
      <c r="N58" s="196"/>
      <c r="O58" s="195">
        <v>103264.75</v>
      </c>
      <c r="P58" s="195">
        <v>0</v>
      </c>
      <c r="Q58" s="195">
        <v>103264.75</v>
      </c>
      <c r="R58" s="196"/>
      <c r="S58" s="195">
        <v>388768</v>
      </c>
      <c r="T58" s="195">
        <v>0</v>
      </c>
      <c r="U58" s="195">
        <v>388768</v>
      </c>
      <c r="V58" s="185"/>
    </row>
    <row r="59" spans="1:22" x14ac:dyDescent="0.25">
      <c r="A59" s="192">
        <v>2021</v>
      </c>
      <c r="B59" s="192" t="s">
        <v>822</v>
      </c>
      <c r="C59" s="193" t="s">
        <v>230</v>
      </c>
      <c r="D59" s="194" t="s">
        <v>821</v>
      </c>
      <c r="E59" s="194" t="s">
        <v>821</v>
      </c>
      <c r="F59" s="194" t="s">
        <v>230</v>
      </c>
      <c r="G59" s="193" t="s">
        <v>580</v>
      </c>
      <c r="H59" s="195">
        <v>0</v>
      </c>
      <c r="I59" s="195">
        <v>7</v>
      </c>
      <c r="J59" s="196"/>
      <c r="K59" s="195">
        <v>237122.25</v>
      </c>
      <c r="L59" s="195">
        <v>0</v>
      </c>
      <c r="M59" s="195">
        <v>237122.25</v>
      </c>
      <c r="N59" s="196"/>
      <c r="O59" s="195">
        <v>90397.75</v>
      </c>
      <c r="P59" s="195">
        <v>0</v>
      </c>
      <c r="Q59" s="195">
        <v>90397.75</v>
      </c>
      <c r="R59" s="196"/>
      <c r="S59" s="195">
        <v>327520</v>
      </c>
      <c r="T59" s="195">
        <v>0</v>
      </c>
      <c r="U59" s="195">
        <v>327520</v>
      </c>
      <c r="V59" s="185"/>
    </row>
    <row r="60" spans="1:22" x14ac:dyDescent="0.25">
      <c r="A60" s="192">
        <v>2021</v>
      </c>
      <c r="B60" s="192" t="s">
        <v>826</v>
      </c>
      <c r="C60" s="193" t="s">
        <v>79</v>
      </c>
      <c r="D60" s="194" t="s">
        <v>821</v>
      </c>
      <c r="E60" s="194" t="s">
        <v>821</v>
      </c>
      <c r="F60" s="194" t="s">
        <v>79</v>
      </c>
      <c r="G60" s="193" t="s">
        <v>432</v>
      </c>
      <c r="H60" s="195">
        <v>1</v>
      </c>
      <c r="I60" s="195">
        <v>1</v>
      </c>
      <c r="J60" s="196"/>
      <c r="K60" s="195">
        <v>96325.5</v>
      </c>
      <c r="L60" s="195">
        <v>48162.75</v>
      </c>
      <c r="M60" s="195">
        <v>48162.75</v>
      </c>
      <c r="N60" s="196"/>
      <c r="O60" s="195">
        <v>35620.5</v>
      </c>
      <c r="P60" s="195">
        <v>17810.25</v>
      </c>
      <c r="Q60" s="195">
        <v>17810.25</v>
      </c>
      <c r="R60" s="196"/>
      <c r="S60" s="195">
        <v>131946</v>
      </c>
      <c r="T60" s="195">
        <v>65973</v>
      </c>
      <c r="U60" s="195">
        <v>65973</v>
      </c>
      <c r="V60" s="185"/>
    </row>
    <row r="61" spans="1:22" x14ac:dyDescent="0.25">
      <c r="A61" s="192">
        <v>2021</v>
      </c>
      <c r="B61" s="192" t="s">
        <v>822</v>
      </c>
      <c r="C61" s="193" t="s">
        <v>80</v>
      </c>
      <c r="D61" s="194" t="s">
        <v>821</v>
      </c>
      <c r="E61" s="194" t="s">
        <v>821</v>
      </c>
      <c r="F61" s="194" t="s">
        <v>80</v>
      </c>
      <c r="G61" s="193" t="s">
        <v>433</v>
      </c>
      <c r="H61" s="195">
        <v>1</v>
      </c>
      <c r="I61" s="195">
        <v>5</v>
      </c>
      <c r="J61" s="196"/>
      <c r="K61" s="195">
        <v>410794.5</v>
      </c>
      <c r="L61" s="195">
        <v>68465.75</v>
      </c>
      <c r="M61" s="195">
        <v>342328.75</v>
      </c>
      <c r="N61" s="196"/>
      <c r="O61" s="195">
        <v>151354.5</v>
      </c>
      <c r="P61" s="195">
        <v>25225.75</v>
      </c>
      <c r="Q61" s="195">
        <v>126128.75</v>
      </c>
      <c r="R61" s="196"/>
      <c r="S61" s="195">
        <v>562149</v>
      </c>
      <c r="T61" s="195">
        <v>93691.5</v>
      </c>
      <c r="U61" s="195">
        <v>468457.5</v>
      </c>
      <c r="V61" s="185"/>
    </row>
    <row r="62" spans="1:22" x14ac:dyDescent="0.25">
      <c r="A62" s="192">
        <v>2021</v>
      </c>
      <c r="B62" s="192" t="s">
        <v>824</v>
      </c>
      <c r="C62" s="193" t="s">
        <v>81</v>
      </c>
      <c r="D62" s="194" t="s">
        <v>821</v>
      </c>
      <c r="E62" s="194" t="s">
        <v>821</v>
      </c>
      <c r="F62" s="194" t="s">
        <v>81</v>
      </c>
      <c r="G62" s="193" t="s">
        <v>434</v>
      </c>
      <c r="H62" s="195">
        <v>3</v>
      </c>
      <c r="I62" s="195">
        <v>3</v>
      </c>
      <c r="J62" s="196"/>
      <c r="K62" s="195">
        <v>73758</v>
      </c>
      <c r="L62" s="195">
        <v>36879</v>
      </c>
      <c r="M62" s="195">
        <v>36879</v>
      </c>
      <c r="N62" s="196"/>
      <c r="O62" s="195">
        <v>25684</v>
      </c>
      <c r="P62" s="195">
        <v>12842</v>
      </c>
      <c r="Q62" s="195">
        <v>12842</v>
      </c>
      <c r="R62" s="196"/>
      <c r="S62" s="195">
        <v>99442</v>
      </c>
      <c r="T62" s="195">
        <v>49721</v>
      </c>
      <c r="U62" s="195">
        <v>49721</v>
      </c>
      <c r="V62" s="185"/>
    </row>
    <row r="63" spans="1:22" x14ac:dyDescent="0.25">
      <c r="A63" s="192">
        <v>2021</v>
      </c>
      <c r="B63" s="192" t="s">
        <v>824</v>
      </c>
      <c r="C63" s="193" t="s">
        <v>82</v>
      </c>
      <c r="D63" s="194" t="s">
        <v>821</v>
      </c>
      <c r="E63" s="194" t="s">
        <v>821</v>
      </c>
      <c r="F63" s="194" t="s">
        <v>82</v>
      </c>
      <c r="G63" s="193" t="s">
        <v>435</v>
      </c>
      <c r="H63" s="195">
        <v>0</v>
      </c>
      <c r="I63" s="195">
        <v>5</v>
      </c>
      <c r="J63" s="196"/>
      <c r="K63" s="195">
        <v>224491.5</v>
      </c>
      <c r="L63" s="195">
        <v>0</v>
      </c>
      <c r="M63" s="195">
        <v>224491.5</v>
      </c>
      <c r="N63" s="196"/>
      <c r="O63" s="195">
        <v>78186.5</v>
      </c>
      <c r="P63" s="195">
        <v>0</v>
      </c>
      <c r="Q63" s="195">
        <v>78186.5</v>
      </c>
      <c r="R63" s="196"/>
      <c r="S63" s="195">
        <v>302678</v>
      </c>
      <c r="T63" s="195">
        <v>0</v>
      </c>
      <c r="U63" s="195">
        <v>302678</v>
      </c>
      <c r="V63" s="185"/>
    </row>
    <row r="64" spans="1:22" x14ac:dyDescent="0.25">
      <c r="A64" s="192">
        <v>2021</v>
      </c>
      <c r="B64" s="192" t="s">
        <v>823</v>
      </c>
      <c r="C64" s="193" t="s">
        <v>83</v>
      </c>
      <c r="D64" s="194" t="s">
        <v>821</v>
      </c>
      <c r="E64" s="194" t="s">
        <v>821</v>
      </c>
      <c r="F64" s="194" t="s">
        <v>83</v>
      </c>
      <c r="G64" s="193" t="s">
        <v>436</v>
      </c>
      <c r="H64" s="195">
        <v>0</v>
      </c>
      <c r="I64" s="195">
        <v>8</v>
      </c>
      <c r="J64" s="196"/>
      <c r="K64" s="195">
        <v>308267.25</v>
      </c>
      <c r="L64" s="195">
        <v>0</v>
      </c>
      <c r="M64" s="195">
        <v>308267.25</v>
      </c>
      <c r="N64" s="196"/>
      <c r="O64" s="195">
        <v>113459.75</v>
      </c>
      <c r="P64" s="195">
        <v>0</v>
      </c>
      <c r="Q64" s="195">
        <v>113459.75</v>
      </c>
      <c r="R64" s="196"/>
      <c r="S64" s="195">
        <v>421727</v>
      </c>
      <c r="T64" s="195">
        <v>0</v>
      </c>
      <c r="U64" s="195">
        <v>421727</v>
      </c>
      <c r="V64" s="185"/>
    </row>
    <row r="65" spans="1:22" x14ac:dyDescent="0.25">
      <c r="A65" s="192">
        <v>2021</v>
      </c>
      <c r="B65" s="192" t="s">
        <v>825</v>
      </c>
      <c r="C65" s="193" t="s">
        <v>84</v>
      </c>
      <c r="D65" s="194" t="s">
        <v>831</v>
      </c>
      <c r="E65" s="194" t="s">
        <v>821</v>
      </c>
      <c r="F65" s="194" t="s">
        <v>84</v>
      </c>
      <c r="G65" s="193" t="s">
        <v>437</v>
      </c>
      <c r="H65" s="195">
        <v>0</v>
      </c>
      <c r="I65" s="195">
        <v>8</v>
      </c>
      <c r="J65" s="196"/>
      <c r="K65" s="195">
        <v>266000.25</v>
      </c>
      <c r="L65" s="195">
        <v>0</v>
      </c>
      <c r="M65" s="195">
        <v>266000.25</v>
      </c>
      <c r="N65" s="196"/>
      <c r="O65" s="195">
        <v>99973.75</v>
      </c>
      <c r="P65" s="195">
        <v>0</v>
      </c>
      <c r="Q65" s="195">
        <v>99973.75</v>
      </c>
      <c r="R65" s="196"/>
      <c r="S65" s="195">
        <v>365974</v>
      </c>
      <c r="T65" s="195">
        <v>0</v>
      </c>
      <c r="U65" s="195">
        <v>365974</v>
      </c>
      <c r="V65" s="185"/>
    </row>
    <row r="66" spans="1:22" x14ac:dyDescent="0.25">
      <c r="A66" s="192">
        <v>2021</v>
      </c>
      <c r="B66" s="192" t="s">
        <v>823</v>
      </c>
      <c r="C66" s="193" t="s">
        <v>85</v>
      </c>
      <c r="D66" s="194" t="s">
        <v>821</v>
      </c>
      <c r="E66" s="194" t="s">
        <v>821</v>
      </c>
      <c r="F66" s="194" t="s">
        <v>85</v>
      </c>
      <c r="G66" s="193" t="s">
        <v>438</v>
      </c>
      <c r="H66" s="195">
        <v>5</v>
      </c>
      <c r="I66" s="195">
        <v>0</v>
      </c>
      <c r="J66" s="196"/>
      <c r="K66" s="195">
        <v>224106.75</v>
      </c>
      <c r="L66" s="195">
        <v>224106.75</v>
      </c>
      <c r="M66" s="195">
        <v>0</v>
      </c>
      <c r="N66" s="196"/>
      <c r="O66" s="195">
        <v>81950.25</v>
      </c>
      <c r="P66" s="195">
        <v>81950.25</v>
      </c>
      <c r="Q66" s="195">
        <v>0</v>
      </c>
      <c r="R66" s="196"/>
      <c r="S66" s="195">
        <v>306057</v>
      </c>
      <c r="T66" s="195">
        <v>306057</v>
      </c>
      <c r="U66" s="195">
        <v>0</v>
      </c>
      <c r="V66" s="185"/>
    </row>
    <row r="67" spans="1:22" x14ac:dyDescent="0.25">
      <c r="A67" s="192">
        <v>2021</v>
      </c>
      <c r="B67" s="192" t="s">
        <v>822</v>
      </c>
      <c r="C67" s="193" t="s">
        <v>86</v>
      </c>
      <c r="D67" s="194" t="s">
        <v>821</v>
      </c>
      <c r="E67" s="194" t="s">
        <v>821</v>
      </c>
      <c r="F67" s="194" t="s">
        <v>86</v>
      </c>
      <c r="G67" s="193" t="s">
        <v>439</v>
      </c>
      <c r="H67" s="195">
        <v>3</v>
      </c>
      <c r="I67" s="195">
        <v>6</v>
      </c>
      <c r="J67" s="196"/>
      <c r="K67" s="195">
        <v>112521</v>
      </c>
      <c r="L67" s="195">
        <v>37507</v>
      </c>
      <c r="M67" s="195">
        <v>75014</v>
      </c>
      <c r="N67" s="196"/>
      <c r="O67" s="195">
        <v>41097</v>
      </c>
      <c r="P67" s="195">
        <v>13699</v>
      </c>
      <c r="Q67" s="195">
        <v>27398</v>
      </c>
      <c r="R67" s="196"/>
      <c r="S67" s="195">
        <v>153618</v>
      </c>
      <c r="T67" s="195">
        <v>51206</v>
      </c>
      <c r="U67" s="195">
        <v>102412</v>
      </c>
      <c r="V67" s="185"/>
    </row>
    <row r="68" spans="1:22" x14ac:dyDescent="0.25">
      <c r="A68" s="192">
        <v>2021</v>
      </c>
      <c r="B68" s="192" t="s">
        <v>825</v>
      </c>
      <c r="C68" s="193" t="s">
        <v>87</v>
      </c>
      <c r="D68" s="194" t="s">
        <v>821</v>
      </c>
      <c r="E68" s="194" t="s">
        <v>821</v>
      </c>
      <c r="F68" s="194" t="s">
        <v>87</v>
      </c>
      <c r="G68" s="193" t="s">
        <v>440</v>
      </c>
      <c r="H68" s="195">
        <v>0</v>
      </c>
      <c r="I68" s="195">
        <v>1</v>
      </c>
      <c r="J68" s="196"/>
      <c r="K68" s="195">
        <v>16466.25</v>
      </c>
      <c r="L68" s="195">
        <v>0</v>
      </c>
      <c r="M68" s="195">
        <v>16466.25</v>
      </c>
      <c r="N68" s="196"/>
      <c r="O68" s="195">
        <v>6004.75</v>
      </c>
      <c r="P68" s="195">
        <v>0</v>
      </c>
      <c r="Q68" s="195">
        <v>6004.75</v>
      </c>
      <c r="R68" s="196"/>
      <c r="S68" s="195">
        <v>22471</v>
      </c>
      <c r="T68" s="195">
        <v>0</v>
      </c>
      <c r="U68" s="195">
        <v>22471</v>
      </c>
      <c r="V68" s="185"/>
    </row>
    <row r="69" spans="1:22" x14ac:dyDescent="0.25">
      <c r="A69" s="192">
        <v>2021</v>
      </c>
      <c r="B69" s="192" t="s">
        <v>829</v>
      </c>
      <c r="C69" s="193" t="s">
        <v>150</v>
      </c>
      <c r="D69" s="194" t="s">
        <v>821</v>
      </c>
      <c r="E69" s="194" t="s">
        <v>821</v>
      </c>
      <c r="F69" s="194" t="s">
        <v>150</v>
      </c>
      <c r="G69" s="193" t="s">
        <v>502</v>
      </c>
      <c r="H69" s="195">
        <v>0</v>
      </c>
      <c r="I69" s="195">
        <v>0</v>
      </c>
      <c r="J69" s="196"/>
      <c r="K69" s="195">
        <v>0</v>
      </c>
      <c r="L69" s="195">
        <v>0</v>
      </c>
      <c r="M69" s="195">
        <v>0</v>
      </c>
      <c r="N69" s="196"/>
      <c r="O69" s="195">
        <v>0</v>
      </c>
      <c r="P69" s="195">
        <v>0</v>
      </c>
      <c r="Q69" s="195">
        <v>0</v>
      </c>
      <c r="R69" s="196"/>
      <c r="S69" s="195">
        <v>0</v>
      </c>
      <c r="T69" s="195">
        <v>0</v>
      </c>
      <c r="U69" s="195">
        <v>0</v>
      </c>
      <c r="V69" s="185"/>
    </row>
    <row r="70" spans="1:22" x14ac:dyDescent="0.25">
      <c r="A70" s="192">
        <v>2021</v>
      </c>
      <c r="B70" s="192" t="s">
        <v>827</v>
      </c>
      <c r="C70" s="193" t="s">
        <v>88</v>
      </c>
      <c r="D70" s="194" t="s">
        <v>832</v>
      </c>
      <c r="E70" s="194" t="s">
        <v>821</v>
      </c>
      <c r="F70" s="194" t="s">
        <v>88</v>
      </c>
      <c r="G70" s="193" t="s">
        <v>441</v>
      </c>
      <c r="H70" s="195">
        <v>3</v>
      </c>
      <c r="I70" s="195">
        <v>4</v>
      </c>
      <c r="J70" s="196"/>
      <c r="K70" s="195">
        <v>954420.75</v>
      </c>
      <c r="L70" s="195">
        <v>409037.46</v>
      </c>
      <c r="M70" s="195">
        <v>545383.29</v>
      </c>
      <c r="N70" s="196"/>
      <c r="O70" s="195">
        <v>360442.25</v>
      </c>
      <c r="P70" s="195">
        <v>154475.25</v>
      </c>
      <c r="Q70" s="195">
        <v>205967</v>
      </c>
      <c r="R70" s="196"/>
      <c r="S70" s="195">
        <v>1314863</v>
      </c>
      <c r="T70" s="195">
        <v>563512.71</v>
      </c>
      <c r="U70" s="195">
        <v>751350.29</v>
      </c>
      <c r="V70" s="185"/>
    </row>
    <row r="71" spans="1:22" x14ac:dyDescent="0.25">
      <c r="A71" s="192">
        <v>2021</v>
      </c>
      <c r="B71" s="192" t="s">
        <v>822</v>
      </c>
      <c r="C71" s="193" t="s">
        <v>89</v>
      </c>
      <c r="D71" s="194" t="s">
        <v>821</v>
      </c>
      <c r="E71" s="194" t="s">
        <v>821</v>
      </c>
      <c r="F71" s="194" t="s">
        <v>89</v>
      </c>
      <c r="G71" s="193" t="s">
        <v>442</v>
      </c>
      <c r="H71" s="195">
        <v>0</v>
      </c>
      <c r="I71" s="195">
        <v>5</v>
      </c>
      <c r="J71" s="196"/>
      <c r="K71" s="195">
        <v>415358.25</v>
      </c>
      <c r="L71" s="195">
        <v>0</v>
      </c>
      <c r="M71" s="195">
        <v>415358.25</v>
      </c>
      <c r="N71" s="196"/>
      <c r="O71" s="195">
        <v>183202.75</v>
      </c>
      <c r="P71" s="195">
        <v>0</v>
      </c>
      <c r="Q71" s="195">
        <v>183202.75</v>
      </c>
      <c r="R71" s="196"/>
      <c r="S71" s="195">
        <v>598561</v>
      </c>
      <c r="T71" s="195">
        <v>0</v>
      </c>
      <c r="U71" s="195">
        <v>598561</v>
      </c>
      <c r="V71" s="185"/>
    </row>
    <row r="72" spans="1:22" x14ac:dyDescent="0.25">
      <c r="A72" s="192">
        <v>2021</v>
      </c>
      <c r="B72" s="192" t="s">
        <v>830</v>
      </c>
      <c r="C72" s="193" t="s">
        <v>90</v>
      </c>
      <c r="D72" s="194" t="s">
        <v>821</v>
      </c>
      <c r="E72" s="194" t="s">
        <v>821</v>
      </c>
      <c r="F72" s="194" t="s">
        <v>90</v>
      </c>
      <c r="G72" s="193" t="s">
        <v>443</v>
      </c>
      <c r="H72" s="195">
        <v>0</v>
      </c>
      <c r="I72" s="195">
        <v>7</v>
      </c>
      <c r="J72" s="196"/>
      <c r="K72" s="195">
        <v>955956.75</v>
      </c>
      <c r="L72" s="195">
        <v>0</v>
      </c>
      <c r="M72" s="195">
        <v>955956.75</v>
      </c>
      <c r="N72" s="196"/>
      <c r="O72" s="195">
        <v>395456.25</v>
      </c>
      <c r="P72" s="195">
        <v>0</v>
      </c>
      <c r="Q72" s="195">
        <v>395456.25</v>
      </c>
      <c r="R72" s="196"/>
      <c r="S72" s="195">
        <v>1351413</v>
      </c>
      <c r="T72" s="195">
        <v>0</v>
      </c>
      <c r="U72" s="195">
        <v>1351413</v>
      </c>
      <c r="V72" s="185"/>
    </row>
    <row r="73" spans="1:22" x14ac:dyDescent="0.25">
      <c r="A73" s="192">
        <v>2021</v>
      </c>
      <c r="B73" s="192" t="s">
        <v>820</v>
      </c>
      <c r="C73" s="193" t="s">
        <v>91</v>
      </c>
      <c r="D73" s="194" t="s">
        <v>821</v>
      </c>
      <c r="E73" s="194" t="s">
        <v>821</v>
      </c>
      <c r="F73" s="194" t="s">
        <v>91</v>
      </c>
      <c r="G73" s="193" t="s">
        <v>444</v>
      </c>
      <c r="H73" s="195">
        <v>0</v>
      </c>
      <c r="I73" s="195">
        <v>5</v>
      </c>
      <c r="J73" s="196"/>
      <c r="K73" s="195">
        <v>162601.5</v>
      </c>
      <c r="L73" s="195">
        <v>0</v>
      </c>
      <c r="M73" s="195">
        <v>162601.5</v>
      </c>
      <c r="N73" s="196"/>
      <c r="O73" s="195">
        <v>57584.5</v>
      </c>
      <c r="P73" s="195">
        <v>0</v>
      </c>
      <c r="Q73" s="195">
        <v>57584.5</v>
      </c>
      <c r="R73" s="196"/>
      <c r="S73" s="195">
        <v>220186</v>
      </c>
      <c r="T73" s="195">
        <v>0</v>
      </c>
      <c r="U73" s="195">
        <v>220186</v>
      </c>
      <c r="V73" s="185"/>
    </row>
    <row r="74" spans="1:22" x14ac:dyDescent="0.25">
      <c r="A74" s="192">
        <v>2021</v>
      </c>
      <c r="B74" s="192" t="s">
        <v>827</v>
      </c>
      <c r="C74" s="193" t="s">
        <v>92</v>
      </c>
      <c r="D74" s="194" t="s">
        <v>821</v>
      </c>
      <c r="E74" s="194" t="s">
        <v>821</v>
      </c>
      <c r="F74" s="194" t="s">
        <v>92</v>
      </c>
      <c r="G74" s="193" t="s">
        <v>445</v>
      </c>
      <c r="H74" s="195">
        <v>0</v>
      </c>
      <c r="I74" s="195">
        <v>0</v>
      </c>
      <c r="J74" s="196"/>
      <c r="K74" s="195">
        <v>0</v>
      </c>
      <c r="L74" s="195">
        <v>0</v>
      </c>
      <c r="M74" s="195">
        <v>0</v>
      </c>
      <c r="N74" s="196"/>
      <c r="O74" s="195">
        <v>0</v>
      </c>
      <c r="P74" s="195">
        <v>0</v>
      </c>
      <c r="Q74" s="195">
        <v>0</v>
      </c>
      <c r="R74" s="196"/>
      <c r="S74" s="195">
        <v>0</v>
      </c>
      <c r="T74" s="195">
        <v>0</v>
      </c>
      <c r="U74" s="195">
        <v>0</v>
      </c>
      <c r="V74" s="185"/>
    </row>
    <row r="75" spans="1:22" x14ac:dyDescent="0.25">
      <c r="A75" s="192">
        <v>2021</v>
      </c>
      <c r="B75" s="192" t="s">
        <v>820</v>
      </c>
      <c r="C75" s="193" t="s">
        <v>93</v>
      </c>
      <c r="D75" s="194" t="s">
        <v>821</v>
      </c>
      <c r="E75" s="194" t="s">
        <v>821</v>
      </c>
      <c r="F75" s="194" t="s">
        <v>93</v>
      </c>
      <c r="G75" s="193" t="s">
        <v>446</v>
      </c>
      <c r="H75" s="195">
        <v>0</v>
      </c>
      <c r="I75" s="195">
        <v>7</v>
      </c>
      <c r="J75" s="196"/>
      <c r="K75" s="195">
        <v>159029.25</v>
      </c>
      <c r="L75" s="195">
        <v>0</v>
      </c>
      <c r="M75" s="195">
        <v>159029.25</v>
      </c>
      <c r="N75" s="196"/>
      <c r="O75" s="195">
        <v>56510.75</v>
      </c>
      <c r="P75" s="195">
        <v>0</v>
      </c>
      <c r="Q75" s="195">
        <v>56510.75</v>
      </c>
      <c r="R75" s="196"/>
      <c r="S75" s="195">
        <v>215540</v>
      </c>
      <c r="T75" s="195">
        <v>0</v>
      </c>
      <c r="U75" s="195">
        <v>215540</v>
      </c>
      <c r="V75" s="185"/>
    </row>
    <row r="76" spans="1:22" x14ac:dyDescent="0.25">
      <c r="A76" s="192">
        <v>2021</v>
      </c>
      <c r="B76" s="192" t="s">
        <v>820</v>
      </c>
      <c r="C76" s="193" t="s">
        <v>94</v>
      </c>
      <c r="D76" s="194" t="s">
        <v>821</v>
      </c>
      <c r="E76" s="194" t="s">
        <v>821</v>
      </c>
      <c r="F76" s="194" t="s">
        <v>94</v>
      </c>
      <c r="G76" s="193" t="s">
        <v>447</v>
      </c>
      <c r="H76" s="195">
        <v>0</v>
      </c>
      <c r="I76" s="195">
        <v>0</v>
      </c>
      <c r="J76" s="196"/>
      <c r="K76" s="195">
        <v>0</v>
      </c>
      <c r="L76" s="195">
        <v>0</v>
      </c>
      <c r="M76" s="195">
        <v>0</v>
      </c>
      <c r="N76" s="196"/>
      <c r="O76" s="195">
        <v>0</v>
      </c>
      <c r="P76" s="195">
        <v>0</v>
      </c>
      <c r="Q76" s="195">
        <v>0</v>
      </c>
      <c r="R76" s="196"/>
      <c r="S76" s="195">
        <v>0</v>
      </c>
      <c r="T76" s="195">
        <v>0</v>
      </c>
      <c r="U76" s="195">
        <v>0</v>
      </c>
      <c r="V76" s="185"/>
    </row>
    <row r="77" spans="1:22" x14ac:dyDescent="0.25">
      <c r="A77" s="192">
        <v>2021</v>
      </c>
      <c r="B77" s="192" t="s">
        <v>830</v>
      </c>
      <c r="C77" s="193" t="s">
        <v>95</v>
      </c>
      <c r="D77" s="194" t="s">
        <v>821</v>
      </c>
      <c r="E77" s="194" t="s">
        <v>821</v>
      </c>
      <c r="F77" s="194" t="s">
        <v>95</v>
      </c>
      <c r="G77" s="193" t="s">
        <v>448</v>
      </c>
      <c r="H77" s="195">
        <v>0</v>
      </c>
      <c r="I77" s="195">
        <v>10</v>
      </c>
      <c r="J77" s="196"/>
      <c r="K77" s="195">
        <v>252201.75</v>
      </c>
      <c r="L77" s="195">
        <v>0</v>
      </c>
      <c r="M77" s="195">
        <v>252201.75</v>
      </c>
      <c r="N77" s="196"/>
      <c r="O77" s="195">
        <v>88338.25</v>
      </c>
      <c r="P77" s="195">
        <v>0</v>
      </c>
      <c r="Q77" s="195">
        <v>88338.25</v>
      </c>
      <c r="R77" s="196"/>
      <c r="S77" s="195">
        <v>340540</v>
      </c>
      <c r="T77" s="195">
        <v>0</v>
      </c>
      <c r="U77" s="195">
        <v>340540</v>
      </c>
      <c r="V77" s="185"/>
    </row>
    <row r="78" spans="1:22" x14ac:dyDescent="0.25">
      <c r="A78" s="192">
        <v>2021</v>
      </c>
      <c r="B78" s="192" t="s">
        <v>820</v>
      </c>
      <c r="C78" s="193" t="s">
        <v>96</v>
      </c>
      <c r="D78" s="194" t="s">
        <v>821</v>
      </c>
      <c r="E78" s="194" t="s">
        <v>821</v>
      </c>
      <c r="F78" s="194" t="s">
        <v>96</v>
      </c>
      <c r="G78" s="193" t="s">
        <v>449</v>
      </c>
      <c r="H78" s="195">
        <v>0</v>
      </c>
      <c r="I78" s="195">
        <v>12</v>
      </c>
      <c r="J78" s="196"/>
      <c r="K78" s="195">
        <v>173153.25</v>
      </c>
      <c r="L78" s="195">
        <v>0</v>
      </c>
      <c r="M78" s="195">
        <v>173153.25</v>
      </c>
      <c r="N78" s="196"/>
      <c r="O78" s="195">
        <v>59913.75</v>
      </c>
      <c r="P78" s="195">
        <v>0</v>
      </c>
      <c r="Q78" s="195">
        <v>59913.75</v>
      </c>
      <c r="R78" s="196"/>
      <c r="S78" s="195">
        <v>233067</v>
      </c>
      <c r="T78" s="195">
        <v>0</v>
      </c>
      <c r="U78" s="195">
        <v>233067</v>
      </c>
      <c r="V78" s="185"/>
    </row>
    <row r="79" spans="1:22" x14ac:dyDescent="0.25">
      <c r="A79" s="192">
        <v>2021</v>
      </c>
      <c r="B79" s="192" t="s">
        <v>823</v>
      </c>
      <c r="C79" s="193" t="s">
        <v>97</v>
      </c>
      <c r="D79" s="194" t="s">
        <v>821</v>
      </c>
      <c r="E79" s="194" t="s">
        <v>821</v>
      </c>
      <c r="F79" s="194" t="s">
        <v>97</v>
      </c>
      <c r="G79" s="193" t="s">
        <v>450</v>
      </c>
      <c r="H79" s="195">
        <v>0</v>
      </c>
      <c r="I79" s="195">
        <v>7</v>
      </c>
      <c r="J79" s="196"/>
      <c r="K79" s="195">
        <v>117904.5</v>
      </c>
      <c r="L79" s="195">
        <v>0</v>
      </c>
      <c r="M79" s="195">
        <v>117904.5</v>
      </c>
      <c r="N79" s="196"/>
      <c r="O79" s="195">
        <v>45119.5</v>
      </c>
      <c r="P79" s="195">
        <v>0</v>
      </c>
      <c r="Q79" s="195">
        <v>45119.5</v>
      </c>
      <c r="R79" s="196"/>
      <c r="S79" s="195">
        <v>163024</v>
      </c>
      <c r="T79" s="195">
        <v>0</v>
      </c>
      <c r="U79" s="195">
        <v>163024</v>
      </c>
      <c r="V79" s="185"/>
    </row>
    <row r="80" spans="1:22" x14ac:dyDescent="0.25">
      <c r="A80" s="192">
        <v>2021</v>
      </c>
      <c r="B80" s="192" t="s">
        <v>823</v>
      </c>
      <c r="C80" s="193" t="s">
        <v>98</v>
      </c>
      <c r="D80" s="194" t="s">
        <v>821</v>
      </c>
      <c r="E80" s="194" t="s">
        <v>821</v>
      </c>
      <c r="F80" s="194" t="s">
        <v>98</v>
      </c>
      <c r="G80" s="193" t="s">
        <v>451</v>
      </c>
      <c r="H80" s="195">
        <v>0</v>
      </c>
      <c r="I80" s="195">
        <v>0</v>
      </c>
      <c r="J80" s="196"/>
      <c r="K80" s="195">
        <v>0</v>
      </c>
      <c r="L80" s="195">
        <v>0</v>
      </c>
      <c r="M80" s="195">
        <v>0</v>
      </c>
      <c r="N80" s="196"/>
      <c r="O80" s="195">
        <v>0</v>
      </c>
      <c r="P80" s="195">
        <v>0</v>
      </c>
      <c r="Q80" s="195">
        <v>0</v>
      </c>
      <c r="R80" s="196"/>
      <c r="S80" s="195">
        <v>0</v>
      </c>
      <c r="T80" s="195">
        <v>0</v>
      </c>
      <c r="U80" s="195">
        <v>0</v>
      </c>
      <c r="V80" s="185"/>
    </row>
    <row r="81" spans="1:22" x14ac:dyDescent="0.25">
      <c r="A81" s="192">
        <v>2021</v>
      </c>
      <c r="B81" s="192" t="s">
        <v>823</v>
      </c>
      <c r="C81" s="193" t="s">
        <v>99</v>
      </c>
      <c r="D81" s="194" t="s">
        <v>833</v>
      </c>
      <c r="E81" s="194" t="s">
        <v>821</v>
      </c>
      <c r="F81" s="194" t="s">
        <v>99</v>
      </c>
      <c r="G81" s="193" t="s">
        <v>452</v>
      </c>
      <c r="H81" s="195">
        <v>2</v>
      </c>
      <c r="I81" s="195">
        <v>4</v>
      </c>
      <c r="J81" s="196"/>
      <c r="K81" s="195">
        <v>332652</v>
      </c>
      <c r="L81" s="195">
        <v>110884</v>
      </c>
      <c r="M81" s="195">
        <v>221768</v>
      </c>
      <c r="N81" s="196"/>
      <c r="O81" s="195">
        <v>123461</v>
      </c>
      <c r="P81" s="195">
        <v>41153.67</v>
      </c>
      <c r="Q81" s="195">
        <v>82307.33</v>
      </c>
      <c r="R81" s="196"/>
      <c r="S81" s="195">
        <v>456113</v>
      </c>
      <c r="T81" s="195">
        <v>152037.66999999998</v>
      </c>
      <c r="U81" s="195">
        <v>304075.33</v>
      </c>
      <c r="V81" s="185"/>
    </row>
    <row r="82" spans="1:22" x14ac:dyDescent="0.25">
      <c r="A82" s="192">
        <v>2021</v>
      </c>
      <c r="B82" s="192" t="s">
        <v>820</v>
      </c>
      <c r="C82" s="193" t="s">
        <v>100</v>
      </c>
      <c r="D82" s="194" t="s">
        <v>821</v>
      </c>
      <c r="E82" s="194" t="s">
        <v>821</v>
      </c>
      <c r="F82" s="194" t="s">
        <v>100</v>
      </c>
      <c r="G82" s="193" t="s">
        <v>453</v>
      </c>
      <c r="H82" s="195">
        <v>0</v>
      </c>
      <c r="I82" s="195">
        <v>0</v>
      </c>
      <c r="J82" s="196"/>
      <c r="K82" s="195">
        <v>0</v>
      </c>
      <c r="L82" s="195">
        <v>0</v>
      </c>
      <c r="M82" s="195">
        <v>0</v>
      </c>
      <c r="N82" s="196"/>
      <c r="O82" s="195">
        <v>0</v>
      </c>
      <c r="P82" s="195">
        <v>0</v>
      </c>
      <c r="Q82" s="195">
        <v>0</v>
      </c>
      <c r="R82" s="196"/>
      <c r="S82" s="195">
        <v>0</v>
      </c>
      <c r="T82" s="195">
        <v>0</v>
      </c>
      <c r="U82" s="195">
        <v>0</v>
      </c>
      <c r="V82" s="185"/>
    </row>
    <row r="83" spans="1:22" x14ac:dyDescent="0.25">
      <c r="A83" s="192">
        <v>2021</v>
      </c>
      <c r="B83" s="192" t="s">
        <v>826</v>
      </c>
      <c r="C83" s="193" t="s">
        <v>101</v>
      </c>
      <c r="D83" s="194" t="s">
        <v>821</v>
      </c>
      <c r="E83" s="194" t="s">
        <v>821</v>
      </c>
      <c r="F83" s="194" t="s">
        <v>101</v>
      </c>
      <c r="G83" s="193" t="s">
        <v>454</v>
      </c>
      <c r="H83" s="195">
        <v>0</v>
      </c>
      <c r="I83" s="195">
        <v>2</v>
      </c>
      <c r="J83" s="196"/>
      <c r="K83" s="195">
        <v>43204.5</v>
      </c>
      <c r="L83" s="195">
        <v>0</v>
      </c>
      <c r="M83" s="195">
        <v>43204.5</v>
      </c>
      <c r="N83" s="196"/>
      <c r="O83" s="195">
        <v>15996.5</v>
      </c>
      <c r="P83" s="195">
        <v>0</v>
      </c>
      <c r="Q83" s="195">
        <v>15996.5</v>
      </c>
      <c r="R83" s="196"/>
      <c r="S83" s="195">
        <v>59201</v>
      </c>
      <c r="T83" s="195">
        <v>0</v>
      </c>
      <c r="U83" s="195">
        <v>59201</v>
      </c>
      <c r="V83" s="185"/>
    </row>
    <row r="84" spans="1:22" x14ac:dyDescent="0.25">
      <c r="A84" s="192">
        <v>2021</v>
      </c>
      <c r="B84" s="192" t="s">
        <v>830</v>
      </c>
      <c r="C84" s="193" t="s">
        <v>102</v>
      </c>
      <c r="D84" s="194" t="s">
        <v>821</v>
      </c>
      <c r="E84" s="194" t="s">
        <v>821</v>
      </c>
      <c r="F84" s="194" t="s">
        <v>102</v>
      </c>
      <c r="G84" s="193" t="s">
        <v>455</v>
      </c>
      <c r="H84" s="195">
        <v>0</v>
      </c>
      <c r="I84" s="195">
        <v>0</v>
      </c>
      <c r="J84" s="196"/>
      <c r="K84" s="195">
        <v>0</v>
      </c>
      <c r="L84" s="195">
        <v>0</v>
      </c>
      <c r="M84" s="195">
        <v>0</v>
      </c>
      <c r="N84" s="196"/>
      <c r="O84" s="195">
        <v>0</v>
      </c>
      <c r="P84" s="195">
        <v>0</v>
      </c>
      <c r="Q84" s="195">
        <v>0</v>
      </c>
      <c r="R84" s="196"/>
      <c r="S84" s="195">
        <v>0</v>
      </c>
      <c r="T84" s="195">
        <v>0</v>
      </c>
      <c r="U84" s="195">
        <v>0</v>
      </c>
      <c r="V84" s="185"/>
    </row>
    <row r="85" spans="1:22" x14ac:dyDescent="0.25">
      <c r="A85" s="192">
        <v>2021</v>
      </c>
      <c r="B85" s="192" t="s">
        <v>826</v>
      </c>
      <c r="C85" s="193" t="s">
        <v>103</v>
      </c>
      <c r="D85" s="194" t="s">
        <v>821</v>
      </c>
      <c r="E85" s="194" t="s">
        <v>821</v>
      </c>
      <c r="F85" s="194" t="s">
        <v>103</v>
      </c>
      <c r="G85" s="193" t="s">
        <v>456</v>
      </c>
      <c r="H85" s="195">
        <v>0</v>
      </c>
      <c r="I85" s="195">
        <v>1</v>
      </c>
      <c r="J85" s="196"/>
      <c r="K85" s="195">
        <v>46596</v>
      </c>
      <c r="L85" s="195">
        <v>0</v>
      </c>
      <c r="M85" s="195">
        <v>46596</v>
      </c>
      <c r="N85" s="196"/>
      <c r="O85" s="195">
        <v>18067</v>
      </c>
      <c r="P85" s="195">
        <v>0</v>
      </c>
      <c r="Q85" s="195">
        <v>18067</v>
      </c>
      <c r="R85" s="196"/>
      <c r="S85" s="195">
        <v>64663</v>
      </c>
      <c r="T85" s="195">
        <v>0</v>
      </c>
      <c r="U85" s="195">
        <v>64663</v>
      </c>
      <c r="V85" s="185"/>
    </row>
    <row r="86" spans="1:22" x14ac:dyDescent="0.25">
      <c r="A86" s="192">
        <v>2021</v>
      </c>
      <c r="B86" s="192" t="s">
        <v>829</v>
      </c>
      <c r="C86" s="193" t="s">
        <v>104</v>
      </c>
      <c r="D86" s="194" t="s">
        <v>240</v>
      </c>
      <c r="E86" s="194" t="s">
        <v>821</v>
      </c>
      <c r="F86" s="194" t="s">
        <v>104</v>
      </c>
      <c r="G86" s="193" t="s">
        <v>457</v>
      </c>
      <c r="H86" s="195">
        <v>0</v>
      </c>
      <c r="I86" s="195">
        <v>7</v>
      </c>
      <c r="J86" s="196"/>
      <c r="K86" s="195">
        <v>647433.75</v>
      </c>
      <c r="L86" s="195">
        <v>0</v>
      </c>
      <c r="M86" s="195">
        <v>647433.75</v>
      </c>
      <c r="N86" s="196"/>
      <c r="O86" s="195">
        <v>257850.25</v>
      </c>
      <c r="P86" s="195">
        <v>0</v>
      </c>
      <c r="Q86" s="195">
        <v>257850.25</v>
      </c>
      <c r="R86" s="196"/>
      <c r="S86" s="195">
        <v>905284</v>
      </c>
      <c r="T86" s="195">
        <v>0</v>
      </c>
      <c r="U86" s="195">
        <v>905284</v>
      </c>
      <c r="V86" s="185"/>
    </row>
    <row r="87" spans="1:22" x14ac:dyDescent="0.25">
      <c r="A87" s="192">
        <v>2021</v>
      </c>
      <c r="B87" s="192" t="s">
        <v>830</v>
      </c>
      <c r="C87" s="193" t="s">
        <v>105</v>
      </c>
      <c r="D87" s="194" t="s">
        <v>821</v>
      </c>
      <c r="E87" s="194" t="s">
        <v>821</v>
      </c>
      <c r="F87" s="194" t="s">
        <v>105</v>
      </c>
      <c r="G87" s="193" t="s">
        <v>458</v>
      </c>
      <c r="H87" s="195">
        <v>0</v>
      </c>
      <c r="I87" s="195">
        <v>8</v>
      </c>
      <c r="J87" s="196"/>
      <c r="K87" s="195">
        <v>60780.75</v>
      </c>
      <c r="L87" s="195">
        <v>0</v>
      </c>
      <c r="M87" s="195">
        <v>60780.75</v>
      </c>
      <c r="N87" s="196"/>
      <c r="O87" s="195">
        <v>20941.25</v>
      </c>
      <c r="P87" s="195">
        <v>0</v>
      </c>
      <c r="Q87" s="195">
        <v>20941.25</v>
      </c>
      <c r="R87" s="196"/>
      <c r="S87" s="195">
        <v>81722</v>
      </c>
      <c r="T87" s="195">
        <v>0</v>
      </c>
      <c r="U87" s="195">
        <v>81722</v>
      </c>
      <c r="V87" s="185"/>
    </row>
    <row r="88" spans="1:22" x14ac:dyDescent="0.25">
      <c r="A88" s="192">
        <v>2021</v>
      </c>
      <c r="B88" s="192" t="s">
        <v>824</v>
      </c>
      <c r="C88" s="193" t="s">
        <v>106</v>
      </c>
      <c r="D88" s="194" t="s">
        <v>821</v>
      </c>
      <c r="E88" s="194" t="s">
        <v>821</v>
      </c>
      <c r="F88" s="194" t="s">
        <v>106</v>
      </c>
      <c r="G88" s="193" t="s">
        <v>459</v>
      </c>
      <c r="H88" s="195">
        <v>0</v>
      </c>
      <c r="I88" s="195">
        <v>5</v>
      </c>
      <c r="J88" s="196"/>
      <c r="K88" s="195">
        <v>330759.75</v>
      </c>
      <c r="L88" s="195">
        <v>0</v>
      </c>
      <c r="M88" s="195">
        <v>330759.75</v>
      </c>
      <c r="N88" s="196"/>
      <c r="O88" s="195">
        <v>136268.25</v>
      </c>
      <c r="P88" s="195">
        <v>0</v>
      </c>
      <c r="Q88" s="195">
        <v>136268.25</v>
      </c>
      <c r="R88" s="196"/>
      <c r="S88" s="195">
        <v>467028</v>
      </c>
      <c r="T88" s="195">
        <v>0</v>
      </c>
      <c r="U88" s="195">
        <v>467028</v>
      </c>
      <c r="V88" s="185"/>
    </row>
    <row r="89" spans="1:22" x14ac:dyDescent="0.25">
      <c r="A89" s="192">
        <v>2021</v>
      </c>
      <c r="B89" s="192" t="s">
        <v>822</v>
      </c>
      <c r="C89" s="193" t="s">
        <v>107</v>
      </c>
      <c r="D89" s="194" t="s">
        <v>821</v>
      </c>
      <c r="E89" s="194" t="s">
        <v>821</v>
      </c>
      <c r="F89" s="194" t="s">
        <v>107</v>
      </c>
      <c r="G89" s="193" t="s">
        <v>460</v>
      </c>
      <c r="H89" s="195">
        <v>0</v>
      </c>
      <c r="I89" s="195">
        <v>4</v>
      </c>
      <c r="J89" s="196"/>
      <c r="K89" s="195">
        <v>168369.75</v>
      </c>
      <c r="L89" s="195">
        <v>0</v>
      </c>
      <c r="M89" s="195">
        <v>168369.75</v>
      </c>
      <c r="N89" s="196"/>
      <c r="O89" s="195">
        <v>62660.25</v>
      </c>
      <c r="P89" s="195">
        <v>0</v>
      </c>
      <c r="Q89" s="195">
        <v>62660.25</v>
      </c>
      <c r="R89" s="196"/>
      <c r="S89" s="195">
        <v>231030</v>
      </c>
      <c r="T89" s="195">
        <v>0</v>
      </c>
      <c r="U89" s="195">
        <v>231030</v>
      </c>
      <c r="V89" s="185"/>
    </row>
    <row r="90" spans="1:22" x14ac:dyDescent="0.25">
      <c r="A90" s="192">
        <v>2021</v>
      </c>
      <c r="B90" s="192" t="s">
        <v>820</v>
      </c>
      <c r="C90" s="193" t="s">
        <v>108</v>
      </c>
      <c r="D90" s="194" t="s">
        <v>821</v>
      </c>
      <c r="E90" s="194" t="s">
        <v>821</v>
      </c>
      <c r="F90" s="194" t="s">
        <v>108</v>
      </c>
      <c r="G90" s="193" t="s">
        <v>461</v>
      </c>
      <c r="H90" s="195">
        <v>0</v>
      </c>
      <c r="I90" s="195">
        <v>0</v>
      </c>
      <c r="J90" s="196"/>
      <c r="K90" s="195">
        <v>0</v>
      </c>
      <c r="L90" s="195">
        <v>0</v>
      </c>
      <c r="M90" s="195">
        <v>0</v>
      </c>
      <c r="N90" s="196"/>
      <c r="O90" s="195">
        <v>0</v>
      </c>
      <c r="P90" s="195">
        <v>0</v>
      </c>
      <c r="Q90" s="195">
        <v>0</v>
      </c>
      <c r="R90" s="196"/>
      <c r="S90" s="195">
        <v>0</v>
      </c>
      <c r="T90" s="195">
        <v>0</v>
      </c>
      <c r="U90" s="195">
        <v>0</v>
      </c>
      <c r="V90" s="185"/>
    </row>
    <row r="91" spans="1:22" x14ac:dyDescent="0.25">
      <c r="A91" s="192">
        <v>2021</v>
      </c>
      <c r="B91" s="192" t="s">
        <v>823</v>
      </c>
      <c r="C91" s="193" t="s">
        <v>109</v>
      </c>
      <c r="D91" s="194" t="s">
        <v>821</v>
      </c>
      <c r="E91" s="194" t="s">
        <v>821</v>
      </c>
      <c r="F91" s="194" t="s">
        <v>109</v>
      </c>
      <c r="G91" s="193" t="s">
        <v>462</v>
      </c>
      <c r="H91" s="195">
        <v>0</v>
      </c>
      <c r="I91" s="195">
        <v>5</v>
      </c>
      <c r="J91" s="196"/>
      <c r="K91" s="195">
        <v>13567.5</v>
      </c>
      <c r="L91" s="195">
        <v>0</v>
      </c>
      <c r="M91" s="195">
        <v>13567.5</v>
      </c>
      <c r="N91" s="196"/>
      <c r="O91" s="195">
        <v>9381.5</v>
      </c>
      <c r="P91" s="195">
        <v>0</v>
      </c>
      <c r="Q91" s="195">
        <v>9381.5</v>
      </c>
      <c r="R91" s="196"/>
      <c r="S91" s="195">
        <v>22949</v>
      </c>
      <c r="T91" s="195">
        <v>0</v>
      </c>
      <c r="U91" s="195">
        <v>22949</v>
      </c>
      <c r="V91" s="185"/>
    </row>
    <row r="92" spans="1:22" x14ac:dyDescent="0.25">
      <c r="A92" s="192">
        <v>2021</v>
      </c>
      <c r="B92" s="192" t="s">
        <v>822</v>
      </c>
      <c r="C92" s="193" t="s">
        <v>110</v>
      </c>
      <c r="D92" s="194" t="s">
        <v>821</v>
      </c>
      <c r="E92" s="194" t="s">
        <v>821</v>
      </c>
      <c r="F92" s="194" t="s">
        <v>110</v>
      </c>
      <c r="G92" s="193" t="s">
        <v>463</v>
      </c>
      <c r="H92" s="195">
        <v>0</v>
      </c>
      <c r="I92" s="195">
        <v>7</v>
      </c>
      <c r="J92" s="196"/>
      <c r="K92" s="195">
        <v>284910.75</v>
      </c>
      <c r="L92" s="195">
        <v>0</v>
      </c>
      <c r="M92" s="195">
        <v>284910.75</v>
      </c>
      <c r="N92" s="196"/>
      <c r="O92" s="195">
        <v>102765.25</v>
      </c>
      <c r="P92" s="195">
        <v>0</v>
      </c>
      <c r="Q92" s="195">
        <v>102765.25</v>
      </c>
      <c r="R92" s="196"/>
      <c r="S92" s="195">
        <v>387676</v>
      </c>
      <c r="T92" s="195">
        <v>0</v>
      </c>
      <c r="U92" s="195">
        <v>387676</v>
      </c>
      <c r="V92" s="185"/>
    </row>
    <row r="93" spans="1:22" x14ac:dyDescent="0.25">
      <c r="A93" s="192">
        <v>2021</v>
      </c>
      <c r="B93" s="192" t="s">
        <v>829</v>
      </c>
      <c r="C93" s="193" t="s">
        <v>111</v>
      </c>
      <c r="D93" s="194" t="s">
        <v>821</v>
      </c>
      <c r="E93" s="194" t="s">
        <v>821</v>
      </c>
      <c r="F93" s="194" t="s">
        <v>111</v>
      </c>
      <c r="G93" s="193" t="s">
        <v>464</v>
      </c>
      <c r="H93" s="195">
        <v>0</v>
      </c>
      <c r="I93" s="195">
        <v>0</v>
      </c>
      <c r="J93" s="196"/>
      <c r="K93" s="195">
        <v>0</v>
      </c>
      <c r="L93" s="195">
        <v>0</v>
      </c>
      <c r="M93" s="195">
        <v>0</v>
      </c>
      <c r="N93" s="196"/>
      <c r="O93" s="195">
        <v>0</v>
      </c>
      <c r="P93" s="195">
        <v>0</v>
      </c>
      <c r="Q93" s="195">
        <v>0</v>
      </c>
      <c r="R93" s="196"/>
      <c r="S93" s="195">
        <v>0</v>
      </c>
      <c r="T93" s="195">
        <v>0</v>
      </c>
      <c r="U93" s="195">
        <v>0</v>
      </c>
      <c r="V93" s="185"/>
    </row>
    <row r="94" spans="1:22" x14ac:dyDescent="0.25">
      <c r="A94" s="192">
        <v>2021</v>
      </c>
      <c r="B94" s="192" t="s">
        <v>822</v>
      </c>
      <c r="C94" s="193" t="s">
        <v>112</v>
      </c>
      <c r="D94" s="194" t="s">
        <v>821</v>
      </c>
      <c r="E94" s="194" t="s">
        <v>821</v>
      </c>
      <c r="F94" s="194" t="s">
        <v>112</v>
      </c>
      <c r="G94" s="193" t="s">
        <v>465</v>
      </c>
      <c r="H94" s="195">
        <v>0</v>
      </c>
      <c r="I94" s="195">
        <v>4</v>
      </c>
      <c r="J94" s="196"/>
      <c r="K94" s="195">
        <v>71681.25</v>
      </c>
      <c r="L94" s="195">
        <v>0</v>
      </c>
      <c r="M94" s="195">
        <v>71681.25</v>
      </c>
      <c r="N94" s="196"/>
      <c r="O94" s="195">
        <v>26090.75</v>
      </c>
      <c r="P94" s="195">
        <v>0</v>
      </c>
      <c r="Q94" s="195">
        <v>26090.75</v>
      </c>
      <c r="R94" s="196"/>
      <c r="S94" s="195">
        <v>97772</v>
      </c>
      <c r="T94" s="195">
        <v>0</v>
      </c>
      <c r="U94" s="195">
        <v>97772</v>
      </c>
      <c r="V94" s="185"/>
    </row>
    <row r="95" spans="1:22" x14ac:dyDescent="0.25">
      <c r="A95" s="192">
        <v>2021</v>
      </c>
      <c r="B95" s="192" t="s">
        <v>830</v>
      </c>
      <c r="C95" s="193" t="s">
        <v>114</v>
      </c>
      <c r="D95" s="194" t="s">
        <v>821</v>
      </c>
      <c r="E95" s="194" t="s">
        <v>821</v>
      </c>
      <c r="F95" s="194" t="s">
        <v>114</v>
      </c>
      <c r="G95" s="193" t="s">
        <v>467</v>
      </c>
      <c r="H95" s="195">
        <v>4</v>
      </c>
      <c r="I95" s="195">
        <v>5</v>
      </c>
      <c r="J95" s="196"/>
      <c r="K95" s="195">
        <v>228045.75</v>
      </c>
      <c r="L95" s="195">
        <v>101353.67</v>
      </c>
      <c r="M95" s="195">
        <v>126692.08</v>
      </c>
      <c r="N95" s="196"/>
      <c r="O95" s="195">
        <v>97556.25</v>
      </c>
      <c r="P95" s="195">
        <v>43358.33</v>
      </c>
      <c r="Q95" s="195">
        <v>54197.919999999998</v>
      </c>
      <c r="R95" s="196"/>
      <c r="S95" s="195">
        <v>325602</v>
      </c>
      <c r="T95" s="195">
        <v>144712</v>
      </c>
      <c r="U95" s="195">
        <v>180890</v>
      </c>
      <c r="V95" s="185"/>
    </row>
    <row r="96" spans="1:22" x14ac:dyDescent="0.25">
      <c r="A96" s="192">
        <v>2021</v>
      </c>
      <c r="B96" s="192" t="s">
        <v>825</v>
      </c>
      <c r="C96" s="193" t="s">
        <v>116</v>
      </c>
      <c r="D96" s="194" t="s">
        <v>821</v>
      </c>
      <c r="E96" s="194" t="s">
        <v>821</v>
      </c>
      <c r="F96" s="194" t="s">
        <v>116</v>
      </c>
      <c r="G96" s="193" t="s">
        <v>469</v>
      </c>
      <c r="H96" s="195">
        <v>0</v>
      </c>
      <c r="I96" s="195">
        <v>7</v>
      </c>
      <c r="J96" s="196"/>
      <c r="K96" s="195">
        <v>177118.5</v>
      </c>
      <c r="L96" s="195">
        <v>0</v>
      </c>
      <c r="M96" s="195">
        <v>177118.5</v>
      </c>
      <c r="N96" s="196"/>
      <c r="O96" s="195">
        <v>63926.5</v>
      </c>
      <c r="P96" s="195">
        <v>0</v>
      </c>
      <c r="Q96" s="195">
        <v>63926.5</v>
      </c>
      <c r="R96" s="196"/>
      <c r="S96" s="195">
        <v>241045</v>
      </c>
      <c r="T96" s="195">
        <v>0</v>
      </c>
      <c r="U96" s="195">
        <v>241045</v>
      </c>
      <c r="V96" s="185"/>
    </row>
    <row r="97" spans="1:22" x14ac:dyDescent="0.25">
      <c r="A97" s="192">
        <v>2021</v>
      </c>
      <c r="B97" s="192" t="s">
        <v>820</v>
      </c>
      <c r="C97" s="193" t="s">
        <v>117</v>
      </c>
      <c r="D97" s="194" t="s">
        <v>821</v>
      </c>
      <c r="E97" s="194" t="s">
        <v>821</v>
      </c>
      <c r="F97" s="194" t="s">
        <v>117</v>
      </c>
      <c r="G97" s="193" t="s">
        <v>470</v>
      </c>
      <c r="H97" s="195">
        <v>0</v>
      </c>
      <c r="I97" s="195">
        <v>0</v>
      </c>
      <c r="J97" s="196"/>
      <c r="K97" s="195">
        <v>0</v>
      </c>
      <c r="L97" s="195">
        <v>0</v>
      </c>
      <c r="M97" s="195">
        <v>0</v>
      </c>
      <c r="N97" s="196"/>
      <c r="O97" s="195">
        <v>0</v>
      </c>
      <c r="P97" s="195">
        <v>0</v>
      </c>
      <c r="Q97" s="195">
        <v>0</v>
      </c>
      <c r="R97" s="196"/>
      <c r="S97" s="195">
        <v>0</v>
      </c>
      <c r="T97" s="195">
        <v>0</v>
      </c>
      <c r="U97" s="195">
        <v>0</v>
      </c>
      <c r="V97" s="185"/>
    </row>
    <row r="98" spans="1:22" x14ac:dyDescent="0.25">
      <c r="A98" s="192">
        <v>2021</v>
      </c>
      <c r="B98" s="192" t="s">
        <v>822</v>
      </c>
      <c r="C98" s="193" t="s">
        <v>118</v>
      </c>
      <c r="D98" s="194" t="s">
        <v>821</v>
      </c>
      <c r="E98" s="194" t="s">
        <v>821</v>
      </c>
      <c r="F98" s="194" t="s">
        <v>118</v>
      </c>
      <c r="G98" s="193" t="s">
        <v>471</v>
      </c>
      <c r="H98" s="195">
        <v>0</v>
      </c>
      <c r="I98" s="195">
        <v>5</v>
      </c>
      <c r="J98" s="196"/>
      <c r="K98" s="195">
        <v>106860</v>
      </c>
      <c r="L98" s="195">
        <v>0</v>
      </c>
      <c r="M98" s="195">
        <v>106860</v>
      </c>
      <c r="N98" s="196"/>
      <c r="O98" s="195">
        <v>46111</v>
      </c>
      <c r="P98" s="195">
        <v>0</v>
      </c>
      <c r="Q98" s="195">
        <v>46111</v>
      </c>
      <c r="R98" s="196"/>
      <c r="S98" s="195">
        <v>152971</v>
      </c>
      <c r="T98" s="195">
        <v>0</v>
      </c>
      <c r="U98" s="195">
        <v>152971</v>
      </c>
      <c r="V98" s="185"/>
    </row>
    <row r="99" spans="1:22" x14ac:dyDescent="0.25">
      <c r="A99" s="192">
        <v>2021</v>
      </c>
      <c r="B99" s="192" t="s">
        <v>822</v>
      </c>
      <c r="C99" s="193" t="s">
        <v>183</v>
      </c>
      <c r="D99" s="194" t="s">
        <v>821</v>
      </c>
      <c r="E99" s="194" t="s">
        <v>821</v>
      </c>
      <c r="F99" s="194" t="s">
        <v>697</v>
      </c>
      <c r="G99" s="193" t="s">
        <v>533</v>
      </c>
      <c r="H99" s="195">
        <v>0</v>
      </c>
      <c r="I99" s="195">
        <v>10</v>
      </c>
      <c r="J99" s="196"/>
      <c r="K99" s="195">
        <v>268324.5</v>
      </c>
      <c r="L99" s="195">
        <v>0</v>
      </c>
      <c r="M99" s="195">
        <v>268324.5</v>
      </c>
      <c r="N99" s="196"/>
      <c r="O99" s="195">
        <v>93429.5</v>
      </c>
      <c r="P99" s="195">
        <v>0</v>
      </c>
      <c r="Q99" s="195">
        <v>93429.5</v>
      </c>
      <c r="R99" s="196"/>
      <c r="S99" s="195">
        <v>361754</v>
      </c>
      <c r="T99" s="195">
        <v>0</v>
      </c>
      <c r="U99" s="195">
        <v>361754</v>
      </c>
      <c r="V99" s="185"/>
    </row>
    <row r="100" spans="1:22" x14ac:dyDescent="0.25">
      <c r="A100" s="192">
        <v>2021</v>
      </c>
      <c r="B100" s="192" t="s">
        <v>823</v>
      </c>
      <c r="C100" s="193" t="s">
        <v>196</v>
      </c>
      <c r="D100" s="194" t="s">
        <v>834</v>
      </c>
      <c r="E100" s="194" t="s">
        <v>821</v>
      </c>
      <c r="F100" s="194" t="s">
        <v>196</v>
      </c>
      <c r="G100" s="193" t="s">
        <v>546</v>
      </c>
      <c r="H100" s="195">
        <v>1</v>
      </c>
      <c r="I100" s="195">
        <v>10</v>
      </c>
      <c r="J100" s="196"/>
      <c r="K100" s="195">
        <v>198597.75</v>
      </c>
      <c r="L100" s="195">
        <v>18054.34</v>
      </c>
      <c r="M100" s="195">
        <v>180543.41</v>
      </c>
      <c r="N100" s="196"/>
      <c r="O100" s="195">
        <v>73827.25</v>
      </c>
      <c r="P100" s="195">
        <v>6711.57</v>
      </c>
      <c r="Q100" s="195">
        <v>67115.679999999993</v>
      </c>
      <c r="R100" s="196"/>
      <c r="S100" s="195">
        <v>272425</v>
      </c>
      <c r="T100" s="195">
        <v>24765.91</v>
      </c>
      <c r="U100" s="195">
        <v>247659.09</v>
      </c>
      <c r="V100" s="185"/>
    </row>
    <row r="101" spans="1:22" x14ac:dyDescent="0.25">
      <c r="A101" s="192">
        <v>2021</v>
      </c>
      <c r="B101" s="192" t="s">
        <v>825</v>
      </c>
      <c r="C101" s="193" t="s">
        <v>322</v>
      </c>
      <c r="D101" s="194" t="s">
        <v>821</v>
      </c>
      <c r="E101" s="194" t="s">
        <v>821</v>
      </c>
      <c r="F101" s="194" t="s">
        <v>322</v>
      </c>
      <c r="G101" s="193" t="s">
        <v>665</v>
      </c>
      <c r="H101" s="195">
        <v>0</v>
      </c>
      <c r="I101" s="195">
        <v>1</v>
      </c>
      <c r="J101" s="196"/>
      <c r="K101" s="195">
        <v>44648.25</v>
      </c>
      <c r="L101" s="195">
        <v>0</v>
      </c>
      <c r="M101" s="195">
        <v>44648.25</v>
      </c>
      <c r="N101" s="196"/>
      <c r="O101" s="195">
        <v>15848.75</v>
      </c>
      <c r="P101" s="195">
        <v>0</v>
      </c>
      <c r="Q101" s="195">
        <v>15848.75</v>
      </c>
      <c r="R101" s="196"/>
      <c r="S101" s="195">
        <v>60497</v>
      </c>
      <c r="T101" s="195">
        <v>0</v>
      </c>
      <c r="U101" s="195">
        <v>60497</v>
      </c>
      <c r="V101" s="185"/>
    </row>
    <row r="102" spans="1:22" x14ac:dyDescent="0.25">
      <c r="A102" s="192">
        <v>2021</v>
      </c>
      <c r="B102" s="192" t="s">
        <v>823</v>
      </c>
      <c r="C102" s="193" t="s">
        <v>120</v>
      </c>
      <c r="D102" s="194" t="s">
        <v>821</v>
      </c>
      <c r="E102" s="194" t="s">
        <v>821</v>
      </c>
      <c r="F102" s="194" t="s">
        <v>120</v>
      </c>
      <c r="G102" s="193" t="s">
        <v>473</v>
      </c>
      <c r="H102" s="195">
        <v>0</v>
      </c>
      <c r="I102" s="195">
        <v>12</v>
      </c>
      <c r="J102" s="196"/>
      <c r="K102" s="195">
        <v>186993.75</v>
      </c>
      <c r="L102" s="195">
        <v>0</v>
      </c>
      <c r="M102" s="195">
        <v>186993.75</v>
      </c>
      <c r="N102" s="196"/>
      <c r="O102" s="195">
        <v>72900.25</v>
      </c>
      <c r="P102" s="195">
        <v>0</v>
      </c>
      <c r="Q102" s="195">
        <v>72900.25</v>
      </c>
      <c r="R102" s="196"/>
      <c r="S102" s="195">
        <v>259894</v>
      </c>
      <c r="T102" s="195">
        <v>0</v>
      </c>
      <c r="U102" s="195">
        <v>259894</v>
      </c>
      <c r="V102" s="185"/>
    </row>
    <row r="103" spans="1:22" x14ac:dyDescent="0.25">
      <c r="A103" s="192">
        <v>2021</v>
      </c>
      <c r="B103" s="192" t="s">
        <v>829</v>
      </c>
      <c r="C103" s="193" t="s">
        <v>121</v>
      </c>
      <c r="D103" s="194" t="s">
        <v>821</v>
      </c>
      <c r="E103" s="194" t="s">
        <v>821</v>
      </c>
      <c r="F103" s="194" t="s">
        <v>121</v>
      </c>
      <c r="G103" s="193" t="s">
        <v>474</v>
      </c>
      <c r="H103" s="195">
        <v>0</v>
      </c>
      <c r="I103" s="195">
        <v>10</v>
      </c>
      <c r="J103" s="196"/>
      <c r="K103" s="195">
        <v>122813.25</v>
      </c>
      <c r="L103" s="195">
        <v>0</v>
      </c>
      <c r="M103" s="195">
        <v>122813.25</v>
      </c>
      <c r="N103" s="196"/>
      <c r="O103" s="195">
        <v>43603.75</v>
      </c>
      <c r="P103" s="195">
        <v>0</v>
      </c>
      <c r="Q103" s="195">
        <v>43603.75</v>
      </c>
      <c r="R103" s="196"/>
      <c r="S103" s="195">
        <v>166417</v>
      </c>
      <c r="T103" s="195">
        <v>0</v>
      </c>
      <c r="U103" s="195">
        <v>166417</v>
      </c>
      <c r="V103" s="185"/>
    </row>
    <row r="104" spans="1:22" x14ac:dyDescent="0.25">
      <c r="A104" s="192">
        <v>2021</v>
      </c>
      <c r="B104" s="192" t="s">
        <v>830</v>
      </c>
      <c r="C104" s="193" t="s">
        <v>119</v>
      </c>
      <c r="D104" s="194" t="s">
        <v>821</v>
      </c>
      <c r="E104" s="194" t="s">
        <v>821</v>
      </c>
      <c r="F104" s="194" t="s">
        <v>119</v>
      </c>
      <c r="G104" s="193" t="s">
        <v>472</v>
      </c>
      <c r="H104" s="195">
        <v>0</v>
      </c>
      <c r="I104" s="195">
        <v>4</v>
      </c>
      <c r="J104" s="196"/>
      <c r="K104" s="195">
        <v>99811.5</v>
      </c>
      <c r="L104" s="195">
        <v>0</v>
      </c>
      <c r="M104" s="195">
        <v>99811.5</v>
      </c>
      <c r="N104" s="196"/>
      <c r="O104" s="195">
        <v>34432.5</v>
      </c>
      <c r="P104" s="195">
        <v>0</v>
      </c>
      <c r="Q104" s="195">
        <v>34432.5</v>
      </c>
      <c r="R104" s="196"/>
      <c r="S104" s="195">
        <v>134244</v>
      </c>
      <c r="T104" s="195">
        <v>0</v>
      </c>
      <c r="U104" s="195">
        <v>134244</v>
      </c>
      <c r="V104" s="185"/>
    </row>
    <row r="105" spans="1:22" x14ac:dyDescent="0.25">
      <c r="A105" s="192">
        <v>2021</v>
      </c>
      <c r="B105" s="192" t="s">
        <v>826</v>
      </c>
      <c r="C105" s="193" t="s">
        <v>54</v>
      </c>
      <c r="D105" s="194" t="s">
        <v>821</v>
      </c>
      <c r="E105" s="194" t="s">
        <v>821</v>
      </c>
      <c r="F105" s="194" t="s">
        <v>54</v>
      </c>
      <c r="G105" s="193" t="s">
        <v>409</v>
      </c>
      <c r="H105" s="195">
        <v>0</v>
      </c>
      <c r="I105" s="195">
        <v>5</v>
      </c>
      <c r="J105" s="196"/>
      <c r="K105" s="195">
        <v>148032.75</v>
      </c>
      <c r="L105" s="195">
        <v>0</v>
      </c>
      <c r="M105" s="195">
        <v>148032.75</v>
      </c>
      <c r="N105" s="196"/>
      <c r="O105" s="195">
        <v>62964.25</v>
      </c>
      <c r="P105" s="195">
        <v>0</v>
      </c>
      <c r="Q105" s="195">
        <v>62964.25</v>
      </c>
      <c r="R105" s="196"/>
      <c r="S105" s="195">
        <v>210997</v>
      </c>
      <c r="T105" s="195">
        <v>0</v>
      </c>
      <c r="U105" s="195">
        <v>210997</v>
      </c>
      <c r="V105" s="185"/>
    </row>
    <row r="106" spans="1:22" x14ac:dyDescent="0.25">
      <c r="A106" s="192">
        <v>2021</v>
      </c>
      <c r="B106" s="192" t="s">
        <v>829</v>
      </c>
      <c r="C106" s="193" t="s">
        <v>123</v>
      </c>
      <c r="D106" s="194" t="s">
        <v>821</v>
      </c>
      <c r="E106" s="194" t="s">
        <v>821</v>
      </c>
      <c r="F106" s="194" t="s">
        <v>123</v>
      </c>
      <c r="G106" s="193" t="s">
        <v>476</v>
      </c>
      <c r="H106" s="195">
        <v>1</v>
      </c>
      <c r="I106" s="195">
        <v>1</v>
      </c>
      <c r="J106" s="196"/>
      <c r="K106" s="195">
        <v>36800.25</v>
      </c>
      <c r="L106" s="195">
        <v>18400.13</v>
      </c>
      <c r="M106" s="195">
        <v>18400.12</v>
      </c>
      <c r="N106" s="196"/>
      <c r="O106" s="195">
        <v>13030.75</v>
      </c>
      <c r="P106" s="195">
        <v>6515.38</v>
      </c>
      <c r="Q106" s="195">
        <v>6515.37</v>
      </c>
      <c r="R106" s="196"/>
      <c r="S106" s="195">
        <v>49831</v>
      </c>
      <c r="T106" s="195">
        <v>24915.510000000002</v>
      </c>
      <c r="U106" s="195">
        <v>24915.489999999998</v>
      </c>
      <c r="V106" s="185"/>
    </row>
    <row r="107" spans="1:22" x14ac:dyDescent="0.25">
      <c r="A107" s="192">
        <v>2021</v>
      </c>
      <c r="B107" s="192" t="s">
        <v>822</v>
      </c>
      <c r="C107" s="193" t="s">
        <v>124</v>
      </c>
      <c r="D107" s="194" t="s">
        <v>821</v>
      </c>
      <c r="E107" s="194" t="s">
        <v>821</v>
      </c>
      <c r="F107" s="194" t="s">
        <v>124</v>
      </c>
      <c r="G107" s="193" t="s">
        <v>477</v>
      </c>
      <c r="H107" s="195">
        <v>0</v>
      </c>
      <c r="I107" s="195">
        <v>5</v>
      </c>
      <c r="J107" s="196"/>
      <c r="K107" s="195">
        <v>108663</v>
      </c>
      <c r="L107" s="195">
        <v>0</v>
      </c>
      <c r="M107" s="195">
        <v>108663</v>
      </c>
      <c r="N107" s="196"/>
      <c r="O107" s="195">
        <v>38978</v>
      </c>
      <c r="P107" s="195">
        <v>0</v>
      </c>
      <c r="Q107" s="195">
        <v>38978</v>
      </c>
      <c r="R107" s="196"/>
      <c r="S107" s="195">
        <v>147641</v>
      </c>
      <c r="T107" s="195">
        <v>0</v>
      </c>
      <c r="U107" s="195">
        <v>147641</v>
      </c>
      <c r="V107" s="185"/>
    </row>
    <row r="108" spans="1:22" x14ac:dyDescent="0.25">
      <c r="A108" s="192">
        <v>2021</v>
      </c>
      <c r="B108" s="192" t="s">
        <v>825</v>
      </c>
      <c r="C108" s="193" t="s">
        <v>125</v>
      </c>
      <c r="D108" s="194" t="s">
        <v>821</v>
      </c>
      <c r="E108" s="194" t="s">
        <v>821</v>
      </c>
      <c r="F108" s="194" t="s">
        <v>125</v>
      </c>
      <c r="G108" s="193" t="s">
        <v>478</v>
      </c>
      <c r="H108" s="195">
        <v>6</v>
      </c>
      <c r="I108" s="195">
        <v>7</v>
      </c>
      <c r="J108" s="196"/>
      <c r="K108" s="195">
        <v>403869.75</v>
      </c>
      <c r="L108" s="195">
        <v>186401.42</v>
      </c>
      <c r="M108" s="195">
        <v>217468.33</v>
      </c>
      <c r="N108" s="196"/>
      <c r="O108" s="195">
        <v>150151.25</v>
      </c>
      <c r="P108" s="195">
        <v>69300.58</v>
      </c>
      <c r="Q108" s="195">
        <v>80850.67</v>
      </c>
      <c r="R108" s="196"/>
      <c r="S108" s="195">
        <v>554021</v>
      </c>
      <c r="T108" s="195">
        <v>255702</v>
      </c>
      <c r="U108" s="195">
        <v>298319</v>
      </c>
      <c r="V108" s="185"/>
    </row>
    <row r="109" spans="1:22" x14ac:dyDescent="0.25">
      <c r="A109" s="192">
        <v>2021</v>
      </c>
      <c r="B109" s="192" t="s">
        <v>827</v>
      </c>
      <c r="C109" s="193" t="s">
        <v>126</v>
      </c>
      <c r="D109" s="194" t="s">
        <v>821</v>
      </c>
      <c r="E109" s="194" t="s">
        <v>821</v>
      </c>
      <c r="F109" s="194" t="s">
        <v>126</v>
      </c>
      <c r="G109" s="193" t="s">
        <v>479</v>
      </c>
      <c r="H109" s="195">
        <v>5</v>
      </c>
      <c r="I109" s="195">
        <v>11</v>
      </c>
      <c r="J109" s="196"/>
      <c r="K109" s="195">
        <v>254736.75</v>
      </c>
      <c r="L109" s="195">
        <v>79605.23</v>
      </c>
      <c r="M109" s="195">
        <v>175131.52000000002</v>
      </c>
      <c r="N109" s="196"/>
      <c r="O109" s="195">
        <v>94200.25</v>
      </c>
      <c r="P109" s="195">
        <v>29437.58</v>
      </c>
      <c r="Q109" s="195">
        <v>64762.67</v>
      </c>
      <c r="R109" s="196"/>
      <c r="S109" s="195">
        <v>348937</v>
      </c>
      <c r="T109" s="195">
        <v>109042.81</v>
      </c>
      <c r="U109" s="195">
        <v>239894.19</v>
      </c>
      <c r="V109" s="185"/>
    </row>
    <row r="110" spans="1:22" x14ac:dyDescent="0.25">
      <c r="A110" s="192">
        <v>2021</v>
      </c>
      <c r="B110" s="192" t="s">
        <v>823</v>
      </c>
      <c r="C110" s="193" t="s">
        <v>127</v>
      </c>
      <c r="D110" s="194" t="s">
        <v>821</v>
      </c>
      <c r="E110" s="194" t="s">
        <v>821</v>
      </c>
      <c r="F110" s="194" t="s">
        <v>127</v>
      </c>
      <c r="G110" s="193" t="s">
        <v>480</v>
      </c>
      <c r="H110" s="195">
        <v>0</v>
      </c>
      <c r="I110" s="195">
        <v>9</v>
      </c>
      <c r="J110" s="196"/>
      <c r="K110" s="195">
        <v>65577.75</v>
      </c>
      <c r="L110" s="195">
        <v>0</v>
      </c>
      <c r="M110" s="195">
        <v>65577.75</v>
      </c>
      <c r="N110" s="196"/>
      <c r="O110" s="195">
        <v>24073.25</v>
      </c>
      <c r="P110" s="195">
        <v>0</v>
      </c>
      <c r="Q110" s="195">
        <v>24073.25</v>
      </c>
      <c r="R110" s="196"/>
      <c r="S110" s="195">
        <v>89651</v>
      </c>
      <c r="T110" s="195">
        <v>0</v>
      </c>
      <c r="U110" s="195">
        <v>89651</v>
      </c>
      <c r="V110" s="185"/>
    </row>
    <row r="111" spans="1:22" x14ac:dyDescent="0.25">
      <c r="A111" s="192">
        <v>2021</v>
      </c>
      <c r="B111" s="192" t="s">
        <v>825</v>
      </c>
      <c r="C111" s="193" t="s">
        <v>128</v>
      </c>
      <c r="D111" s="194" t="s">
        <v>821</v>
      </c>
      <c r="E111" s="194" t="s">
        <v>821</v>
      </c>
      <c r="F111" s="194" t="s">
        <v>128</v>
      </c>
      <c r="G111" s="193" t="s">
        <v>481</v>
      </c>
      <c r="H111" s="195">
        <v>0</v>
      </c>
      <c r="I111" s="195">
        <v>10</v>
      </c>
      <c r="J111" s="196"/>
      <c r="K111" s="195">
        <v>410370</v>
      </c>
      <c r="L111" s="195">
        <v>0</v>
      </c>
      <c r="M111" s="195">
        <v>410370</v>
      </c>
      <c r="N111" s="196"/>
      <c r="O111" s="195">
        <v>145975</v>
      </c>
      <c r="P111" s="195">
        <v>0</v>
      </c>
      <c r="Q111" s="195">
        <v>145975</v>
      </c>
      <c r="R111" s="196"/>
      <c r="S111" s="195">
        <v>556345</v>
      </c>
      <c r="T111" s="195">
        <v>0</v>
      </c>
      <c r="U111" s="195">
        <v>556345</v>
      </c>
      <c r="V111" s="185"/>
    </row>
    <row r="112" spans="1:22" x14ac:dyDescent="0.25">
      <c r="A112" s="192">
        <v>2021</v>
      </c>
      <c r="B112" s="192" t="s">
        <v>820</v>
      </c>
      <c r="C112" s="193" t="s">
        <v>129</v>
      </c>
      <c r="D112" s="194" t="s">
        <v>821</v>
      </c>
      <c r="E112" s="194" t="s">
        <v>821</v>
      </c>
      <c r="F112" s="194" t="s">
        <v>129</v>
      </c>
      <c r="G112" s="193" t="s">
        <v>482</v>
      </c>
      <c r="H112" s="195">
        <v>0</v>
      </c>
      <c r="I112" s="195">
        <v>6</v>
      </c>
      <c r="J112" s="196"/>
      <c r="K112" s="195">
        <v>123681</v>
      </c>
      <c r="L112" s="195">
        <v>0</v>
      </c>
      <c r="M112" s="195">
        <v>123681</v>
      </c>
      <c r="N112" s="196"/>
      <c r="O112" s="195">
        <v>52104</v>
      </c>
      <c r="P112" s="195">
        <v>0</v>
      </c>
      <c r="Q112" s="195">
        <v>52104</v>
      </c>
      <c r="R112" s="196"/>
      <c r="S112" s="195">
        <v>175785</v>
      </c>
      <c r="T112" s="195">
        <v>0</v>
      </c>
      <c r="U112" s="195">
        <v>175785</v>
      </c>
      <c r="V112" s="185"/>
    </row>
    <row r="113" spans="1:22" x14ac:dyDescent="0.25">
      <c r="A113" s="192">
        <v>2021</v>
      </c>
      <c r="B113" s="192" t="s">
        <v>826</v>
      </c>
      <c r="C113" s="193" t="s">
        <v>130</v>
      </c>
      <c r="D113" s="194" t="s">
        <v>821</v>
      </c>
      <c r="E113" s="194" t="s">
        <v>821</v>
      </c>
      <c r="F113" s="194" t="s">
        <v>130</v>
      </c>
      <c r="G113" s="193" t="s">
        <v>483</v>
      </c>
      <c r="H113" s="195">
        <v>0</v>
      </c>
      <c r="I113" s="195">
        <v>1</v>
      </c>
      <c r="J113" s="196"/>
      <c r="K113" s="195">
        <v>82254</v>
      </c>
      <c r="L113" s="195">
        <v>0</v>
      </c>
      <c r="M113" s="195">
        <v>82254</v>
      </c>
      <c r="N113" s="196"/>
      <c r="O113" s="195">
        <v>40453</v>
      </c>
      <c r="P113" s="195">
        <v>0</v>
      </c>
      <c r="Q113" s="195">
        <v>40453</v>
      </c>
      <c r="R113" s="196"/>
      <c r="S113" s="195">
        <v>122707</v>
      </c>
      <c r="T113" s="195">
        <v>0</v>
      </c>
      <c r="U113" s="195">
        <v>122707</v>
      </c>
      <c r="V113" s="185"/>
    </row>
    <row r="114" spans="1:22" x14ac:dyDescent="0.25">
      <c r="A114" s="192">
        <v>2021</v>
      </c>
      <c r="B114" s="192" t="s">
        <v>822</v>
      </c>
      <c r="C114" s="193" t="s">
        <v>131</v>
      </c>
      <c r="D114" s="194" t="s">
        <v>821</v>
      </c>
      <c r="E114" s="194" t="s">
        <v>821</v>
      </c>
      <c r="F114" s="194" t="s">
        <v>131</v>
      </c>
      <c r="G114" s="193" t="s">
        <v>484</v>
      </c>
      <c r="H114" s="195">
        <v>2</v>
      </c>
      <c r="I114" s="195">
        <v>8</v>
      </c>
      <c r="J114" s="196"/>
      <c r="K114" s="195">
        <v>498936.75</v>
      </c>
      <c r="L114" s="195">
        <v>99787.35</v>
      </c>
      <c r="M114" s="195">
        <v>399149.4</v>
      </c>
      <c r="N114" s="196"/>
      <c r="O114" s="195">
        <v>177599.25</v>
      </c>
      <c r="P114" s="195">
        <v>35519.85</v>
      </c>
      <c r="Q114" s="195">
        <v>142079.4</v>
      </c>
      <c r="R114" s="196"/>
      <c r="S114" s="195">
        <v>676536</v>
      </c>
      <c r="T114" s="195">
        <v>135307.20000000001</v>
      </c>
      <c r="U114" s="195">
        <v>541228.80000000005</v>
      </c>
      <c r="V114" s="185"/>
    </row>
    <row r="115" spans="1:22" x14ac:dyDescent="0.25">
      <c r="A115" s="192">
        <v>2021</v>
      </c>
      <c r="B115" s="192" t="s">
        <v>825</v>
      </c>
      <c r="C115" s="193" t="s">
        <v>132</v>
      </c>
      <c r="D115" s="194" t="s">
        <v>821</v>
      </c>
      <c r="E115" s="194" t="s">
        <v>821</v>
      </c>
      <c r="F115" s="194" t="s">
        <v>132</v>
      </c>
      <c r="G115" s="193" t="s">
        <v>485</v>
      </c>
      <c r="H115" s="195">
        <v>1</v>
      </c>
      <c r="I115" s="195">
        <v>1</v>
      </c>
      <c r="J115" s="196"/>
      <c r="K115" s="195">
        <v>344050.5</v>
      </c>
      <c r="L115" s="195">
        <v>172025.25</v>
      </c>
      <c r="M115" s="195">
        <v>172025.25</v>
      </c>
      <c r="N115" s="196"/>
      <c r="O115" s="195">
        <v>138821.5</v>
      </c>
      <c r="P115" s="195">
        <v>69410.75</v>
      </c>
      <c r="Q115" s="195">
        <v>69410.75</v>
      </c>
      <c r="R115" s="196"/>
      <c r="S115" s="195">
        <v>482872</v>
      </c>
      <c r="T115" s="195">
        <v>241436</v>
      </c>
      <c r="U115" s="195">
        <v>241436</v>
      </c>
      <c r="V115" s="185"/>
    </row>
    <row r="116" spans="1:22" x14ac:dyDescent="0.25">
      <c r="A116" s="192">
        <v>2021</v>
      </c>
      <c r="B116" s="192" t="s">
        <v>826</v>
      </c>
      <c r="C116" s="193" t="s">
        <v>133</v>
      </c>
      <c r="D116" s="194" t="s">
        <v>821</v>
      </c>
      <c r="E116" s="194" t="s">
        <v>821</v>
      </c>
      <c r="F116" s="194" t="s">
        <v>133</v>
      </c>
      <c r="G116" s="193" t="s">
        <v>486</v>
      </c>
      <c r="H116" s="195">
        <v>0</v>
      </c>
      <c r="I116" s="195">
        <v>6</v>
      </c>
      <c r="J116" s="196"/>
      <c r="K116" s="195">
        <v>710770.5</v>
      </c>
      <c r="L116" s="195">
        <v>0</v>
      </c>
      <c r="M116" s="195">
        <v>710770.5</v>
      </c>
      <c r="N116" s="196"/>
      <c r="O116" s="195">
        <v>273090.5</v>
      </c>
      <c r="P116" s="195">
        <v>0</v>
      </c>
      <c r="Q116" s="195">
        <v>273090.5</v>
      </c>
      <c r="R116" s="196"/>
      <c r="S116" s="195">
        <v>983861</v>
      </c>
      <c r="T116" s="195">
        <v>0</v>
      </c>
      <c r="U116" s="195">
        <v>983861</v>
      </c>
      <c r="V116" s="185"/>
    </row>
    <row r="117" spans="1:22" x14ac:dyDescent="0.25">
      <c r="A117" s="192">
        <v>2021</v>
      </c>
      <c r="B117" s="192" t="s">
        <v>823</v>
      </c>
      <c r="C117" s="193" t="s">
        <v>134</v>
      </c>
      <c r="D117" s="194" t="s">
        <v>821</v>
      </c>
      <c r="E117" s="194" t="s">
        <v>821</v>
      </c>
      <c r="F117" s="194" t="s">
        <v>134</v>
      </c>
      <c r="G117" s="193" t="s">
        <v>487</v>
      </c>
      <c r="H117" s="195">
        <v>7</v>
      </c>
      <c r="I117" s="195">
        <v>10</v>
      </c>
      <c r="J117" s="196"/>
      <c r="K117" s="195">
        <v>229766.25</v>
      </c>
      <c r="L117" s="195">
        <v>94609.63</v>
      </c>
      <c r="M117" s="195">
        <v>135156.62</v>
      </c>
      <c r="N117" s="196"/>
      <c r="O117" s="195">
        <v>89318.75</v>
      </c>
      <c r="P117" s="195">
        <v>36778.31</v>
      </c>
      <c r="Q117" s="195">
        <v>52540.44</v>
      </c>
      <c r="R117" s="196"/>
      <c r="S117" s="195">
        <v>319085</v>
      </c>
      <c r="T117" s="195">
        <v>131387.94</v>
      </c>
      <c r="U117" s="195">
        <v>187697.06</v>
      </c>
      <c r="V117" s="185"/>
    </row>
    <row r="118" spans="1:22" x14ac:dyDescent="0.25">
      <c r="A118" s="192">
        <v>2021</v>
      </c>
      <c r="B118" s="192" t="s">
        <v>824</v>
      </c>
      <c r="C118" s="193" t="s">
        <v>135</v>
      </c>
      <c r="D118" s="194" t="s">
        <v>821</v>
      </c>
      <c r="E118" s="194" t="s">
        <v>821</v>
      </c>
      <c r="F118" s="194" t="s">
        <v>135</v>
      </c>
      <c r="G118" s="193" t="s">
        <v>488</v>
      </c>
      <c r="H118" s="195">
        <v>5</v>
      </c>
      <c r="I118" s="195">
        <v>5</v>
      </c>
      <c r="J118" s="196"/>
      <c r="K118" s="195">
        <v>247420.5</v>
      </c>
      <c r="L118" s="195">
        <v>123710.25</v>
      </c>
      <c r="M118" s="195">
        <v>123710.25</v>
      </c>
      <c r="N118" s="196"/>
      <c r="O118" s="195">
        <v>93384.5</v>
      </c>
      <c r="P118" s="195">
        <v>46692.25</v>
      </c>
      <c r="Q118" s="195">
        <v>46692.25</v>
      </c>
      <c r="R118" s="196"/>
      <c r="S118" s="195">
        <v>340805</v>
      </c>
      <c r="T118" s="195">
        <v>170402.5</v>
      </c>
      <c r="U118" s="195">
        <v>170402.5</v>
      </c>
      <c r="V118" s="185"/>
    </row>
    <row r="119" spans="1:22" x14ac:dyDescent="0.25">
      <c r="A119" s="192">
        <v>2021</v>
      </c>
      <c r="B119" s="192" t="s">
        <v>822</v>
      </c>
      <c r="C119" s="193" t="s">
        <v>136</v>
      </c>
      <c r="D119" s="194" t="s">
        <v>821</v>
      </c>
      <c r="E119" s="194" t="s">
        <v>821</v>
      </c>
      <c r="F119" s="194" t="s">
        <v>136</v>
      </c>
      <c r="G119" s="193" t="s">
        <v>489</v>
      </c>
      <c r="H119" s="195">
        <v>3</v>
      </c>
      <c r="I119" s="195">
        <v>0</v>
      </c>
      <c r="J119" s="196"/>
      <c r="K119" s="195">
        <v>129993.75</v>
      </c>
      <c r="L119" s="195">
        <v>129993.75</v>
      </c>
      <c r="M119" s="195">
        <v>0</v>
      </c>
      <c r="N119" s="196"/>
      <c r="O119" s="195">
        <v>45275.25</v>
      </c>
      <c r="P119" s="195">
        <v>45275.25</v>
      </c>
      <c r="Q119" s="195">
        <v>0</v>
      </c>
      <c r="R119" s="196"/>
      <c r="S119" s="195">
        <v>175269</v>
      </c>
      <c r="T119" s="195">
        <v>175269</v>
      </c>
      <c r="U119" s="195">
        <v>0</v>
      </c>
      <c r="V119" s="185"/>
    </row>
    <row r="120" spans="1:22" x14ac:dyDescent="0.25">
      <c r="A120" s="192">
        <v>2021</v>
      </c>
      <c r="B120" s="192" t="s">
        <v>824</v>
      </c>
      <c r="C120" s="193" t="s">
        <v>137</v>
      </c>
      <c r="D120" s="194" t="s">
        <v>821</v>
      </c>
      <c r="E120" s="194" t="s">
        <v>821</v>
      </c>
      <c r="F120" s="194" t="s">
        <v>137</v>
      </c>
      <c r="G120" s="193" t="s">
        <v>490</v>
      </c>
      <c r="H120" s="195">
        <v>3</v>
      </c>
      <c r="I120" s="195">
        <v>9</v>
      </c>
      <c r="J120" s="196"/>
      <c r="K120" s="195">
        <v>173470.5</v>
      </c>
      <c r="L120" s="195">
        <v>43367.63</v>
      </c>
      <c r="M120" s="195">
        <v>130102.87</v>
      </c>
      <c r="N120" s="196"/>
      <c r="O120" s="195">
        <v>59802.5</v>
      </c>
      <c r="P120" s="195">
        <v>14950.63</v>
      </c>
      <c r="Q120" s="195">
        <v>44851.87</v>
      </c>
      <c r="R120" s="196"/>
      <c r="S120" s="195">
        <v>233273</v>
      </c>
      <c r="T120" s="195">
        <v>58318.259999999995</v>
      </c>
      <c r="U120" s="195">
        <v>174954.74</v>
      </c>
      <c r="V120" s="185"/>
    </row>
    <row r="121" spans="1:22" x14ac:dyDescent="0.25">
      <c r="A121" s="192">
        <v>2021</v>
      </c>
      <c r="B121" s="192" t="s">
        <v>820</v>
      </c>
      <c r="C121" s="193" t="s">
        <v>138</v>
      </c>
      <c r="D121" s="194" t="s">
        <v>821</v>
      </c>
      <c r="E121" s="194" t="s">
        <v>821</v>
      </c>
      <c r="F121" s="194" t="s">
        <v>138</v>
      </c>
      <c r="G121" s="193" t="s">
        <v>491</v>
      </c>
      <c r="H121" s="195">
        <v>0</v>
      </c>
      <c r="I121" s="195">
        <v>0</v>
      </c>
      <c r="J121" s="196"/>
      <c r="K121" s="195">
        <v>0</v>
      </c>
      <c r="L121" s="195">
        <v>0</v>
      </c>
      <c r="M121" s="195">
        <v>0</v>
      </c>
      <c r="N121" s="196"/>
      <c r="O121" s="195">
        <v>0</v>
      </c>
      <c r="P121" s="195">
        <v>0</v>
      </c>
      <c r="Q121" s="195">
        <v>0</v>
      </c>
      <c r="R121" s="196"/>
      <c r="S121" s="195">
        <v>0</v>
      </c>
      <c r="T121" s="195">
        <v>0</v>
      </c>
      <c r="U121" s="195">
        <v>0</v>
      </c>
      <c r="V121" s="185"/>
    </row>
    <row r="122" spans="1:22" x14ac:dyDescent="0.25">
      <c r="A122" s="192">
        <v>2021</v>
      </c>
      <c r="B122" s="192" t="s">
        <v>825</v>
      </c>
      <c r="C122" s="193" t="s">
        <v>139</v>
      </c>
      <c r="D122" s="194" t="s">
        <v>821</v>
      </c>
      <c r="E122" s="194" t="s">
        <v>821</v>
      </c>
      <c r="F122" s="194" t="s">
        <v>139</v>
      </c>
      <c r="G122" s="193" t="s">
        <v>492</v>
      </c>
      <c r="H122" s="195">
        <v>0</v>
      </c>
      <c r="I122" s="195">
        <v>5</v>
      </c>
      <c r="J122" s="196"/>
      <c r="K122" s="195">
        <v>24669.75</v>
      </c>
      <c r="L122" s="195">
        <v>0</v>
      </c>
      <c r="M122" s="195">
        <v>24669.75</v>
      </c>
      <c r="N122" s="196"/>
      <c r="O122" s="195">
        <v>8780.25</v>
      </c>
      <c r="P122" s="195">
        <v>0</v>
      </c>
      <c r="Q122" s="195">
        <v>8780.25</v>
      </c>
      <c r="R122" s="196"/>
      <c r="S122" s="195">
        <v>33450</v>
      </c>
      <c r="T122" s="195">
        <v>0</v>
      </c>
      <c r="U122" s="195">
        <v>33450</v>
      </c>
      <c r="V122" s="185"/>
    </row>
    <row r="123" spans="1:22" x14ac:dyDescent="0.25">
      <c r="A123" s="192">
        <v>2021</v>
      </c>
      <c r="B123" s="192" t="s">
        <v>822</v>
      </c>
      <c r="C123" s="193" t="s">
        <v>140</v>
      </c>
      <c r="D123" s="194" t="s">
        <v>821</v>
      </c>
      <c r="E123" s="194" t="s">
        <v>821</v>
      </c>
      <c r="F123" s="194" t="s">
        <v>140</v>
      </c>
      <c r="G123" s="193" t="s">
        <v>493</v>
      </c>
      <c r="H123" s="195">
        <v>1</v>
      </c>
      <c r="I123" s="195">
        <v>2</v>
      </c>
      <c r="J123" s="196"/>
      <c r="K123" s="195">
        <v>100714.5</v>
      </c>
      <c r="L123" s="195">
        <v>33571.5</v>
      </c>
      <c r="M123" s="195">
        <v>67143</v>
      </c>
      <c r="N123" s="196"/>
      <c r="O123" s="195">
        <v>37268.5</v>
      </c>
      <c r="P123" s="195">
        <v>12422.83</v>
      </c>
      <c r="Q123" s="195">
        <v>24845.67</v>
      </c>
      <c r="R123" s="196"/>
      <c r="S123" s="195">
        <v>137983</v>
      </c>
      <c r="T123" s="195">
        <v>45994.33</v>
      </c>
      <c r="U123" s="195">
        <v>91988.67</v>
      </c>
      <c r="V123" s="185"/>
    </row>
    <row r="124" spans="1:22" x14ac:dyDescent="0.25">
      <c r="A124" s="192">
        <v>2021</v>
      </c>
      <c r="B124" s="192" t="s">
        <v>823</v>
      </c>
      <c r="C124" s="193" t="s">
        <v>141</v>
      </c>
      <c r="D124" s="194" t="s">
        <v>821</v>
      </c>
      <c r="E124" s="194" t="s">
        <v>821</v>
      </c>
      <c r="F124" s="194" t="s">
        <v>141</v>
      </c>
      <c r="G124" s="193" t="s">
        <v>494</v>
      </c>
      <c r="H124" s="195">
        <v>0</v>
      </c>
      <c r="I124" s="195">
        <v>1</v>
      </c>
      <c r="J124" s="196"/>
      <c r="K124" s="195">
        <v>58553.25</v>
      </c>
      <c r="L124" s="195">
        <v>0</v>
      </c>
      <c r="M124" s="195">
        <v>58553.25</v>
      </c>
      <c r="N124" s="196"/>
      <c r="O124" s="195">
        <v>24940.75</v>
      </c>
      <c r="P124" s="195">
        <v>0</v>
      </c>
      <c r="Q124" s="195">
        <v>24940.75</v>
      </c>
      <c r="R124" s="196"/>
      <c r="S124" s="195">
        <v>83494</v>
      </c>
      <c r="T124" s="195">
        <v>0</v>
      </c>
      <c r="U124" s="195">
        <v>83494</v>
      </c>
      <c r="V124" s="185"/>
    </row>
    <row r="125" spans="1:22" x14ac:dyDescent="0.25">
      <c r="A125" s="192">
        <v>2021</v>
      </c>
      <c r="B125" s="192" t="s">
        <v>820</v>
      </c>
      <c r="C125" s="193" t="s">
        <v>142</v>
      </c>
      <c r="D125" s="194" t="s">
        <v>821</v>
      </c>
      <c r="E125" s="194" t="s">
        <v>821</v>
      </c>
      <c r="F125" s="194" t="s">
        <v>142</v>
      </c>
      <c r="G125" s="193" t="s">
        <v>495</v>
      </c>
      <c r="H125" s="195">
        <v>0</v>
      </c>
      <c r="I125" s="195">
        <v>5</v>
      </c>
      <c r="J125" s="196"/>
      <c r="K125" s="195">
        <v>69668.25</v>
      </c>
      <c r="L125" s="195">
        <v>0</v>
      </c>
      <c r="M125" s="195">
        <v>69668.25</v>
      </c>
      <c r="N125" s="196"/>
      <c r="O125" s="195">
        <v>25453.75</v>
      </c>
      <c r="P125" s="195">
        <v>0</v>
      </c>
      <c r="Q125" s="195">
        <v>25453.75</v>
      </c>
      <c r="R125" s="196"/>
      <c r="S125" s="195">
        <v>95122</v>
      </c>
      <c r="T125" s="195">
        <v>0</v>
      </c>
      <c r="U125" s="195">
        <v>95122</v>
      </c>
      <c r="V125" s="185"/>
    </row>
    <row r="126" spans="1:22" x14ac:dyDescent="0.25">
      <c r="A126" s="192">
        <v>2021</v>
      </c>
      <c r="B126" s="192" t="s">
        <v>822</v>
      </c>
      <c r="C126" s="193" t="s">
        <v>145</v>
      </c>
      <c r="D126" s="194" t="s">
        <v>821</v>
      </c>
      <c r="E126" s="194" t="s">
        <v>821</v>
      </c>
      <c r="F126" s="194" t="s">
        <v>145</v>
      </c>
      <c r="G126" s="193" t="s">
        <v>4</v>
      </c>
      <c r="H126" s="195">
        <v>0</v>
      </c>
      <c r="I126" s="195">
        <v>10</v>
      </c>
      <c r="J126" s="196"/>
      <c r="K126" s="195">
        <v>124943.25</v>
      </c>
      <c r="L126" s="195">
        <v>0</v>
      </c>
      <c r="M126" s="195">
        <v>124943.25</v>
      </c>
      <c r="N126" s="196"/>
      <c r="O126" s="195">
        <v>45252.75</v>
      </c>
      <c r="P126" s="195">
        <v>0</v>
      </c>
      <c r="Q126" s="195">
        <v>45252.75</v>
      </c>
      <c r="R126" s="196"/>
      <c r="S126" s="195">
        <v>170196</v>
      </c>
      <c r="T126" s="195">
        <v>0</v>
      </c>
      <c r="U126" s="195">
        <v>170196</v>
      </c>
      <c r="V126" s="185"/>
    </row>
    <row r="127" spans="1:22" x14ac:dyDescent="0.25">
      <c r="A127" s="192">
        <v>2021</v>
      </c>
      <c r="B127" s="192" t="s">
        <v>825</v>
      </c>
      <c r="C127" s="193" t="s">
        <v>143</v>
      </c>
      <c r="D127" s="194" t="s">
        <v>821</v>
      </c>
      <c r="E127" s="194" t="s">
        <v>821</v>
      </c>
      <c r="F127" s="194" t="s">
        <v>143</v>
      </c>
      <c r="G127" s="193" t="s">
        <v>496</v>
      </c>
      <c r="H127" s="195">
        <v>10</v>
      </c>
      <c r="I127" s="195">
        <v>10</v>
      </c>
      <c r="J127" s="196"/>
      <c r="K127" s="195">
        <v>289683</v>
      </c>
      <c r="L127" s="195">
        <v>144841.5</v>
      </c>
      <c r="M127" s="195">
        <v>144841.5</v>
      </c>
      <c r="N127" s="196"/>
      <c r="O127" s="195">
        <v>102861</v>
      </c>
      <c r="P127" s="195">
        <v>51430.5</v>
      </c>
      <c r="Q127" s="195">
        <v>51430.5</v>
      </c>
      <c r="R127" s="196"/>
      <c r="S127" s="195">
        <v>392544</v>
      </c>
      <c r="T127" s="195">
        <v>196272</v>
      </c>
      <c r="U127" s="195">
        <v>196272</v>
      </c>
      <c r="V127" s="185"/>
    </row>
    <row r="128" spans="1:22" x14ac:dyDescent="0.25">
      <c r="A128" s="192">
        <v>2021</v>
      </c>
      <c r="B128" s="192" t="s">
        <v>825</v>
      </c>
      <c r="C128" s="193" t="s">
        <v>172</v>
      </c>
      <c r="D128" s="194" t="s">
        <v>821</v>
      </c>
      <c r="E128" s="194" t="s">
        <v>821</v>
      </c>
      <c r="F128" s="194" t="s">
        <v>172</v>
      </c>
      <c r="G128" s="193" t="s">
        <v>522</v>
      </c>
      <c r="H128" s="195">
        <v>4</v>
      </c>
      <c r="I128" s="195">
        <v>8</v>
      </c>
      <c r="J128" s="196"/>
      <c r="K128" s="195">
        <v>565653.75</v>
      </c>
      <c r="L128" s="195">
        <v>188551.25</v>
      </c>
      <c r="M128" s="195">
        <v>377102.5</v>
      </c>
      <c r="N128" s="196"/>
      <c r="O128" s="195">
        <v>211703.25</v>
      </c>
      <c r="P128" s="195">
        <v>70567.75</v>
      </c>
      <c r="Q128" s="195">
        <v>141135.5</v>
      </c>
      <c r="R128" s="196"/>
      <c r="S128" s="195">
        <v>777357</v>
      </c>
      <c r="T128" s="195">
        <v>259119</v>
      </c>
      <c r="U128" s="195">
        <v>518238</v>
      </c>
      <c r="V128" s="185"/>
    </row>
    <row r="129" spans="1:22" x14ac:dyDescent="0.25">
      <c r="A129" s="192">
        <v>2021</v>
      </c>
      <c r="B129" s="192" t="s">
        <v>822</v>
      </c>
      <c r="C129" s="193" t="s">
        <v>146</v>
      </c>
      <c r="D129" s="194" t="s">
        <v>821</v>
      </c>
      <c r="E129" s="194" t="s">
        <v>821</v>
      </c>
      <c r="F129" s="194" t="s">
        <v>146</v>
      </c>
      <c r="G129" s="193" t="s">
        <v>498</v>
      </c>
      <c r="H129" s="195">
        <v>1</v>
      </c>
      <c r="I129" s="195">
        <v>1</v>
      </c>
      <c r="J129" s="196"/>
      <c r="K129" s="195">
        <v>166989</v>
      </c>
      <c r="L129" s="195">
        <v>83494.5</v>
      </c>
      <c r="M129" s="195">
        <v>83494.5</v>
      </c>
      <c r="N129" s="196"/>
      <c r="O129" s="195">
        <v>63433</v>
      </c>
      <c r="P129" s="195">
        <v>31716.5</v>
      </c>
      <c r="Q129" s="195">
        <v>31716.5</v>
      </c>
      <c r="R129" s="196"/>
      <c r="S129" s="195">
        <v>230422</v>
      </c>
      <c r="T129" s="195">
        <v>115211</v>
      </c>
      <c r="U129" s="195">
        <v>115211</v>
      </c>
      <c r="V129" s="185"/>
    </row>
    <row r="130" spans="1:22" x14ac:dyDescent="0.25">
      <c r="A130" s="192">
        <v>2021</v>
      </c>
      <c r="B130" s="192" t="s">
        <v>823</v>
      </c>
      <c r="C130" s="193" t="s">
        <v>147</v>
      </c>
      <c r="D130" s="194" t="s">
        <v>821</v>
      </c>
      <c r="E130" s="194" t="s">
        <v>821</v>
      </c>
      <c r="F130" s="194" t="s">
        <v>147</v>
      </c>
      <c r="G130" s="193" t="s">
        <v>499</v>
      </c>
      <c r="H130" s="195">
        <v>0</v>
      </c>
      <c r="I130" s="195">
        <v>9</v>
      </c>
      <c r="J130" s="196"/>
      <c r="K130" s="195">
        <v>174192.75</v>
      </c>
      <c r="L130" s="195">
        <v>0</v>
      </c>
      <c r="M130" s="195">
        <v>174192.75</v>
      </c>
      <c r="N130" s="196"/>
      <c r="O130" s="195">
        <v>62983.25</v>
      </c>
      <c r="P130" s="195">
        <v>0</v>
      </c>
      <c r="Q130" s="195">
        <v>62983.25</v>
      </c>
      <c r="R130" s="196"/>
      <c r="S130" s="195">
        <v>237176</v>
      </c>
      <c r="T130" s="195">
        <v>0</v>
      </c>
      <c r="U130" s="195">
        <v>237176</v>
      </c>
      <c r="V130" s="185"/>
    </row>
    <row r="131" spans="1:22" x14ac:dyDescent="0.25">
      <c r="A131" s="192">
        <v>2021</v>
      </c>
      <c r="B131" s="192" t="s">
        <v>822</v>
      </c>
      <c r="C131" s="193" t="s">
        <v>148</v>
      </c>
      <c r="D131" s="194" t="s">
        <v>821</v>
      </c>
      <c r="E131" s="194" t="s">
        <v>821</v>
      </c>
      <c r="F131" s="194" t="s">
        <v>148</v>
      </c>
      <c r="G131" s="193" t="s">
        <v>500</v>
      </c>
      <c r="H131" s="195">
        <v>0</v>
      </c>
      <c r="I131" s="195">
        <v>4</v>
      </c>
      <c r="J131" s="196"/>
      <c r="K131" s="195">
        <v>110714.25</v>
      </c>
      <c r="L131" s="195">
        <v>0</v>
      </c>
      <c r="M131" s="195">
        <v>110714.25</v>
      </c>
      <c r="N131" s="196"/>
      <c r="O131" s="195">
        <v>41145.75</v>
      </c>
      <c r="P131" s="195">
        <v>0</v>
      </c>
      <c r="Q131" s="195">
        <v>41145.75</v>
      </c>
      <c r="R131" s="196"/>
      <c r="S131" s="195">
        <v>151860</v>
      </c>
      <c r="T131" s="195">
        <v>0</v>
      </c>
      <c r="U131" s="195">
        <v>151860</v>
      </c>
      <c r="V131" s="185"/>
    </row>
    <row r="132" spans="1:22" x14ac:dyDescent="0.25">
      <c r="A132" s="192">
        <v>2021</v>
      </c>
      <c r="B132" s="192" t="s">
        <v>820</v>
      </c>
      <c r="C132" s="193" t="s">
        <v>149</v>
      </c>
      <c r="D132" s="194" t="s">
        <v>821</v>
      </c>
      <c r="E132" s="194" t="s">
        <v>821</v>
      </c>
      <c r="F132" s="194" t="s">
        <v>149</v>
      </c>
      <c r="G132" s="193" t="s">
        <v>501</v>
      </c>
      <c r="H132" s="195">
        <v>0</v>
      </c>
      <c r="I132" s="195">
        <v>7</v>
      </c>
      <c r="J132" s="196"/>
      <c r="K132" s="195">
        <v>147332.25</v>
      </c>
      <c r="L132" s="195">
        <v>0</v>
      </c>
      <c r="M132" s="195">
        <v>147332.25</v>
      </c>
      <c r="N132" s="196"/>
      <c r="O132" s="195">
        <v>49509.75</v>
      </c>
      <c r="P132" s="195">
        <v>0</v>
      </c>
      <c r="Q132" s="195">
        <v>49509.75</v>
      </c>
      <c r="R132" s="196"/>
      <c r="S132" s="195">
        <v>196842</v>
      </c>
      <c r="T132" s="195">
        <v>0</v>
      </c>
      <c r="U132" s="195">
        <v>196842</v>
      </c>
      <c r="V132" s="185"/>
    </row>
    <row r="133" spans="1:22" x14ac:dyDescent="0.25">
      <c r="A133" s="192">
        <v>2021</v>
      </c>
      <c r="B133" s="192" t="s">
        <v>823</v>
      </c>
      <c r="C133" s="193" t="s">
        <v>152</v>
      </c>
      <c r="D133" s="194" t="s">
        <v>821</v>
      </c>
      <c r="E133" s="194" t="s">
        <v>821</v>
      </c>
      <c r="F133" s="194" t="s">
        <v>152</v>
      </c>
      <c r="G133" s="193" t="s">
        <v>503</v>
      </c>
      <c r="H133" s="195">
        <v>4</v>
      </c>
      <c r="I133" s="195">
        <v>3</v>
      </c>
      <c r="J133" s="196"/>
      <c r="K133" s="195">
        <v>63985.5</v>
      </c>
      <c r="L133" s="195">
        <v>36563.14</v>
      </c>
      <c r="M133" s="195">
        <v>27422.36</v>
      </c>
      <c r="N133" s="196"/>
      <c r="O133" s="195">
        <v>23592.5</v>
      </c>
      <c r="P133" s="195">
        <v>13481.43</v>
      </c>
      <c r="Q133" s="195">
        <v>10111.07</v>
      </c>
      <c r="R133" s="196"/>
      <c r="S133" s="195">
        <v>87578</v>
      </c>
      <c r="T133" s="195">
        <v>50044.57</v>
      </c>
      <c r="U133" s="195">
        <v>37533.43</v>
      </c>
      <c r="V133" s="185"/>
    </row>
    <row r="134" spans="1:22" x14ac:dyDescent="0.25">
      <c r="A134" s="192">
        <v>2021</v>
      </c>
      <c r="B134" s="192" t="s">
        <v>822</v>
      </c>
      <c r="C134" s="193" t="s">
        <v>153</v>
      </c>
      <c r="D134" s="194" t="s">
        <v>821</v>
      </c>
      <c r="E134" s="194" t="s">
        <v>821</v>
      </c>
      <c r="F134" s="194" t="s">
        <v>153</v>
      </c>
      <c r="G134" s="193" t="s">
        <v>504</v>
      </c>
      <c r="H134" s="195">
        <v>0</v>
      </c>
      <c r="I134" s="195">
        <v>3</v>
      </c>
      <c r="J134" s="196"/>
      <c r="K134" s="195">
        <v>122384.25</v>
      </c>
      <c r="L134" s="195">
        <v>0</v>
      </c>
      <c r="M134" s="195">
        <v>122384.25</v>
      </c>
      <c r="N134" s="196"/>
      <c r="O134" s="195">
        <v>47183.75</v>
      </c>
      <c r="P134" s="195">
        <v>0</v>
      </c>
      <c r="Q134" s="195">
        <v>47183.75</v>
      </c>
      <c r="R134" s="196"/>
      <c r="S134" s="195">
        <v>169568</v>
      </c>
      <c r="T134" s="195">
        <v>0</v>
      </c>
      <c r="U134" s="195">
        <v>169568</v>
      </c>
      <c r="V134" s="185"/>
    </row>
    <row r="135" spans="1:22" x14ac:dyDescent="0.25">
      <c r="A135" s="192">
        <v>2021</v>
      </c>
      <c r="B135" s="192" t="s">
        <v>823</v>
      </c>
      <c r="C135" s="193" t="s">
        <v>154</v>
      </c>
      <c r="D135" s="194" t="s">
        <v>821</v>
      </c>
      <c r="E135" s="194" t="s">
        <v>821</v>
      </c>
      <c r="F135" s="194" t="s">
        <v>154</v>
      </c>
      <c r="G135" s="193" t="s">
        <v>505</v>
      </c>
      <c r="H135" s="195">
        <v>0</v>
      </c>
      <c r="I135" s="195">
        <v>7</v>
      </c>
      <c r="J135" s="196"/>
      <c r="K135" s="195">
        <v>471591.75</v>
      </c>
      <c r="L135" s="195">
        <v>0</v>
      </c>
      <c r="M135" s="195">
        <v>471591.75</v>
      </c>
      <c r="N135" s="196"/>
      <c r="O135" s="195">
        <v>170066.25</v>
      </c>
      <c r="P135" s="195">
        <v>0</v>
      </c>
      <c r="Q135" s="195">
        <v>170066.25</v>
      </c>
      <c r="R135" s="196"/>
      <c r="S135" s="195">
        <v>641658</v>
      </c>
      <c r="T135" s="195">
        <v>0</v>
      </c>
      <c r="U135" s="195">
        <v>641658</v>
      </c>
      <c r="V135" s="185"/>
    </row>
    <row r="136" spans="1:22" x14ac:dyDescent="0.25">
      <c r="A136" s="192">
        <v>2021</v>
      </c>
      <c r="B136" s="192" t="s">
        <v>825</v>
      </c>
      <c r="C136" s="193" t="s">
        <v>156</v>
      </c>
      <c r="D136" s="194" t="s">
        <v>821</v>
      </c>
      <c r="E136" s="194" t="s">
        <v>821</v>
      </c>
      <c r="F136" s="194" t="s">
        <v>156</v>
      </c>
      <c r="G136" s="193" t="s">
        <v>506</v>
      </c>
      <c r="H136" s="195">
        <v>0</v>
      </c>
      <c r="I136" s="195">
        <v>0</v>
      </c>
      <c r="J136" s="196"/>
      <c r="K136" s="195">
        <v>0</v>
      </c>
      <c r="L136" s="195">
        <v>0</v>
      </c>
      <c r="M136" s="195">
        <v>0</v>
      </c>
      <c r="N136" s="196"/>
      <c r="O136" s="195">
        <v>0</v>
      </c>
      <c r="P136" s="195">
        <v>0</v>
      </c>
      <c r="Q136" s="195">
        <v>0</v>
      </c>
      <c r="R136" s="196"/>
      <c r="S136" s="195">
        <v>0</v>
      </c>
      <c r="T136" s="195">
        <v>0</v>
      </c>
      <c r="U136" s="195">
        <v>0</v>
      </c>
      <c r="V136" s="185"/>
    </row>
    <row r="137" spans="1:22" x14ac:dyDescent="0.25">
      <c r="A137" s="192">
        <v>2021</v>
      </c>
      <c r="B137" s="192" t="s">
        <v>824</v>
      </c>
      <c r="C137" s="193" t="s">
        <v>157</v>
      </c>
      <c r="D137" s="194" t="s">
        <v>821</v>
      </c>
      <c r="E137" s="194" t="s">
        <v>821</v>
      </c>
      <c r="F137" s="194" t="s">
        <v>157</v>
      </c>
      <c r="G137" s="193" t="s">
        <v>507</v>
      </c>
      <c r="H137" s="195">
        <v>2</v>
      </c>
      <c r="I137" s="195">
        <v>5</v>
      </c>
      <c r="J137" s="196"/>
      <c r="K137" s="195">
        <v>199692.75</v>
      </c>
      <c r="L137" s="195">
        <v>57055.07</v>
      </c>
      <c r="M137" s="195">
        <v>142637.68</v>
      </c>
      <c r="N137" s="196"/>
      <c r="O137" s="195">
        <v>71549.25</v>
      </c>
      <c r="P137" s="195">
        <v>20442.64</v>
      </c>
      <c r="Q137" s="195">
        <v>51106.61</v>
      </c>
      <c r="R137" s="196"/>
      <c r="S137" s="195">
        <v>271242</v>
      </c>
      <c r="T137" s="195">
        <v>77497.709999999992</v>
      </c>
      <c r="U137" s="195">
        <v>193744.28999999998</v>
      </c>
      <c r="V137" s="185"/>
    </row>
    <row r="138" spans="1:22" x14ac:dyDescent="0.25">
      <c r="A138" s="192">
        <v>2021</v>
      </c>
      <c r="B138" s="192" t="s">
        <v>827</v>
      </c>
      <c r="C138" s="193" t="s">
        <v>158</v>
      </c>
      <c r="D138" s="194" t="s">
        <v>821</v>
      </c>
      <c r="E138" s="194" t="s">
        <v>821</v>
      </c>
      <c r="F138" s="194" t="s">
        <v>158</v>
      </c>
      <c r="G138" s="193" t="s">
        <v>508</v>
      </c>
      <c r="H138" s="195">
        <v>0</v>
      </c>
      <c r="I138" s="195">
        <v>2</v>
      </c>
      <c r="J138" s="196"/>
      <c r="K138" s="195">
        <v>65023.5</v>
      </c>
      <c r="L138" s="195">
        <v>0</v>
      </c>
      <c r="M138" s="195">
        <v>65023.5</v>
      </c>
      <c r="N138" s="196"/>
      <c r="O138" s="195">
        <v>32349.5</v>
      </c>
      <c r="P138" s="195">
        <v>0</v>
      </c>
      <c r="Q138" s="195">
        <v>32349.5</v>
      </c>
      <c r="R138" s="196"/>
      <c r="S138" s="195">
        <v>97373</v>
      </c>
      <c r="T138" s="195">
        <v>0</v>
      </c>
      <c r="U138" s="195">
        <v>97373</v>
      </c>
      <c r="V138" s="185"/>
    </row>
    <row r="139" spans="1:22" x14ac:dyDescent="0.25">
      <c r="A139" s="192">
        <v>2021</v>
      </c>
      <c r="B139" s="192" t="s">
        <v>824</v>
      </c>
      <c r="C139" s="193" t="s">
        <v>159</v>
      </c>
      <c r="D139" s="194" t="s">
        <v>821</v>
      </c>
      <c r="E139" s="194" t="s">
        <v>821</v>
      </c>
      <c r="F139" s="194" t="s">
        <v>159</v>
      </c>
      <c r="G139" s="193" t="s">
        <v>509</v>
      </c>
      <c r="H139" s="195">
        <v>0</v>
      </c>
      <c r="I139" s="195">
        <v>6</v>
      </c>
      <c r="J139" s="196"/>
      <c r="K139" s="195">
        <v>180717</v>
      </c>
      <c r="L139" s="195">
        <v>0</v>
      </c>
      <c r="M139" s="195">
        <v>180717</v>
      </c>
      <c r="N139" s="196"/>
      <c r="O139" s="195">
        <v>115044</v>
      </c>
      <c r="P139" s="195">
        <v>0</v>
      </c>
      <c r="Q139" s="195">
        <v>115044</v>
      </c>
      <c r="R139" s="196"/>
      <c r="S139" s="195">
        <v>295761</v>
      </c>
      <c r="T139" s="195">
        <v>0</v>
      </c>
      <c r="U139" s="195">
        <v>295761</v>
      </c>
      <c r="V139" s="185"/>
    </row>
    <row r="140" spans="1:22" x14ac:dyDescent="0.25">
      <c r="A140" s="192">
        <v>2021</v>
      </c>
      <c r="B140" s="192" t="s">
        <v>827</v>
      </c>
      <c r="C140" s="193" t="s">
        <v>151</v>
      </c>
      <c r="D140" s="194" t="s">
        <v>821</v>
      </c>
      <c r="E140" s="194" t="s">
        <v>821</v>
      </c>
      <c r="F140" s="194" t="s">
        <v>151</v>
      </c>
      <c r="G140" s="193" t="s">
        <v>5</v>
      </c>
      <c r="H140" s="195">
        <v>0</v>
      </c>
      <c r="I140" s="195">
        <v>1</v>
      </c>
      <c r="J140" s="196"/>
      <c r="K140" s="195">
        <v>14871.75</v>
      </c>
      <c r="L140" s="195">
        <v>0</v>
      </c>
      <c r="M140" s="195">
        <v>14871.75</v>
      </c>
      <c r="N140" s="196"/>
      <c r="O140" s="195">
        <v>5217.25</v>
      </c>
      <c r="P140" s="195">
        <v>0</v>
      </c>
      <c r="Q140" s="195">
        <v>5217.25</v>
      </c>
      <c r="R140" s="196"/>
      <c r="S140" s="195">
        <v>20089</v>
      </c>
      <c r="T140" s="195">
        <v>0</v>
      </c>
      <c r="U140" s="195">
        <v>20089</v>
      </c>
      <c r="V140" s="185"/>
    </row>
    <row r="141" spans="1:22" x14ac:dyDescent="0.25">
      <c r="A141" s="192">
        <v>2021</v>
      </c>
      <c r="B141" s="192" t="s">
        <v>829</v>
      </c>
      <c r="C141" s="193" t="s">
        <v>160</v>
      </c>
      <c r="D141" s="194" t="s">
        <v>821</v>
      </c>
      <c r="E141" s="194" t="s">
        <v>821</v>
      </c>
      <c r="F141" s="194" t="s">
        <v>160</v>
      </c>
      <c r="G141" s="193" t="s">
        <v>510</v>
      </c>
      <c r="H141" s="195">
        <v>3</v>
      </c>
      <c r="I141" s="195">
        <v>3</v>
      </c>
      <c r="J141" s="196"/>
      <c r="K141" s="195">
        <v>289565.25</v>
      </c>
      <c r="L141" s="195">
        <v>144782.63</v>
      </c>
      <c r="M141" s="195">
        <v>144782.62</v>
      </c>
      <c r="N141" s="196"/>
      <c r="O141" s="195">
        <v>108614.75</v>
      </c>
      <c r="P141" s="195">
        <v>54307.38</v>
      </c>
      <c r="Q141" s="195">
        <v>54307.37</v>
      </c>
      <c r="R141" s="196"/>
      <c r="S141" s="195">
        <v>398180</v>
      </c>
      <c r="T141" s="195">
        <v>199090.01</v>
      </c>
      <c r="U141" s="195">
        <v>199089.99</v>
      </c>
      <c r="V141" s="185"/>
    </row>
    <row r="142" spans="1:22" x14ac:dyDescent="0.25">
      <c r="A142" s="192">
        <v>2021</v>
      </c>
      <c r="B142" s="192" t="s">
        <v>822</v>
      </c>
      <c r="C142" s="193" t="s">
        <v>161</v>
      </c>
      <c r="D142" s="194" t="s">
        <v>821</v>
      </c>
      <c r="E142" s="194" t="s">
        <v>821</v>
      </c>
      <c r="F142" s="194" t="s">
        <v>161</v>
      </c>
      <c r="G142" s="193" t="s">
        <v>511</v>
      </c>
      <c r="H142" s="195">
        <v>0</v>
      </c>
      <c r="I142" s="195">
        <v>0</v>
      </c>
      <c r="J142" s="196"/>
      <c r="K142" s="195">
        <v>0</v>
      </c>
      <c r="L142" s="195">
        <v>0</v>
      </c>
      <c r="M142" s="195">
        <v>0</v>
      </c>
      <c r="N142" s="196"/>
      <c r="O142" s="195">
        <v>0</v>
      </c>
      <c r="P142" s="195">
        <v>0</v>
      </c>
      <c r="Q142" s="195">
        <v>0</v>
      </c>
      <c r="R142" s="196"/>
      <c r="S142" s="195">
        <v>0</v>
      </c>
      <c r="T142" s="195">
        <v>0</v>
      </c>
      <c r="U142" s="195">
        <v>0</v>
      </c>
      <c r="V142" s="185"/>
    </row>
    <row r="143" spans="1:22" x14ac:dyDescent="0.25">
      <c r="A143" s="192">
        <v>2021</v>
      </c>
      <c r="B143" s="192" t="s">
        <v>822</v>
      </c>
      <c r="C143" s="193" t="s">
        <v>162</v>
      </c>
      <c r="D143" s="194" t="s">
        <v>821</v>
      </c>
      <c r="E143" s="194" t="s">
        <v>821</v>
      </c>
      <c r="F143" s="194" t="s">
        <v>162</v>
      </c>
      <c r="G143" s="193" t="s">
        <v>512</v>
      </c>
      <c r="H143" s="195">
        <v>0</v>
      </c>
      <c r="I143" s="195">
        <v>2</v>
      </c>
      <c r="J143" s="196"/>
      <c r="K143" s="195">
        <v>70425</v>
      </c>
      <c r="L143" s="195">
        <v>0</v>
      </c>
      <c r="M143" s="195">
        <v>70425</v>
      </c>
      <c r="N143" s="196"/>
      <c r="O143" s="195">
        <v>24239</v>
      </c>
      <c r="P143" s="195">
        <v>0</v>
      </c>
      <c r="Q143" s="195">
        <v>24239</v>
      </c>
      <c r="R143" s="196"/>
      <c r="S143" s="195">
        <v>94664</v>
      </c>
      <c r="T143" s="195">
        <v>0</v>
      </c>
      <c r="U143" s="195">
        <v>94664</v>
      </c>
      <c r="V143" s="185"/>
    </row>
    <row r="144" spans="1:22" x14ac:dyDescent="0.25">
      <c r="A144" s="192">
        <v>2021</v>
      </c>
      <c r="B144" s="192" t="s">
        <v>825</v>
      </c>
      <c r="C144" s="193" t="s">
        <v>163</v>
      </c>
      <c r="D144" s="194" t="s">
        <v>821</v>
      </c>
      <c r="E144" s="194" t="s">
        <v>821</v>
      </c>
      <c r="F144" s="194" t="s">
        <v>163</v>
      </c>
      <c r="G144" s="193" t="s">
        <v>513</v>
      </c>
      <c r="H144" s="195">
        <v>0</v>
      </c>
      <c r="I144" s="195">
        <v>5</v>
      </c>
      <c r="J144" s="196"/>
      <c r="K144" s="195">
        <v>309204.75</v>
      </c>
      <c r="L144" s="195">
        <v>0</v>
      </c>
      <c r="M144" s="195">
        <v>309204.75</v>
      </c>
      <c r="N144" s="196"/>
      <c r="O144" s="195">
        <v>122751.25</v>
      </c>
      <c r="P144" s="195">
        <v>0</v>
      </c>
      <c r="Q144" s="195">
        <v>122751.25</v>
      </c>
      <c r="R144" s="196"/>
      <c r="S144" s="195">
        <v>431956</v>
      </c>
      <c r="T144" s="195">
        <v>0</v>
      </c>
      <c r="U144" s="195">
        <v>431956</v>
      </c>
      <c r="V144" s="185"/>
    </row>
    <row r="145" spans="1:22" x14ac:dyDescent="0.25">
      <c r="A145" s="192">
        <v>2021</v>
      </c>
      <c r="B145" s="192" t="s">
        <v>823</v>
      </c>
      <c r="C145" s="193" t="s">
        <v>170</v>
      </c>
      <c r="D145" s="194" t="s">
        <v>821</v>
      </c>
      <c r="E145" s="194" t="s">
        <v>821</v>
      </c>
      <c r="F145" s="194" t="s">
        <v>170</v>
      </c>
      <c r="G145" s="193" t="s">
        <v>520</v>
      </c>
      <c r="H145" s="195">
        <v>0</v>
      </c>
      <c r="I145" s="195">
        <v>7</v>
      </c>
      <c r="J145" s="196"/>
      <c r="K145" s="195">
        <v>221928</v>
      </c>
      <c r="L145" s="195">
        <v>0</v>
      </c>
      <c r="M145" s="195">
        <v>221928</v>
      </c>
      <c r="N145" s="196"/>
      <c r="O145" s="195">
        <v>79745</v>
      </c>
      <c r="P145" s="195">
        <v>0</v>
      </c>
      <c r="Q145" s="195">
        <v>79745</v>
      </c>
      <c r="R145" s="196"/>
      <c r="S145" s="195">
        <v>301673</v>
      </c>
      <c r="T145" s="195">
        <v>0</v>
      </c>
      <c r="U145" s="195">
        <v>301673</v>
      </c>
      <c r="V145" s="185"/>
    </row>
    <row r="146" spans="1:22" x14ac:dyDescent="0.25">
      <c r="A146" s="192">
        <v>2021</v>
      </c>
      <c r="B146" s="192" t="s">
        <v>822</v>
      </c>
      <c r="C146" s="193" t="s">
        <v>164</v>
      </c>
      <c r="D146" s="194" t="s">
        <v>821</v>
      </c>
      <c r="E146" s="194" t="s">
        <v>821</v>
      </c>
      <c r="F146" s="194" t="s">
        <v>164</v>
      </c>
      <c r="G146" s="193" t="s">
        <v>514</v>
      </c>
      <c r="H146" s="195">
        <v>0</v>
      </c>
      <c r="I146" s="195">
        <v>8</v>
      </c>
      <c r="J146" s="196"/>
      <c r="K146" s="195">
        <v>562892.25</v>
      </c>
      <c r="L146" s="195">
        <v>0</v>
      </c>
      <c r="M146" s="195">
        <v>562892.25</v>
      </c>
      <c r="N146" s="196"/>
      <c r="O146" s="195">
        <v>205137.75</v>
      </c>
      <c r="P146" s="195">
        <v>0</v>
      </c>
      <c r="Q146" s="195">
        <v>205137.75</v>
      </c>
      <c r="R146" s="196"/>
      <c r="S146" s="195">
        <v>768030</v>
      </c>
      <c r="T146" s="195">
        <v>0</v>
      </c>
      <c r="U146" s="195">
        <v>768030</v>
      </c>
      <c r="V146" s="185"/>
    </row>
    <row r="147" spans="1:22" x14ac:dyDescent="0.25">
      <c r="A147" s="192">
        <v>2021</v>
      </c>
      <c r="B147" s="192" t="s">
        <v>820</v>
      </c>
      <c r="C147" s="193" t="s">
        <v>165</v>
      </c>
      <c r="D147" s="194" t="s">
        <v>821</v>
      </c>
      <c r="E147" s="194" t="s">
        <v>821</v>
      </c>
      <c r="F147" s="194" t="s">
        <v>165</v>
      </c>
      <c r="G147" s="193" t="s">
        <v>515</v>
      </c>
      <c r="H147" s="195">
        <v>0</v>
      </c>
      <c r="I147" s="195">
        <v>5</v>
      </c>
      <c r="J147" s="196"/>
      <c r="K147" s="195">
        <v>881805.75</v>
      </c>
      <c r="L147" s="195">
        <v>0</v>
      </c>
      <c r="M147" s="195">
        <v>881805.75</v>
      </c>
      <c r="N147" s="196"/>
      <c r="O147" s="195">
        <v>353778.25</v>
      </c>
      <c r="P147" s="195">
        <v>0</v>
      </c>
      <c r="Q147" s="195">
        <v>353778.25</v>
      </c>
      <c r="R147" s="196"/>
      <c r="S147" s="195">
        <v>1235584</v>
      </c>
      <c r="T147" s="195">
        <v>0</v>
      </c>
      <c r="U147" s="195">
        <v>1235584</v>
      </c>
      <c r="V147" s="185"/>
    </row>
    <row r="148" spans="1:22" x14ac:dyDescent="0.25">
      <c r="A148" s="192">
        <v>2021</v>
      </c>
      <c r="B148" s="192" t="s">
        <v>820</v>
      </c>
      <c r="C148" s="193" t="s">
        <v>166</v>
      </c>
      <c r="D148" s="194" t="s">
        <v>821</v>
      </c>
      <c r="E148" s="194" t="s">
        <v>821</v>
      </c>
      <c r="F148" s="194" t="s">
        <v>166</v>
      </c>
      <c r="G148" s="193" t="s">
        <v>516</v>
      </c>
      <c r="H148" s="195">
        <v>0</v>
      </c>
      <c r="I148" s="195">
        <v>0</v>
      </c>
      <c r="J148" s="196"/>
      <c r="K148" s="195">
        <v>0</v>
      </c>
      <c r="L148" s="195">
        <v>0</v>
      </c>
      <c r="M148" s="195">
        <v>0</v>
      </c>
      <c r="N148" s="196"/>
      <c r="O148" s="195">
        <v>0</v>
      </c>
      <c r="P148" s="195">
        <v>0</v>
      </c>
      <c r="Q148" s="195">
        <v>0</v>
      </c>
      <c r="R148" s="196"/>
      <c r="S148" s="195">
        <v>0</v>
      </c>
      <c r="T148" s="195">
        <v>0</v>
      </c>
      <c r="U148" s="195">
        <v>0</v>
      </c>
      <c r="V148" s="185"/>
    </row>
    <row r="149" spans="1:22" x14ac:dyDescent="0.25">
      <c r="A149" s="192">
        <v>2021</v>
      </c>
      <c r="B149" s="192" t="s">
        <v>827</v>
      </c>
      <c r="C149" s="193" t="s">
        <v>167</v>
      </c>
      <c r="D149" s="194" t="s">
        <v>821</v>
      </c>
      <c r="E149" s="194" t="s">
        <v>821</v>
      </c>
      <c r="F149" s="194" t="s">
        <v>167</v>
      </c>
      <c r="G149" s="193" t="s">
        <v>517</v>
      </c>
      <c r="H149" s="195">
        <v>0</v>
      </c>
      <c r="I149" s="195">
        <v>5</v>
      </c>
      <c r="J149" s="196"/>
      <c r="K149" s="195">
        <v>5376445.5</v>
      </c>
      <c r="L149" s="195">
        <v>0</v>
      </c>
      <c r="M149" s="195">
        <v>5376445.5</v>
      </c>
      <c r="N149" s="196"/>
      <c r="O149" s="195">
        <v>2371359.5</v>
      </c>
      <c r="P149" s="195">
        <v>0</v>
      </c>
      <c r="Q149" s="195">
        <v>2371359.5</v>
      </c>
      <c r="R149" s="196"/>
      <c r="S149" s="195">
        <v>7747805</v>
      </c>
      <c r="T149" s="195">
        <v>0</v>
      </c>
      <c r="U149" s="195">
        <v>7747805</v>
      </c>
      <c r="V149" s="185"/>
    </row>
    <row r="150" spans="1:22" x14ac:dyDescent="0.25">
      <c r="A150" s="192">
        <v>2021</v>
      </c>
      <c r="B150" s="192" t="s">
        <v>822</v>
      </c>
      <c r="C150" s="193" t="s">
        <v>168</v>
      </c>
      <c r="D150" s="194" t="s">
        <v>821</v>
      </c>
      <c r="E150" s="194" t="s">
        <v>821</v>
      </c>
      <c r="F150" s="194" t="s">
        <v>168</v>
      </c>
      <c r="G150" s="193" t="s">
        <v>518</v>
      </c>
      <c r="H150" s="195">
        <v>0</v>
      </c>
      <c r="I150" s="195">
        <v>8</v>
      </c>
      <c r="J150" s="196"/>
      <c r="K150" s="195">
        <v>360760.5</v>
      </c>
      <c r="L150" s="195">
        <v>0</v>
      </c>
      <c r="M150" s="195">
        <v>360760.5</v>
      </c>
      <c r="N150" s="196"/>
      <c r="O150" s="195">
        <v>140801.5</v>
      </c>
      <c r="P150" s="195">
        <v>0</v>
      </c>
      <c r="Q150" s="195">
        <v>140801.5</v>
      </c>
      <c r="R150" s="196"/>
      <c r="S150" s="195">
        <v>501562</v>
      </c>
      <c r="T150" s="195">
        <v>0</v>
      </c>
      <c r="U150" s="195">
        <v>501562</v>
      </c>
      <c r="V150" s="185"/>
    </row>
    <row r="151" spans="1:22" x14ac:dyDescent="0.25">
      <c r="A151" s="192">
        <v>2021</v>
      </c>
      <c r="B151" s="192" t="s">
        <v>827</v>
      </c>
      <c r="C151" s="193" t="s">
        <v>169</v>
      </c>
      <c r="D151" s="194" t="s">
        <v>821</v>
      </c>
      <c r="E151" s="194" t="s">
        <v>821</v>
      </c>
      <c r="F151" s="194" t="s">
        <v>169</v>
      </c>
      <c r="G151" s="193" t="s">
        <v>519</v>
      </c>
      <c r="H151" s="195">
        <v>6</v>
      </c>
      <c r="I151" s="195">
        <v>6</v>
      </c>
      <c r="J151" s="196"/>
      <c r="K151" s="195">
        <v>299668.5</v>
      </c>
      <c r="L151" s="195">
        <v>149834.25</v>
      </c>
      <c r="M151" s="195">
        <v>149834.25</v>
      </c>
      <c r="N151" s="196"/>
      <c r="O151" s="195">
        <v>103877.5</v>
      </c>
      <c r="P151" s="195">
        <v>51938.75</v>
      </c>
      <c r="Q151" s="195">
        <v>51938.75</v>
      </c>
      <c r="R151" s="196"/>
      <c r="S151" s="195">
        <v>403546</v>
      </c>
      <c r="T151" s="195">
        <v>201773</v>
      </c>
      <c r="U151" s="195">
        <v>201773</v>
      </c>
      <c r="V151" s="185"/>
    </row>
    <row r="152" spans="1:22" x14ac:dyDescent="0.25">
      <c r="A152" s="192">
        <v>2021</v>
      </c>
      <c r="B152" s="192" t="s">
        <v>822</v>
      </c>
      <c r="C152" s="193" t="s">
        <v>171</v>
      </c>
      <c r="D152" s="194" t="s">
        <v>821</v>
      </c>
      <c r="E152" s="194" t="s">
        <v>821</v>
      </c>
      <c r="F152" s="194" t="s">
        <v>171</v>
      </c>
      <c r="G152" s="193" t="s">
        <v>521</v>
      </c>
      <c r="H152" s="195">
        <v>0</v>
      </c>
      <c r="I152" s="195">
        <v>7</v>
      </c>
      <c r="J152" s="196"/>
      <c r="K152" s="195">
        <v>164395.5</v>
      </c>
      <c r="L152" s="195">
        <v>0</v>
      </c>
      <c r="M152" s="195">
        <v>164395.5</v>
      </c>
      <c r="N152" s="196"/>
      <c r="O152" s="195">
        <v>60925.5</v>
      </c>
      <c r="P152" s="195">
        <v>0</v>
      </c>
      <c r="Q152" s="195">
        <v>60925.5</v>
      </c>
      <c r="R152" s="196"/>
      <c r="S152" s="195">
        <v>225321</v>
      </c>
      <c r="T152" s="195">
        <v>0</v>
      </c>
      <c r="U152" s="195">
        <v>225321</v>
      </c>
      <c r="V152" s="185"/>
    </row>
    <row r="153" spans="1:22" x14ac:dyDescent="0.25">
      <c r="A153" s="192">
        <v>2021</v>
      </c>
      <c r="B153" s="192" t="s">
        <v>822</v>
      </c>
      <c r="C153" s="193" t="s">
        <v>173</v>
      </c>
      <c r="D153" s="194" t="s">
        <v>821</v>
      </c>
      <c r="E153" s="194" t="s">
        <v>821</v>
      </c>
      <c r="F153" s="194" t="s">
        <v>173</v>
      </c>
      <c r="G153" s="193" t="s">
        <v>523</v>
      </c>
      <c r="H153" s="195">
        <v>0</v>
      </c>
      <c r="I153" s="195">
        <v>0</v>
      </c>
      <c r="J153" s="196"/>
      <c r="K153" s="195">
        <v>0</v>
      </c>
      <c r="L153" s="195">
        <v>0</v>
      </c>
      <c r="M153" s="195">
        <v>0</v>
      </c>
      <c r="N153" s="196"/>
      <c r="O153" s="195">
        <v>0</v>
      </c>
      <c r="P153" s="195">
        <v>0</v>
      </c>
      <c r="Q153" s="195">
        <v>0</v>
      </c>
      <c r="R153" s="196"/>
      <c r="S153" s="195">
        <v>0</v>
      </c>
      <c r="T153" s="195">
        <v>0</v>
      </c>
      <c r="U153" s="195">
        <v>0</v>
      </c>
      <c r="V153" s="185"/>
    </row>
    <row r="154" spans="1:22" x14ac:dyDescent="0.25">
      <c r="A154" s="192">
        <v>2021</v>
      </c>
      <c r="B154" s="192" t="s">
        <v>820</v>
      </c>
      <c r="C154" s="193" t="s">
        <v>174</v>
      </c>
      <c r="D154" s="194" t="s">
        <v>821</v>
      </c>
      <c r="E154" s="194" t="s">
        <v>821</v>
      </c>
      <c r="F154" s="194" t="s">
        <v>174</v>
      </c>
      <c r="G154" s="193" t="s">
        <v>524</v>
      </c>
      <c r="H154" s="195">
        <v>0</v>
      </c>
      <c r="I154" s="195">
        <v>0</v>
      </c>
      <c r="J154" s="196"/>
      <c r="K154" s="195">
        <v>0</v>
      </c>
      <c r="L154" s="195">
        <v>0</v>
      </c>
      <c r="M154" s="195">
        <v>0</v>
      </c>
      <c r="N154" s="196"/>
      <c r="O154" s="195">
        <v>0</v>
      </c>
      <c r="P154" s="195">
        <v>0</v>
      </c>
      <c r="Q154" s="195">
        <v>0</v>
      </c>
      <c r="R154" s="196"/>
      <c r="S154" s="195">
        <v>0</v>
      </c>
      <c r="T154" s="195">
        <v>0</v>
      </c>
      <c r="U154" s="195">
        <v>0</v>
      </c>
      <c r="V154" s="185"/>
    </row>
    <row r="155" spans="1:22" x14ac:dyDescent="0.25">
      <c r="A155" s="192">
        <v>2021</v>
      </c>
      <c r="B155" s="192" t="s">
        <v>826</v>
      </c>
      <c r="C155" s="193" t="s">
        <v>175</v>
      </c>
      <c r="D155" s="194" t="s">
        <v>821</v>
      </c>
      <c r="E155" s="194" t="s">
        <v>821</v>
      </c>
      <c r="F155" s="194" t="s">
        <v>175</v>
      </c>
      <c r="G155" s="193" t="s">
        <v>525</v>
      </c>
      <c r="H155" s="195">
        <v>0</v>
      </c>
      <c r="I155" s="195">
        <v>0</v>
      </c>
      <c r="J155" s="196"/>
      <c r="K155" s="195">
        <v>0</v>
      </c>
      <c r="L155" s="195">
        <v>0</v>
      </c>
      <c r="M155" s="195">
        <v>0</v>
      </c>
      <c r="N155" s="196"/>
      <c r="O155" s="195">
        <v>0</v>
      </c>
      <c r="P155" s="195">
        <v>0</v>
      </c>
      <c r="Q155" s="195">
        <v>0</v>
      </c>
      <c r="R155" s="196"/>
      <c r="S155" s="195">
        <v>0</v>
      </c>
      <c r="T155" s="195">
        <v>0</v>
      </c>
      <c r="U155" s="195">
        <v>0</v>
      </c>
      <c r="V155" s="185"/>
    </row>
    <row r="156" spans="1:22" x14ac:dyDescent="0.25">
      <c r="A156" s="192">
        <v>2021</v>
      </c>
      <c r="B156" s="192" t="s">
        <v>826</v>
      </c>
      <c r="C156" s="193" t="s">
        <v>176</v>
      </c>
      <c r="D156" s="194" t="s">
        <v>821</v>
      </c>
      <c r="E156" s="194" t="s">
        <v>821</v>
      </c>
      <c r="F156" s="194" t="s">
        <v>176</v>
      </c>
      <c r="G156" s="193" t="s">
        <v>526</v>
      </c>
      <c r="H156" s="195">
        <v>0</v>
      </c>
      <c r="I156" s="195">
        <v>1</v>
      </c>
      <c r="J156" s="196"/>
      <c r="K156" s="195">
        <v>14309.25</v>
      </c>
      <c r="L156" s="195">
        <v>0</v>
      </c>
      <c r="M156" s="195">
        <v>14309.25</v>
      </c>
      <c r="N156" s="196"/>
      <c r="O156" s="195">
        <v>5845.75</v>
      </c>
      <c r="P156" s="195">
        <v>0</v>
      </c>
      <c r="Q156" s="195">
        <v>5845.75</v>
      </c>
      <c r="R156" s="196"/>
      <c r="S156" s="195">
        <v>20155</v>
      </c>
      <c r="T156" s="195">
        <v>0</v>
      </c>
      <c r="U156" s="195">
        <v>20155</v>
      </c>
      <c r="V156" s="185"/>
    </row>
    <row r="157" spans="1:22" x14ac:dyDescent="0.25">
      <c r="A157" s="192">
        <v>2021</v>
      </c>
      <c r="B157" s="192" t="s">
        <v>824</v>
      </c>
      <c r="C157" s="193" t="s">
        <v>177</v>
      </c>
      <c r="D157" s="194" t="s">
        <v>821</v>
      </c>
      <c r="E157" s="194" t="s">
        <v>821</v>
      </c>
      <c r="F157" s="194" t="s">
        <v>177</v>
      </c>
      <c r="G157" s="193" t="s">
        <v>527</v>
      </c>
      <c r="H157" s="195">
        <v>3</v>
      </c>
      <c r="I157" s="195">
        <v>1</v>
      </c>
      <c r="J157" s="196"/>
      <c r="K157" s="195">
        <v>79053.75</v>
      </c>
      <c r="L157" s="195">
        <v>59290.31</v>
      </c>
      <c r="M157" s="195">
        <v>19763.440000000002</v>
      </c>
      <c r="N157" s="196"/>
      <c r="O157" s="195">
        <v>30429.25</v>
      </c>
      <c r="P157" s="195">
        <v>22821.94</v>
      </c>
      <c r="Q157" s="195">
        <v>7607.3100000000013</v>
      </c>
      <c r="R157" s="196"/>
      <c r="S157" s="195">
        <v>109483</v>
      </c>
      <c r="T157" s="195">
        <v>82112.25</v>
      </c>
      <c r="U157" s="195">
        <v>27370.750000000004</v>
      </c>
      <c r="V157" s="185"/>
    </row>
    <row r="158" spans="1:22" x14ac:dyDescent="0.25">
      <c r="A158" s="192">
        <v>2021</v>
      </c>
      <c r="B158" s="192" t="s">
        <v>820</v>
      </c>
      <c r="C158" s="193" t="s">
        <v>178</v>
      </c>
      <c r="D158" s="194" t="s">
        <v>821</v>
      </c>
      <c r="E158" s="194" t="s">
        <v>821</v>
      </c>
      <c r="F158" s="194" t="s">
        <v>178</v>
      </c>
      <c r="G158" s="193" t="s">
        <v>528</v>
      </c>
      <c r="H158" s="195">
        <v>0</v>
      </c>
      <c r="I158" s="195">
        <v>7</v>
      </c>
      <c r="J158" s="196"/>
      <c r="K158" s="195">
        <v>545867.25</v>
      </c>
      <c r="L158" s="195">
        <v>0</v>
      </c>
      <c r="M158" s="195">
        <v>545867.25</v>
      </c>
      <c r="N158" s="196"/>
      <c r="O158" s="195">
        <v>200642.75</v>
      </c>
      <c r="P158" s="195">
        <v>0</v>
      </c>
      <c r="Q158" s="195">
        <v>200642.75</v>
      </c>
      <c r="R158" s="196"/>
      <c r="S158" s="195">
        <v>746510</v>
      </c>
      <c r="T158" s="195">
        <v>0</v>
      </c>
      <c r="U158" s="195">
        <v>746510</v>
      </c>
      <c r="V158" s="185"/>
    </row>
    <row r="159" spans="1:22" x14ac:dyDescent="0.25">
      <c r="A159" s="192">
        <v>2021</v>
      </c>
      <c r="B159" s="192" t="s">
        <v>822</v>
      </c>
      <c r="C159" s="193" t="s">
        <v>179</v>
      </c>
      <c r="D159" s="194" t="s">
        <v>821</v>
      </c>
      <c r="E159" s="194" t="s">
        <v>821</v>
      </c>
      <c r="F159" s="194" t="s">
        <v>179</v>
      </c>
      <c r="G159" s="193" t="s">
        <v>529</v>
      </c>
      <c r="H159" s="195">
        <v>0</v>
      </c>
      <c r="I159" s="195">
        <v>10</v>
      </c>
      <c r="J159" s="196"/>
      <c r="K159" s="195">
        <v>223488</v>
      </c>
      <c r="L159" s="195">
        <v>0</v>
      </c>
      <c r="M159" s="195">
        <v>223488</v>
      </c>
      <c r="N159" s="196"/>
      <c r="O159" s="195">
        <v>83296</v>
      </c>
      <c r="P159" s="195">
        <v>0</v>
      </c>
      <c r="Q159" s="195">
        <v>83296</v>
      </c>
      <c r="R159" s="196"/>
      <c r="S159" s="195">
        <v>306784</v>
      </c>
      <c r="T159" s="195">
        <v>0</v>
      </c>
      <c r="U159" s="195">
        <v>306784</v>
      </c>
      <c r="V159" s="185"/>
    </row>
    <row r="160" spans="1:22" x14ac:dyDescent="0.25">
      <c r="A160" s="192">
        <v>2021</v>
      </c>
      <c r="B160" s="192" t="s">
        <v>823</v>
      </c>
      <c r="C160" s="193" t="s">
        <v>180</v>
      </c>
      <c r="D160" s="194" t="s">
        <v>821</v>
      </c>
      <c r="E160" s="194" t="s">
        <v>821</v>
      </c>
      <c r="F160" s="194" t="s">
        <v>180</v>
      </c>
      <c r="G160" s="193" t="s">
        <v>530</v>
      </c>
      <c r="H160" s="195">
        <v>0</v>
      </c>
      <c r="I160" s="195">
        <v>6</v>
      </c>
      <c r="J160" s="196"/>
      <c r="K160" s="195">
        <v>51126</v>
      </c>
      <c r="L160" s="195">
        <v>0</v>
      </c>
      <c r="M160" s="195">
        <v>51126</v>
      </c>
      <c r="N160" s="196"/>
      <c r="O160" s="195">
        <v>20341</v>
      </c>
      <c r="P160" s="195">
        <v>0</v>
      </c>
      <c r="Q160" s="195">
        <v>20341</v>
      </c>
      <c r="R160" s="196"/>
      <c r="S160" s="195">
        <v>71467</v>
      </c>
      <c r="T160" s="195">
        <v>0</v>
      </c>
      <c r="U160" s="195">
        <v>71467</v>
      </c>
      <c r="V160" s="185"/>
    </row>
    <row r="161" spans="1:22" x14ac:dyDescent="0.25">
      <c r="A161" s="192">
        <v>2021</v>
      </c>
      <c r="B161" s="192" t="s">
        <v>825</v>
      </c>
      <c r="C161" s="193" t="s">
        <v>181</v>
      </c>
      <c r="D161" s="194" t="s">
        <v>821</v>
      </c>
      <c r="E161" s="194" t="s">
        <v>821</v>
      </c>
      <c r="F161" s="194" t="s">
        <v>181</v>
      </c>
      <c r="G161" s="193" t="s">
        <v>531</v>
      </c>
      <c r="H161" s="195">
        <v>4</v>
      </c>
      <c r="I161" s="195">
        <v>4</v>
      </c>
      <c r="J161" s="196"/>
      <c r="K161" s="195">
        <v>88146.75</v>
      </c>
      <c r="L161" s="195">
        <v>44073.38</v>
      </c>
      <c r="M161" s="195">
        <v>44073.37</v>
      </c>
      <c r="N161" s="196"/>
      <c r="O161" s="195">
        <v>32163.25</v>
      </c>
      <c r="P161" s="195">
        <v>16081.63</v>
      </c>
      <c r="Q161" s="195">
        <v>16081.62</v>
      </c>
      <c r="R161" s="196"/>
      <c r="S161" s="195">
        <v>120310</v>
      </c>
      <c r="T161" s="195">
        <v>60155.009999999995</v>
      </c>
      <c r="U161" s="195">
        <v>60154.990000000005</v>
      </c>
      <c r="V161" s="185"/>
    </row>
    <row r="162" spans="1:22" x14ac:dyDescent="0.25">
      <c r="A162" s="192">
        <v>2021</v>
      </c>
      <c r="B162" s="192" t="s">
        <v>824</v>
      </c>
      <c r="C162" s="193" t="s">
        <v>182</v>
      </c>
      <c r="D162" s="194" t="s">
        <v>821</v>
      </c>
      <c r="E162" s="194" t="s">
        <v>821</v>
      </c>
      <c r="F162" s="194" t="s">
        <v>182</v>
      </c>
      <c r="G162" s="193" t="s">
        <v>532</v>
      </c>
      <c r="H162" s="195">
        <v>0</v>
      </c>
      <c r="I162" s="195">
        <v>7</v>
      </c>
      <c r="J162" s="196"/>
      <c r="K162" s="195">
        <v>202554.75</v>
      </c>
      <c r="L162" s="195">
        <v>0</v>
      </c>
      <c r="M162" s="195">
        <v>202554.75</v>
      </c>
      <c r="N162" s="196"/>
      <c r="O162" s="195">
        <v>90899.25</v>
      </c>
      <c r="P162" s="195">
        <v>0</v>
      </c>
      <c r="Q162" s="195">
        <v>90899.25</v>
      </c>
      <c r="R162" s="196"/>
      <c r="S162" s="195">
        <v>293454</v>
      </c>
      <c r="T162" s="195">
        <v>0</v>
      </c>
      <c r="U162" s="195">
        <v>293454</v>
      </c>
      <c r="V162" s="185"/>
    </row>
    <row r="163" spans="1:22" x14ac:dyDescent="0.25">
      <c r="A163" s="192">
        <v>2021</v>
      </c>
      <c r="B163" s="192" t="s">
        <v>824</v>
      </c>
      <c r="C163" s="193" t="s">
        <v>184</v>
      </c>
      <c r="D163" s="194" t="s">
        <v>821</v>
      </c>
      <c r="E163" s="194" t="s">
        <v>821</v>
      </c>
      <c r="F163" s="194" t="s">
        <v>184</v>
      </c>
      <c r="G163" s="193" t="s">
        <v>534</v>
      </c>
      <c r="H163" s="195">
        <v>0</v>
      </c>
      <c r="I163" s="195">
        <v>0</v>
      </c>
      <c r="J163" s="196"/>
      <c r="K163" s="195">
        <v>0</v>
      </c>
      <c r="L163" s="195">
        <v>0</v>
      </c>
      <c r="M163" s="195">
        <v>0</v>
      </c>
      <c r="N163" s="196"/>
      <c r="O163" s="195">
        <v>0</v>
      </c>
      <c r="P163" s="195">
        <v>0</v>
      </c>
      <c r="Q163" s="195">
        <v>0</v>
      </c>
      <c r="R163" s="196"/>
      <c r="S163" s="195">
        <v>0</v>
      </c>
      <c r="T163" s="195">
        <v>0</v>
      </c>
      <c r="U163" s="195">
        <v>0</v>
      </c>
      <c r="V163" s="185"/>
    </row>
    <row r="164" spans="1:22" x14ac:dyDescent="0.25">
      <c r="A164" s="192">
        <v>2021</v>
      </c>
      <c r="B164" s="192" t="s">
        <v>823</v>
      </c>
      <c r="C164" s="193" t="s">
        <v>185</v>
      </c>
      <c r="D164" s="194" t="s">
        <v>821</v>
      </c>
      <c r="E164" s="194" t="s">
        <v>821</v>
      </c>
      <c r="F164" s="194" t="s">
        <v>185</v>
      </c>
      <c r="G164" s="193" t="s">
        <v>535</v>
      </c>
      <c r="H164" s="195">
        <v>1</v>
      </c>
      <c r="I164" s="195">
        <v>1</v>
      </c>
      <c r="J164" s="196"/>
      <c r="K164" s="195">
        <v>27629.25</v>
      </c>
      <c r="L164" s="195">
        <v>13814.63</v>
      </c>
      <c r="M164" s="195">
        <v>13814.62</v>
      </c>
      <c r="N164" s="196"/>
      <c r="O164" s="195">
        <v>9937.75</v>
      </c>
      <c r="P164" s="195">
        <v>4968.88</v>
      </c>
      <c r="Q164" s="195">
        <v>4968.87</v>
      </c>
      <c r="R164" s="196"/>
      <c r="S164" s="195">
        <v>37567</v>
      </c>
      <c r="T164" s="195">
        <v>18783.509999999998</v>
      </c>
      <c r="U164" s="195">
        <v>18783.490000000002</v>
      </c>
      <c r="V164" s="185"/>
    </row>
    <row r="165" spans="1:22" x14ac:dyDescent="0.25">
      <c r="A165" s="192">
        <v>2021</v>
      </c>
      <c r="B165" s="192" t="s">
        <v>823</v>
      </c>
      <c r="C165" s="193" t="s">
        <v>186</v>
      </c>
      <c r="D165" s="194" t="s">
        <v>821</v>
      </c>
      <c r="E165" s="194" t="s">
        <v>821</v>
      </c>
      <c r="F165" s="194" t="s">
        <v>186</v>
      </c>
      <c r="G165" s="193" t="s">
        <v>536</v>
      </c>
      <c r="H165" s="195">
        <v>0</v>
      </c>
      <c r="I165" s="195">
        <v>1</v>
      </c>
      <c r="J165" s="196"/>
      <c r="K165" s="195">
        <v>86645.25</v>
      </c>
      <c r="L165" s="195">
        <v>0</v>
      </c>
      <c r="M165" s="195">
        <v>86645.25</v>
      </c>
      <c r="N165" s="196"/>
      <c r="O165" s="195">
        <v>36423.75</v>
      </c>
      <c r="P165" s="195">
        <v>0</v>
      </c>
      <c r="Q165" s="195">
        <v>36423.75</v>
      </c>
      <c r="R165" s="196"/>
      <c r="S165" s="195">
        <v>123069</v>
      </c>
      <c r="T165" s="195">
        <v>0</v>
      </c>
      <c r="U165" s="195">
        <v>123069</v>
      </c>
      <c r="V165" s="185"/>
    </row>
    <row r="166" spans="1:22" x14ac:dyDescent="0.25">
      <c r="A166" s="192">
        <v>2021</v>
      </c>
      <c r="B166" s="192" t="s">
        <v>827</v>
      </c>
      <c r="C166" s="193" t="s">
        <v>188</v>
      </c>
      <c r="D166" s="194" t="s">
        <v>821</v>
      </c>
      <c r="E166" s="194" t="s">
        <v>821</v>
      </c>
      <c r="F166" s="194" t="s">
        <v>188</v>
      </c>
      <c r="G166" s="193" t="s">
        <v>538</v>
      </c>
      <c r="H166" s="195">
        <v>0</v>
      </c>
      <c r="I166" s="195">
        <v>0</v>
      </c>
      <c r="J166" s="196"/>
      <c r="K166" s="195">
        <v>0</v>
      </c>
      <c r="L166" s="195">
        <v>0</v>
      </c>
      <c r="M166" s="195">
        <v>0</v>
      </c>
      <c r="N166" s="196"/>
      <c r="O166" s="195">
        <v>0</v>
      </c>
      <c r="P166" s="195">
        <v>0</v>
      </c>
      <c r="Q166" s="195">
        <v>0</v>
      </c>
      <c r="R166" s="196"/>
      <c r="S166" s="195">
        <v>0</v>
      </c>
      <c r="T166" s="195">
        <v>0</v>
      </c>
      <c r="U166" s="195">
        <v>0</v>
      </c>
      <c r="V166" s="185"/>
    </row>
    <row r="167" spans="1:22" x14ac:dyDescent="0.25">
      <c r="A167" s="192">
        <v>2021</v>
      </c>
      <c r="B167" s="192" t="s">
        <v>827</v>
      </c>
      <c r="C167" s="193" t="s">
        <v>189</v>
      </c>
      <c r="D167" s="194" t="s">
        <v>821</v>
      </c>
      <c r="E167" s="194" t="s">
        <v>821</v>
      </c>
      <c r="F167" s="194" t="s">
        <v>189</v>
      </c>
      <c r="G167" s="193" t="s">
        <v>539</v>
      </c>
      <c r="H167" s="195">
        <v>0</v>
      </c>
      <c r="I167" s="195">
        <v>1</v>
      </c>
      <c r="J167" s="196"/>
      <c r="K167" s="195">
        <v>29459.25</v>
      </c>
      <c r="L167" s="195">
        <v>0</v>
      </c>
      <c r="M167" s="195">
        <v>29459.25</v>
      </c>
      <c r="N167" s="196"/>
      <c r="O167" s="195">
        <v>10457.75</v>
      </c>
      <c r="P167" s="195">
        <v>0</v>
      </c>
      <c r="Q167" s="195">
        <v>10457.75</v>
      </c>
      <c r="R167" s="196"/>
      <c r="S167" s="195">
        <v>39917</v>
      </c>
      <c r="T167" s="195">
        <v>0</v>
      </c>
      <c r="U167" s="195">
        <v>39917</v>
      </c>
      <c r="V167" s="185"/>
    </row>
    <row r="168" spans="1:22" x14ac:dyDescent="0.25">
      <c r="A168" s="192">
        <v>2021</v>
      </c>
      <c r="B168" s="192" t="s">
        <v>823</v>
      </c>
      <c r="C168" s="193" t="s">
        <v>190</v>
      </c>
      <c r="D168" s="194" t="s">
        <v>821</v>
      </c>
      <c r="E168" s="194" t="s">
        <v>821</v>
      </c>
      <c r="F168" s="194" t="s">
        <v>190</v>
      </c>
      <c r="G168" s="193" t="s">
        <v>540</v>
      </c>
      <c r="H168" s="195">
        <v>0</v>
      </c>
      <c r="I168" s="195">
        <v>7</v>
      </c>
      <c r="J168" s="196"/>
      <c r="K168" s="195">
        <v>126740.25</v>
      </c>
      <c r="L168" s="195">
        <v>0</v>
      </c>
      <c r="M168" s="195">
        <v>126740.25</v>
      </c>
      <c r="N168" s="196"/>
      <c r="O168" s="195">
        <v>47082.75</v>
      </c>
      <c r="P168" s="195">
        <v>0</v>
      </c>
      <c r="Q168" s="195">
        <v>47082.75</v>
      </c>
      <c r="R168" s="196"/>
      <c r="S168" s="195">
        <v>173823</v>
      </c>
      <c r="T168" s="195">
        <v>0</v>
      </c>
      <c r="U168" s="195">
        <v>173823</v>
      </c>
      <c r="V168" s="185"/>
    </row>
    <row r="169" spans="1:22" x14ac:dyDescent="0.25">
      <c r="A169" s="192">
        <v>2021</v>
      </c>
      <c r="B169" s="192" t="s">
        <v>827</v>
      </c>
      <c r="C169" s="193" t="s">
        <v>191</v>
      </c>
      <c r="D169" s="194" t="s">
        <v>821</v>
      </c>
      <c r="E169" s="194" t="s">
        <v>821</v>
      </c>
      <c r="F169" s="194" t="s">
        <v>191</v>
      </c>
      <c r="G169" s="193" t="s">
        <v>541</v>
      </c>
      <c r="H169" s="195">
        <v>0</v>
      </c>
      <c r="I169" s="195">
        <v>6</v>
      </c>
      <c r="J169" s="196"/>
      <c r="K169" s="195">
        <v>100948.5</v>
      </c>
      <c r="L169" s="195">
        <v>0</v>
      </c>
      <c r="M169" s="195">
        <v>100948.5</v>
      </c>
      <c r="N169" s="196"/>
      <c r="O169" s="195">
        <v>37534.5</v>
      </c>
      <c r="P169" s="195">
        <v>0</v>
      </c>
      <c r="Q169" s="195">
        <v>37534.5</v>
      </c>
      <c r="R169" s="196"/>
      <c r="S169" s="195">
        <v>138483</v>
      </c>
      <c r="T169" s="195">
        <v>0</v>
      </c>
      <c r="U169" s="195">
        <v>138483</v>
      </c>
      <c r="V169" s="185"/>
    </row>
    <row r="170" spans="1:22" x14ac:dyDescent="0.25">
      <c r="A170" s="192">
        <v>2021</v>
      </c>
      <c r="B170" s="192" t="s">
        <v>830</v>
      </c>
      <c r="C170" s="193" t="s">
        <v>192</v>
      </c>
      <c r="D170" s="194" t="s">
        <v>821</v>
      </c>
      <c r="E170" s="194" t="s">
        <v>821</v>
      </c>
      <c r="F170" s="194" t="s">
        <v>192</v>
      </c>
      <c r="G170" s="193" t="s">
        <v>542</v>
      </c>
      <c r="H170" s="195">
        <v>0</v>
      </c>
      <c r="I170" s="195">
        <v>9</v>
      </c>
      <c r="J170" s="196"/>
      <c r="K170" s="195">
        <v>289065.75</v>
      </c>
      <c r="L170" s="195">
        <v>0</v>
      </c>
      <c r="M170" s="195">
        <v>289065.75</v>
      </c>
      <c r="N170" s="196"/>
      <c r="O170" s="195">
        <v>102890.25</v>
      </c>
      <c r="P170" s="195">
        <v>0</v>
      </c>
      <c r="Q170" s="195">
        <v>102890.25</v>
      </c>
      <c r="R170" s="196"/>
      <c r="S170" s="195">
        <v>391956</v>
      </c>
      <c r="T170" s="195">
        <v>0</v>
      </c>
      <c r="U170" s="195">
        <v>391956</v>
      </c>
      <c r="V170" s="185"/>
    </row>
    <row r="171" spans="1:22" x14ac:dyDescent="0.25">
      <c r="A171" s="192">
        <v>2021</v>
      </c>
      <c r="B171" s="192" t="s">
        <v>825</v>
      </c>
      <c r="C171" s="193" t="s">
        <v>193</v>
      </c>
      <c r="D171" s="194" t="s">
        <v>821</v>
      </c>
      <c r="E171" s="194" t="s">
        <v>821</v>
      </c>
      <c r="F171" s="194" t="s">
        <v>193</v>
      </c>
      <c r="G171" s="193" t="s">
        <v>543</v>
      </c>
      <c r="H171" s="195">
        <v>0</v>
      </c>
      <c r="I171" s="195">
        <v>13</v>
      </c>
      <c r="J171" s="196"/>
      <c r="K171" s="195">
        <v>110341.5</v>
      </c>
      <c r="L171" s="195">
        <v>0</v>
      </c>
      <c r="M171" s="195">
        <v>110341.5</v>
      </c>
      <c r="N171" s="196"/>
      <c r="O171" s="195">
        <v>44773.5</v>
      </c>
      <c r="P171" s="195">
        <v>0</v>
      </c>
      <c r="Q171" s="195">
        <v>44773.5</v>
      </c>
      <c r="R171" s="196"/>
      <c r="S171" s="195">
        <v>155115</v>
      </c>
      <c r="T171" s="195">
        <v>0</v>
      </c>
      <c r="U171" s="195">
        <v>155115</v>
      </c>
      <c r="V171" s="185"/>
    </row>
    <row r="172" spans="1:22" x14ac:dyDescent="0.25">
      <c r="A172" s="192">
        <v>2021</v>
      </c>
      <c r="B172" s="192" t="s">
        <v>820</v>
      </c>
      <c r="C172" s="193" t="s">
        <v>194</v>
      </c>
      <c r="D172" s="194" t="s">
        <v>821</v>
      </c>
      <c r="E172" s="194" t="s">
        <v>821</v>
      </c>
      <c r="F172" s="194" t="s">
        <v>194</v>
      </c>
      <c r="G172" s="193" t="s">
        <v>544</v>
      </c>
      <c r="H172" s="195">
        <v>0</v>
      </c>
      <c r="I172" s="195">
        <v>6</v>
      </c>
      <c r="J172" s="196"/>
      <c r="K172" s="195">
        <v>155205.75</v>
      </c>
      <c r="L172" s="195">
        <v>0</v>
      </c>
      <c r="M172" s="195">
        <v>155205.75</v>
      </c>
      <c r="N172" s="196"/>
      <c r="O172" s="195">
        <v>100225.25</v>
      </c>
      <c r="P172" s="195">
        <v>0</v>
      </c>
      <c r="Q172" s="195">
        <v>100225.25</v>
      </c>
      <c r="R172" s="196"/>
      <c r="S172" s="195">
        <v>255431</v>
      </c>
      <c r="T172" s="195">
        <v>0</v>
      </c>
      <c r="U172" s="195">
        <v>255431</v>
      </c>
      <c r="V172" s="185"/>
    </row>
    <row r="173" spans="1:22" x14ac:dyDescent="0.25">
      <c r="A173" s="192">
        <v>2021</v>
      </c>
      <c r="B173" s="192" t="s">
        <v>820</v>
      </c>
      <c r="C173" s="193" t="s">
        <v>195</v>
      </c>
      <c r="D173" s="194" t="s">
        <v>821</v>
      </c>
      <c r="E173" s="194" t="s">
        <v>821</v>
      </c>
      <c r="F173" s="194" t="s">
        <v>195</v>
      </c>
      <c r="G173" s="193" t="s">
        <v>545</v>
      </c>
      <c r="H173" s="195">
        <v>0</v>
      </c>
      <c r="I173" s="195">
        <v>6</v>
      </c>
      <c r="J173" s="196"/>
      <c r="K173" s="195">
        <v>195157.5</v>
      </c>
      <c r="L173" s="195">
        <v>0</v>
      </c>
      <c r="M173" s="195">
        <v>195157.5</v>
      </c>
      <c r="N173" s="196"/>
      <c r="O173" s="195">
        <v>70722.5</v>
      </c>
      <c r="P173" s="195">
        <v>0</v>
      </c>
      <c r="Q173" s="195">
        <v>70722.5</v>
      </c>
      <c r="R173" s="196"/>
      <c r="S173" s="195">
        <v>265880</v>
      </c>
      <c r="T173" s="195">
        <v>0</v>
      </c>
      <c r="U173" s="195">
        <v>265880</v>
      </c>
      <c r="V173" s="185"/>
    </row>
    <row r="174" spans="1:22" x14ac:dyDescent="0.25">
      <c r="A174" s="192">
        <v>2021</v>
      </c>
      <c r="B174" s="192" t="s">
        <v>825</v>
      </c>
      <c r="C174" s="193" t="s">
        <v>197</v>
      </c>
      <c r="D174" s="194" t="s">
        <v>821</v>
      </c>
      <c r="E174" s="194" t="s">
        <v>821</v>
      </c>
      <c r="F174" s="194" t="s">
        <v>197</v>
      </c>
      <c r="G174" s="193" t="s">
        <v>547</v>
      </c>
      <c r="H174" s="195">
        <v>0</v>
      </c>
      <c r="I174" s="195">
        <v>7</v>
      </c>
      <c r="J174" s="196"/>
      <c r="K174" s="195">
        <v>312382.5</v>
      </c>
      <c r="L174" s="195">
        <v>0</v>
      </c>
      <c r="M174" s="195">
        <v>312382.5</v>
      </c>
      <c r="N174" s="196"/>
      <c r="O174" s="195">
        <v>117815.5</v>
      </c>
      <c r="P174" s="195">
        <v>0</v>
      </c>
      <c r="Q174" s="195">
        <v>117815.5</v>
      </c>
      <c r="R174" s="196"/>
      <c r="S174" s="195">
        <v>430198</v>
      </c>
      <c r="T174" s="195">
        <v>0</v>
      </c>
      <c r="U174" s="195">
        <v>430198</v>
      </c>
      <c r="V174" s="185"/>
    </row>
    <row r="175" spans="1:22" x14ac:dyDescent="0.25">
      <c r="A175" s="192">
        <v>2021</v>
      </c>
      <c r="B175" s="192" t="s">
        <v>824</v>
      </c>
      <c r="C175" s="193" t="s">
        <v>198</v>
      </c>
      <c r="D175" s="194" t="s">
        <v>835</v>
      </c>
      <c r="E175" s="194" t="s">
        <v>821</v>
      </c>
      <c r="F175" s="194" t="s">
        <v>198</v>
      </c>
      <c r="G175" s="193" t="s">
        <v>548</v>
      </c>
      <c r="H175" s="195">
        <v>0</v>
      </c>
      <c r="I175" s="195">
        <v>4</v>
      </c>
      <c r="J175" s="196"/>
      <c r="K175" s="195">
        <v>110871</v>
      </c>
      <c r="L175" s="195">
        <v>0</v>
      </c>
      <c r="M175" s="195">
        <v>110871</v>
      </c>
      <c r="N175" s="196"/>
      <c r="O175" s="195">
        <v>40230</v>
      </c>
      <c r="P175" s="195">
        <v>0</v>
      </c>
      <c r="Q175" s="195">
        <v>40230</v>
      </c>
      <c r="R175" s="196"/>
      <c r="S175" s="195">
        <v>151101</v>
      </c>
      <c r="T175" s="195">
        <v>0</v>
      </c>
      <c r="U175" s="195">
        <v>151101</v>
      </c>
      <c r="V175" s="185"/>
    </row>
    <row r="176" spans="1:22" x14ac:dyDescent="0.25">
      <c r="A176" s="192">
        <v>2021</v>
      </c>
      <c r="B176" s="192" t="s">
        <v>830</v>
      </c>
      <c r="C176" s="193" t="s">
        <v>199</v>
      </c>
      <c r="D176" s="194" t="s">
        <v>821</v>
      </c>
      <c r="E176" s="194" t="s">
        <v>821</v>
      </c>
      <c r="F176" s="194" t="s">
        <v>199</v>
      </c>
      <c r="G176" s="193" t="s">
        <v>549</v>
      </c>
      <c r="H176" s="195">
        <v>0</v>
      </c>
      <c r="I176" s="195">
        <v>9</v>
      </c>
      <c r="J176" s="196"/>
      <c r="K176" s="195">
        <v>489944.25</v>
      </c>
      <c r="L176" s="195">
        <v>0</v>
      </c>
      <c r="M176" s="195">
        <v>489944.25</v>
      </c>
      <c r="N176" s="196"/>
      <c r="O176" s="195">
        <v>174151.75</v>
      </c>
      <c r="P176" s="195">
        <v>0</v>
      </c>
      <c r="Q176" s="195">
        <v>174151.75</v>
      </c>
      <c r="R176" s="196"/>
      <c r="S176" s="195">
        <v>664096</v>
      </c>
      <c r="T176" s="195">
        <v>0</v>
      </c>
      <c r="U176" s="195">
        <v>664096</v>
      </c>
      <c r="V176" s="185"/>
    </row>
    <row r="177" spans="1:22" x14ac:dyDescent="0.25">
      <c r="A177" s="192">
        <v>2021</v>
      </c>
      <c r="B177" s="192" t="s">
        <v>829</v>
      </c>
      <c r="C177" s="193" t="s">
        <v>200</v>
      </c>
      <c r="D177" s="194" t="s">
        <v>821</v>
      </c>
      <c r="E177" s="194" t="s">
        <v>821</v>
      </c>
      <c r="F177" s="194" t="s">
        <v>200</v>
      </c>
      <c r="G177" s="193" t="s">
        <v>550</v>
      </c>
      <c r="H177" s="195">
        <v>0</v>
      </c>
      <c r="I177" s="195">
        <v>0</v>
      </c>
      <c r="J177" s="196"/>
      <c r="K177" s="195">
        <v>0</v>
      </c>
      <c r="L177" s="195">
        <v>0</v>
      </c>
      <c r="M177" s="195">
        <v>0</v>
      </c>
      <c r="N177" s="196"/>
      <c r="O177" s="195">
        <v>0</v>
      </c>
      <c r="P177" s="195">
        <v>0</v>
      </c>
      <c r="Q177" s="195">
        <v>0</v>
      </c>
      <c r="R177" s="196"/>
      <c r="S177" s="195">
        <v>0</v>
      </c>
      <c r="T177" s="195">
        <v>0</v>
      </c>
      <c r="U177" s="195">
        <v>0</v>
      </c>
      <c r="V177" s="185"/>
    </row>
    <row r="178" spans="1:22" x14ac:dyDescent="0.25">
      <c r="A178" s="192">
        <v>2021</v>
      </c>
      <c r="B178" s="192" t="s">
        <v>824</v>
      </c>
      <c r="C178" s="193" t="s">
        <v>201</v>
      </c>
      <c r="D178" s="194" t="s">
        <v>821</v>
      </c>
      <c r="E178" s="194" t="s">
        <v>821</v>
      </c>
      <c r="F178" s="194" t="s">
        <v>201</v>
      </c>
      <c r="G178" s="193" t="s">
        <v>551</v>
      </c>
      <c r="H178" s="195">
        <v>0</v>
      </c>
      <c r="I178" s="195">
        <v>8</v>
      </c>
      <c r="J178" s="196"/>
      <c r="K178" s="195">
        <v>180764.25</v>
      </c>
      <c r="L178" s="195">
        <v>0</v>
      </c>
      <c r="M178" s="195">
        <v>180764.25</v>
      </c>
      <c r="N178" s="196"/>
      <c r="O178" s="195">
        <v>66304.75</v>
      </c>
      <c r="P178" s="195">
        <v>0</v>
      </c>
      <c r="Q178" s="195">
        <v>66304.75</v>
      </c>
      <c r="R178" s="196"/>
      <c r="S178" s="195">
        <v>247069</v>
      </c>
      <c r="T178" s="195">
        <v>0</v>
      </c>
      <c r="U178" s="195">
        <v>247069</v>
      </c>
      <c r="V178" s="185"/>
    </row>
    <row r="179" spans="1:22" x14ac:dyDescent="0.25">
      <c r="A179" s="192">
        <v>2021</v>
      </c>
      <c r="B179" s="192" t="s">
        <v>827</v>
      </c>
      <c r="C179" s="193" t="s">
        <v>202</v>
      </c>
      <c r="D179" s="194" t="s">
        <v>821</v>
      </c>
      <c r="E179" s="194" t="s">
        <v>821</v>
      </c>
      <c r="F179" s="194" t="s">
        <v>202</v>
      </c>
      <c r="G179" s="193" t="s">
        <v>552</v>
      </c>
      <c r="H179" s="195">
        <v>2</v>
      </c>
      <c r="I179" s="195">
        <v>2</v>
      </c>
      <c r="J179" s="196"/>
      <c r="K179" s="195">
        <v>418875.75</v>
      </c>
      <c r="L179" s="195">
        <v>209437.88</v>
      </c>
      <c r="M179" s="195">
        <v>209437.87</v>
      </c>
      <c r="N179" s="196"/>
      <c r="O179" s="195">
        <v>149100.25</v>
      </c>
      <c r="P179" s="195">
        <v>74550.13</v>
      </c>
      <c r="Q179" s="195">
        <v>74550.12</v>
      </c>
      <c r="R179" s="196"/>
      <c r="S179" s="195">
        <v>567976</v>
      </c>
      <c r="T179" s="195">
        <v>283988.01</v>
      </c>
      <c r="U179" s="195">
        <v>283987.99</v>
      </c>
      <c r="V179" s="185"/>
    </row>
    <row r="180" spans="1:22" x14ac:dyDescent="0.25">
      <c r="A180" s="192">
        <v>2021</v>
      </c>
      <c r="B180" s="192" t="s">
        <v>822</v>
      </c>
      <c r="C180" s="193" t="s">
        <v>203</v>
      </c>
      <c r="D180" s="194" t="s">
        <v>821</v>
      </c>
      <c r="E180" s="194" t="s">
        <v>821</v>
      </c>
      <c r="F180" s="194" t="s">
        <v>203</v>
      </c>
      <c r="G180" s="193" t="s">
        <v>553</v>
      </c>
      <c r="H180" s="195">
        <v>0</v>
      </c>
      <c r="I180" s="195">
        <v>0</v>
      </c>
      <c r="J180" s="196"/>
      <c r="K180" s="195">
        <v>0</v>
      </c>
      <c r="L180" s="195">
        <v>0</v>
      </c>
      <c r="M180" s="195">
        <v>0</v>
      </c>
      <c r="N180" s="196"/>
      <c r="O180" s="195">
        <v>0</v>
      </c>
      <c r="P180" s="195">
        <v>0</v>
      </c>
      <c r="Q180" s="195">
        <v>0</v>
      </c>
      <c r="R180" s="196"/>
      <c r="S180" s="195">
        <v>0</v>
      </c>
      <c r="T180" s="195">
        <v>0</v>
      </c>
      <c r="U180" s="195">
        <v>0</v>
      </c>
      <c r="V180" s="185"/>
    </row>
    <row r="181" spans="1:22" x14ac:dyDescent="0.25">
      <c r="A181" s="192">
        <v>2021</v>
      </c>
      <c r="B181" s="192" t="s">
        <v>820</v>
      </c>
      <c r="C181" s="193" t="s">
        <v>204</v>
      </c>
      <c r="D181" s="194" t="s">
        <v>821</v>
      </c>
      <c r="E181" s="194" t="s">
        <v>821</v>
      </c>
      <c r="F181" s="194" t="s">
        <v>204</v>
      </c>
      <c r="G181" s="193" t="s">
        <v>554</v>
      </c>
      <c r="H181" s="195">
        <v>0</v>
      </c>
      <c r="I181" s="195">
        <v>1</v>
      </c>
      <c r="J181" s="196"/>
      <c r="K181" s="195">
        <v>30423.75</v>
      </c>
      <c r="L181" s="195">
        <v>0</v>
      </c>
      <c r="M181" s="195">
        <v>30423.75</v>
      </c>
      <c r="N181" s="196"/>
      <c r="O181" s="195">
        <v>12446.25</v>
      </c>
      <c r="P181" s="195">
        <v>0</v>
      </c>
      <c r="Q181" s="195">
        <v>12446.25</v>
      </c>
      <c r="R181" s="196"/>
      <c r="S181" s="195">
        <v>42870</v>
      </c>
      <c r="T181" s="195">
        <v>0</v>
      </c>
      <c r="U181" s="195">
        <v>42870</v>
      </c>
      <c r="V181" s="185"/>
    </row>
    <row r="182" spans="1:22" x14ac:dyDescent="0.25">
      <c r="A182" s="192">
        <v>2021</v>
      </c>
      <c r="B182" s="192" t="s">
        <v>822</v>
      </c>
      <c r="C182" s="193" t="s">
        <v>205</v>
      </c>
      <c r="D182" s="194" t="s">
        <v>821</v>
      </c>
      <c r="E182" s="194" t="s">
        <v>821</v>
      </c>
      <c r="F182" s="194" t="s">
        <v>205</v>
      </c>
      <c r="G182" s="193" t="s">
        <v>555</v>
      </c>
      <c r="H182" s="195">
        <v>0</v>
      </c>
      <c r="I182" s="195">
        <v>6</v>
      </c>
      <c r="J182" s="196"/>
      <c r="K182" s="195">
        <v>1201124.25</v>
      </c>
      <c r="L182" s="195">
        <v>0</v>
      </c>
      <c r="M182" s="195">
        <v>1201124.25</v>
      </c>
      <c r="N182" s="196"/>
      <c r="O182" s="195">
        <v>470986.75</v>
      </c>
      <c r="P182" s="195">
        <v>0</v>
      </c>
      <c r="Q182" s="195">
        <v>470986.75</v>
      </c>
      <c r="R182" s="196"/>
      <c r="S182" s="195">
        <v>1672111</v>
      </c>
      <c r="T182" s="195">
        <v>0</v>
      </c>
      <c r="U182" s="195">
        <v>1672111</v>
      </c>
      <c r="V182" s="185"/>
    </row>
    <row r="183" spans="1:22" x14ac:dyDescent="0.25">
      <c r="A183" s="192">
        <v>2021</v>
      </c>
      <c r="B183" s="192" t="s">
        <v>826</v>
      </c>
      <c r="C183" s="193" t="s">
        <v>207</v>
      </c>
      <c r="D183" s="194" t="s">
        <v>821</v>
      </c>
      <c r="E183" s="194" t="s">
        <v>821</v>
      </c>
      <c r="F183" s="194" t="s">
        <v>207</v>
      </c>
      <c r="G183" s="193" t="s">
        <v>557</v>
      </c>
      <c r="H183" s="195">
        <v>4</v>
      </c>
      <c r="I183" s="195">
        <v>6</v>
      </c>
      <c r="J183" s="196"/>
      <c r="K183" s="195">
        <v>392784.75</v>
      </c>
      <c r="L183" s="195">
        <v>157113.9</v>
      </c>
      <c r="M183" s="195">
        <v>235670.85</v>
      </c>
      <c r="N183" s="196"/>
      <c r="O183" s="195">
        <v>158294.25</v>
      </c>
      <c r="P183" s="195">
        <v>63317.7</v>
      </c>
      <c r="Q183" s="195">
        <v>94976.55</v>
      </c>
      <c r="R183" s="196"/>
      <c r="S183" s="195">
        <v>551079</v>
      </c>
      <c r="T183" s="195">
        <v>220431.59999999998</v>
      </c>
      <c r="U183" s="195">
        <v>330647.40000000002</v>
      </c>
      <c r="V183" s="185"/>
    </row>
    <row r="184" spans="1:22" x14ac:dyDescent="0.25">
      <c r="A184" s="192">
        <v>2021</v>
      </c>
      <c r="B184" s="192" t="s">
        <v>820</v>
      </c>
      <c r="C184" s="193" t="s">
        <v>208</v>
      </c>
      <c r="D184" s="194" t="s">
        <v>821</v>
      </c>
      <c r="E184" s="194" t="s">
        <v>821</v>
      </c>
      <c r="F184" s="194" t="s">
        <v>208</v>
      </c>
      <c r="G184" s="193" t="s">
        <v>558</v>
      </c>
      <c r="H184" s="195">
        <v>0</v>
      </c>
      <c r="I184" s="195">
        <v>2</v>
      </c>
      <c r="J184" s="196"/>
      <c r="K184" s="195">
        <v>19010.25</v>
      </c>
      <c r="L184" s="195">
        <v>0</v>
      </c>
      <c r="M184" s="195">
        <v>19010.25</v>
      </c>
      <c r="N184" s="196"/>
      <c r="O184" s="195">
        <v>6405.75</v>
      </c>
      <c r="P184" s="195">
        <v>0</v>
      </c>
      <c r="Q184" s="195">
        <v>6405.75</v>
      </c>
      <c r="R184" s="196"/>
      <c r="S184" s="195">
        <v>25416</v>
      </c>
      <c r="T184" s="195">
        <v>0</v>
      </c>
      <c r="U184" s="195">
        <v>25416</v>
      </c>
      <c r="V184" s="185"/>
    </row>
    <row r="185" spans="1:22" x14ac:dyDescent="0.25">
      <c r="A185" s="192">
        <v>2021</v>
      </c>
      <c r="B185" s="192" t="s">
        <v>829</v>
      </c>
      <c r="C185" s="193" t="s">
        <v>212</v>
      </c>
      <c r="D185" s="194" t="s">
        <v>821</v>
      </c>
      <c r="E185" s="194" t="s">
        <v>821</v>
      </c>
      <c r="F185" s="194" t="s">
        <v>212</v>
      </c>
      <c r="G185" s="193" t="s">
        <v>562</v>
      </c>
      <c r="H185" s="195">
        <v>4</v>
      </c>
      <c r="I185" s="195">
        <v>6</v>
      </c>
      <c r="J185" s="196"/>
      <c r="K185" s="195">
        <v>298019.25</v>
      </c>
      <c r="L185" s="195">
        <v>119207.7</v>
      </c>
      <c r="M185" s="195">
        <v>178811.55</v>
      </c>
      <c r="N185" s="196"/>
      <c r="O185" s="195">
        <v>109404.75</v>
      </c>
      <c r="P185" s="195">
        <v>43761.9</v>
      </c>
      <c r="Q185" s="195">
        <v>65642.850000000006</v>
      </c>
      <c r="R185" s="196"/>
      <c r="S185" s="195">
        <v>407424</v>
      </c>
      <c r="T185" s="195">
        <v>162969.60000000001</v>
      </c>
      <c r="U185" s="195">
        <v>244454.39999999999</v>
      </c>
      <c r="V185" s="185"/>
    </row>
    <row r="186" spans="1:22" x14ac:dyDescent="0.25">
      <c r="A186" s="192">
        <v>2021</v>
      </c>
      <c r="B186" s="192" t="s">
        <v>827</v>
      </c>
      <c r="C186" s="193" t="s">
        <v>209</v>
      </c>
      <c r="D186" s="194" t="s">
        <v>821</v>
      </c>
      <c r="E186" s="194" t="s">
        <v>821</v>
      </c>
      <c r="F186" s="194" t="s">
        <v>209</v>
      </c>
      <c r="G186" s="193" t="s">
        <v>559</v>
      </c>
      <c r="H186" s="195">
        <v>0</v>
      </c>
      <c r="I186" s="195">
        <v>12</v>
      </c>
      <c r="J186" s="196"/>
      <c r="K186" s="195">
        <v>219862.5</v>
      </c>
      <c r="L186" s="195">
        <v>0</v>
      </c>
      <c r="M186" s="195">
        <v>219862.5</v>
      </c>
      <c r="N186" s="196"/>
      <c r="O186" s="195">
        <v>78819.5</v>
      </c>
      <c r="P186" s="195">
        <v>0</v>
      </c>
      <c r="Q186" s="195">
        <v>78819.5</v>
      </c>
      <c r="R186" s="196"/>
      <c r="S186" s="195">
        <v>298682</v>
      </c>
      <c r="T186" s="195">
        <v>0</v>
      </c>
      <c r="U186" s="195">
        <v>298682</v>
      </c>
      <c r="V186" s="185"/>
    </row>
    <row r="187" spans="1:22" x14ac:dyDescent="0.25">
      <c r="A187" s="192">
        <v>2021</v>
      </c>
      <c r="B187" s="192" t="s">
        <v>827</v>
      </c>
      <c r="C187" s="193" t="s">
        <v>210</v>
      </c>
      <c r="D187" s="194" t="s">
        <v>821</v>
      </c>
      <c r="E187" s="194" t="s">
        <v>821</v>
      </c>
      <c r="F187" s="194" t="s">
        <v>210</v>
      </c>
      <c r="G187" s="193" t="s">
        <v>560</v>
      </c>
      <c r="H187" s="195">
        <v>5</v>
      </c>
      <c r="I187" s="195">
        <v>5</v>
      </c>
      <c r="J187" s="196"/>
      <c r="K187" s="195">
        <v>609366</v>
      </c>
      <c r="L187" s="195">
        <v>304683</v>
      </c>
      <c r="M187" s="195">
        <v>304683</v>
      </c>
      <c r="N187" s="196"/>
      <c r="O187" s="195">
        <v>228488</v>
      </c>
      <c r="P187" s="195">
        <v>114244</v>
      </c>
      <c r="Q187" s="195">
        <v>114244</v>
      </c>
      <c r="R187" s="196"/>
      <c r="S187" s="195">
        <v>837854</v>
      </c>
      <c r="T187" s="195">
        <v>418927</v>
      </c>
      <c r="U187" s="195">
        <v>418927</v>
      </c>
      <c r="V187" s="185"/>
    </row>
    <row r="188" spans="1:22" x14ac:dyDescent="0.25">
      <c r="A188" s="192">
        <v>2021</v>
      </c>
      <c r="B188" s="192" t="s">
        <v>823</v>
      </c>
      <c r="C188" s="193" t="s">
        <v>211</v>
      </c>
      <c r="D188" s="194" t="s">
        <v>821</v>
      </c>
      <c r="E188" s="194" t="s">
        <v>821</v>
      </c>
      <c r="F188" s="194" t="s">
        <v>211</v>
      </c>
      <c r="G188" s="193" t="s">
        <v>561</v>
      </c>
      <c r="H188" s="195">
        <v>0</v>
      </c>
      <c r="I188" s="195">
        <v>5</v>
      </c>
      <c r="J188" s="196"/>
      <c r="K188" s="195">
        <v>118284.75</v>
      </c>
      <c r="L188" s="195">
        <v>0</v>
      </c>
      <c r="M188" s="195">
        <v>118284.75</v>
      </c>
      <c r="N188" s="196"/>
      <c r="O188" s="195">
        <v>42939.25</v>
      </c>
      <c r="P188" s="195">
        <v>0</v>
      </c>
      <c r="Q188" s="195">
        <v>42939.25</v>
      </c>
      <c r="R188" s="196"/>
      <c r="S188" s="195">
        <v>161224</v>
      </c>
      <c r="T188" s="195">
        <v>0</v>
      </c>
      <c r="U188" s="195">
        <v>161224</v>
      </c>
      <c r="V188" s="185"/>
    </row>
    <row r="189" spans="1:22" x14ac:dyDescent="0.25">
      <c r="A189" s="192">
        <v>2021</v>
      </c>
      <c r="B189" s="192" t="s">
        <v>824</v>
      </c>
      <c r="C189" s="193" t="s">
        <v>206</v>
      </c>
      <c r="D189" s="194" t="s">
        <v>821</v>
      </c>
      <c r="E189" s="194" t="s">
        <v>821</v>
      </c>
      <c r="F189" s="194" t="s">
        <v>206</v>
      </c>
      <c r="G189" s="193" t="s">
        <v>556</v>
      </c>
      <c r="H189" s="195">
        <v>0</v>
      </c>
      <c r="I189" s="195">
        <v>3</v>
      </c>
      <c r="J189" s="196"/>
      <c r="K189" s="195">
        <v>242013.75</v>
      </c>
      <c r="L189" s="195">
        <v>0</v>
      </c>
      <c r="M189" s="195">
        <v>242013.75</v>
      </c>
      <c r="N189" s="196"/>
      <c r="O189" s="195">
        <v>94143.25</v>
      </c>
      <c r="P189" s="195">
        <v>0</v>
      </c>
      <c r="Q189" s="195">
        <v>94143.25</v>
      </c>
      <c r="R189" s="196"/>
      <c r="S189" s="195">
        <v>336157</v>
      </c>
      <c r="T189" s="195">
        <v>0</v>
      </c>
      <c r="U189" s="195">
        <v>336157</v>
      </c>
      <c r="V189" s="185"/>
    </row>
    <row r="190" spans="1:22" x14ac:dyDescent="0.25">
      <c r="A190" s="192">
        <v>2021</v>
      </c>
      <c r="B190" s="192" t="s">
        <v>822</v>
      </c>
      <c r="C190" s="193" t="s">
        <v>213</v>
      </c>
      <c r="D190" s="194" t="s">
        <v>821</v>
      </c>
      <c r="E190" s="194" t="s">
        <v>821</v>
      </c>
      <c r="F190" s="194" t="s">
        <v>213</v>
      </c>
      <c r="G190" s="193" t="s">
        <v>563</v>
      </c>
      <c r="H190" s="195">
        <v>0</v>
      </c>
      <c r="I190" s="195">
        <v>8</v>
      </c>
      <c r="J190" s="196"/>
      <c r="K190" s="195">
        <v>201207</v>
      </c>
      <c r="L190" s="195">
        <v>0</v>
      </c>
      <c r="M190" s="195">
        <v>201207</v>
      </c>
      <c r="N190" s="196"/>
      <c r="O190" s="195">
        <v>73658</v>
      </c>
      <c r="P190" s="195">
        <v>0</v>
      </c>
      <c r="Q190" s="195">
        <v>73658</v>
      </c>
      <c r="R190" s="196"/>
      <c r="S190" s="195">
        <v>274865</v>
      </c>
      <c r="T190" s="195">
        <v>0</v>
      </c>
      <c r="U190" s="195">
        <v>274865</v>
      </c>
      <c r="V190" s="185"/>
    </row>
    <row r="191" spans="1:22" x14ac:dyDescent="0.25">
      <c r="A191" s="192">
        <v>2021</v>
      </c>
      <c r="B191" s="192" t="s">
        <v>827</v>
      </c>
      <c r="C191" s="193" t="s">
        <v>214</v>
      </c>
      <c r="D191" s="194" t="s">
        <v>821</v>
      </c>
      <c r="E191" s="194" t="s">
        <v>821</v>
      </c>
      <c r="F191" s="194" t="s">
        <v>214</v>
      </c>
      <c r="G191" s="193" t="s">
        <v>564</v>
      </c>
      <c r="H191" s="195">
        <v>1</v>
      </c>
      <c r="I191" s="195">
        <v>1</v>
      </c>
      <c r="J191" s="196"/>
      <c r="K191" s="195">
        <v>92811</v>
      </c>
      <c r="L191" s="195">
        <v>46405.5</v>
      </c>
      <c r="M191" s="195">
        <v>46405.5</v>
      </c>
      <c r="N191" s="196"/>
      <c r="O191" s="195">
        <v>34020</v>
      </c>
      <c r="P191" s="195">
        <v>17010</v>
      </c>
      <c r="Q191" s="195">
        <v>17010</v>
      </c>
      <c r="R191" s="196"/>
      <c r="S191" s="195">
        <v>126831</v>
      </c>
      <c r="T191" s="195">
        <v>63415.5</v>
      </c>
      <c r="U191" s="195">
        <v>63415.5</v>
      </c>
      <c r="V191" s="185"/>
    </row>
    <row r="192" spans="1:22" x14ac:dyDescent="0.25">
      <c r="A192" s="192">
        <v>2021</v>
      </c>
      <c r="B192" s="192" t="s">
        <v>826</v>
      </c>
      <c r="C192" s="193" t="s">
        <v>215</v>
      </c>
      <c r="D192" s="194" t="s">
        <v>821</v>
      </c>
      <c r="E192" s="194" t="s">
        <v>821</v>
      </c>
      <c r="F192" s="194" t="s">
        <v>215</v>
      </c>
      <c r="G192" s="193" t="s">
        <v>565</v>
      </c>
      <c r="H192" s="195">
        <v>0</v>
      </c>
      <c r="I192" s="195">
        <v>11</v>
      </c>
      <c r="J192" s="196"/>
      <c r="K192" s="195">
        <v>128319.75</v>
      </c>
      <c r="L192" s="195">
        <v>0</v>
      </c>
      <c r="M192" s="195">
        <v>128319.75</v>
      </c>
      <c r="N192" s="196"/>
      <c r="O192" s="195">
        <v>45955.25</v>
      </c>
      <c r="P192" s="195">
        <v>0</v>
      </c>
      <c r="Q192" s="195">
        <v>45955.25</v>
      </c>
      <c r="R192" s="196"/>
      <c r="S192" s="195">
        <v>174275</v>
      </c>
      <c r="T192" s="195">
        <v>0</v>
      </c>
      <c r="U192" s="195">
        <v>174275</v>
      </c>
      <c r="V192" s="185"/>
    </row>
    <row r="193" spans="1:22" x14ac:dyDescent="0.25">
      <c r="A193" s="192">
        <v>2021</v>
      </c>
      <c r="B193" s="192" t="s">
        <v>823</v>
      </c>
      <c r="C193" s="193" t="s">
        <v>216</v>
      </c>
      <c r="D193" s="194" t="s">
        <v>821</v>
      </c>
      <c r="E193" s="194" t="s">
        <v>821</v>
      </c>
      <c r="F193" s="194" t="s">
        <v>216</v>
      </c>
      <c r="G193" s="193" t="s">
        <v>566</v>
      </c>
      <c r="H193" s="195">
        <v>0</v>
      </c>
      <c r="I193" s="195">
        <v>6</v>
      </c>
      <c r="J193" s="196"/>
      <c r="K193" s="195">
        <v>49109.25</v>
      </c>
      <c r="L193" s="195">
        <v>0</v>
      </c>
      <c r="M193" s="195">
        <v>49109.25</v>
      </c>
      <c r="N193" s="196"/>
      <c r="O193" s="195">
        <v>18253.75</v>
      </c>
      <c r="P193" s="195">
        <v>0</v>
      </c>
      <c r="Q193" s="195">
        <v>18253.75</v>
      </c>
      <c r="R193" s="196"/>
      <c r="S193" s="195">
        <v>67363</v>
      </c>
      <c r="T193" s="195">
        <v>0</v>
      </c>
      <c r="U193" s="195">
        <v>67363</v>
      </c>
      <c r="V193" s="185"/>
    </row>
    <row r="194" spans="1:22" x14ac:dyDescent="0.25">
      <c r="A194" s="192">
        <v>2021</v>
      </c>
      <c r="B194" s="192" t="s">
        <v>826</v>
      </c>
      <c r="C194" s="193" t="s">
        <v>217</v>
      </c>
      <c r="D194" s="194" t="s">
        <v>821</v>
      </c>
      <c r="E194" s="194" t="s">
        <v>821</v>
      </c>
      <c r="F194" s="194" t="s">
        <v>217</v>
      </c>
      <c r="G194" s="193" t="s">
        <v>567</v>
      </c>
      <c r="H194" s="195">
        <v>0</v>
      </c>
      <c r="I194" s="195">
        <v>7</v>
      </c>
      <c r="J194" s="196"/>
      <c r="K194" s="195">
        <v>54432.75</v>
      </c>
      <c r="L194" s="195">
        <v>0</v>
      </c>
      <c r="M194" s="195">
        <v>54432.75</v>
      </c>
      <c r="N194" s="196"/>
      <c r="O194" s="195">
        <v>19472.25</v>
      </c>
      <c r="P194" s="195">
        <v>0</v>
      </c>
      <c r="Q194" s="195">
        <v>19472.25</v>
      </c>
      <c r="R194" s="196"/>
      <c r="S194" s="195">
        <v>73905</v>
      </c>
      <c r="T194" s="195">
        <v>0</v>
      </c>
      <c r="U194" s="195">
        <v>73905</v>
      </c>
      <c r="V194" s="185"/>
    </row>
    <row r="195" spans="1:22" x14ac:dyDescent="0.25">
      <c r="A195" s="192">
        <v>2021</v>
      </c>
      <c r="B195" s="192" t="s">
        <v>826</v>
      </c>
      <c r="C195" s="193" t="s">
        <v>218</v>
      </c>
      <c r="D195" s="194" t="s">
        <v>821</v>
      </c>
      <c r="E195" s="194" t="s">
        <v>821</v>
      </c>
      <c r="F195" s="194" t="s">
        <v>218</v>
      </c>
      <c r="G195" s="193" t="s">
        <v>568</v>
      </c>
      <c r="H195" s="195">
        <v>0</v>
      </c>
      <c r="I195" s="195">
        <v>12</v>
      </c>
      <c r="J195" s="196"/>
      <c r="K195" s="195">
        <v>79012.5</v>
      </c>
      <c r="L195" s="195">
        <v>0</v>
      </c>
      <c r="M195" s="195">
        <v>79012.5</v>
      </c>
      <c r="N195" s="196"/>
      <c r="O195" s="195">
        <v>28247.5</v>
      </c>
      <c r="P195" s="195">
        <v>0</v>
      </c>
      <c r="Q195" s="195">
        <v>28247.5</v>
      </c>
      <c r="R195" s="196"/>
      <c r="S195" s="195">
        <v>107260</v>
      </c>
      <c r="T195" s="195">
        <v>0</v>
      </c>
      <c r="U195" s="195">
        <v>107260</v>
      </c>
      <c r="V195" s="185"/>
    </row>
    <row r="196" spans="1:22" x14ac:dyDescent="0.25">
      <c r="A196" s="192">
        <v>2021</v>
      </c>
      <c r="B196" s="192" t="s">
        <v>823</v>
      </c>
      <c r="C196" s="193" t="s">
        <v>219</v>
      </c>
      <c r="D196" s="194" t="s">
        <v>821</v>
      </c>
      <c r="E196" s="194" t="s">
        <v>821</v>
      </c>
      <c r="F196" s="194" t="s">
        <v>219</v>
      </c>
      <c r="G196" s="193" t="s">
        <v>569</v>
      </c>
      <c r="H196" s="195">
        <v>0</v>
      </c>
      <c r="I196" s="195">
        <v>6</v>
      </c>
      <c r="J196" s="196"/>
      <c r="K196" s="195">
        <v>120887.25</v>
      </c>
      <c r="L196" s="195">
        <v>0</v>
      </c>
      <c r="M196" s="195">
        <v>120887.25</v>
      </c>
      <c r="N196" s="196"/>
      <c r="O196" s="195">
        <v>49455.75</v>
      </c>
      <c r="P196" s="195">
        <v>0</v>
      </c>
      <c r="Q196" s="195">
        <v>49455.75</v>
      </c>
      <c r="R196" s="196"/>
      <c r="S196" s="195">
        <v>170343</v>
      </c>
      <c r="T196" s="195">
        <v>0</v>
      </c>
      <c r="U196" s="195">
        <v>170343</v>
      </c>
      <c r="V196" s="185"/>
    </row>
    <row r="197" spans="1:22" x14ac:dyDescent="0.25">
      <c r="A197" s="192">
        <v>2021</v>
      </c>
      <c r="B197" s="192" t="s">
        <v>826</v>
      </c>
      <c r="C197" s="193" t="s">
        <v>220</v>
      </c>
      <c r="D197" s="194" t="s">
        <v>821</v>
      </c>
      <c r="E197" s="194" t="s">
        <v>821</v>
      </c>
      <c r="F197" s="194" t="s">
        <v>220</v>
      </c>
      <c r="G197" s="193" t="s">
        <v>570</v>
      </c>
      <c r="H197" s="195">
        <v>0</v>
      </c>
      <c r="I197" s="195">
        <v>5</v>
      </c>
      <c r="J197" s="196"/>
      <c r="K197" s="195">
        <v>365567.25</v>
      </c>
      <c r="L197" s="195">
        <v>0</v>
      </c>
      <c r="M197" s="195">
        <v>365567.25</v>
      </c>
      <c r="N197" s="196"/>
      <c r="O197" s="195">
        <v>138814.75</v>
      </c>
      <c r="P197" s="195">
        <v>0</v>
      </c>
      <c r="Q197" s="195">
        <v>138814.75</v>
      </c>
      <c r="R197" s="196"/>
      <c r="S197" s="195">
        <v>504382</v>
      </c>
      <c r="T197" s="195">
        <v>0</v>
      </c>
      <c r="U197" s="195">
        <v>504382</v>
      </c>
      <c r="V197" s="185"/>
    </row>
    <row r="198" spans="1:22" x14ac:dyDescent="0.25">
      <c r="A198" s="192">
        <v>2021</v>
      </c>
      <c r="B198" s="192" t="s">
        <v>827</v>
      </c>
      <c r="C198" s="193" t="s">
        <v>221</v>
      </c>
      <c r="D198" s="194" t="s">
        <v>821</v>
      </c>
      <c r="E198" s="194" t="s">
        <v>821</v>
      </c>
      <c r="F198" s="194" t="s">
        <v>221</v>
      </c>
      <c r="G198" s="193" t="s">
        <v>571</v>
      </c>
      <c r="H198" s="195">
        <v>0</v>
      </c>
      <c r="I198" s="195">
        <v>6</v>
      </c>
      <c r="J198" s="196"/>
      <c r="K198" s="195">
        <v>370137</v>
      </c>
      <c r="L198" s="195">
        <v>0</v>
      </c>
      <c r="M198" s="195">
        <v>370137</v>
      </c>
      <c r="N198" s="196"/>
      <c r="O198" s="195">
        <v>173978</v>
      </c>
      <c r="P198" s="195">
        <v>0</v>
      </c>
      <c r="Q198" s="195">
        <v>173978</v>
      </c>
      <c r="R198" s="196"/>
      <c r="S198" s="195">
        <v>544115</v>
      </c>
      <c r="T198" s="195">
        <v>0</v>
      </c>
      <c r="U198" s="195">
        <v>544115</v>
      </c>
      <c r="V198" s="185"/>
    </row>
    <row r="199" spans="1:22" x14ac:dyDescent="0.25">
      <c r="A199" s="192">
        <v>2021</v>
      </c>
      <c r="B199" s="192" t="s">
        <v>823</v>
      </c>
      <c r="C199" s="193" t="s">
        <v>222</v>
      </c>
      <c r="D199" s="194" t="s">
        <v>821</v>
      </c>
      <c r="E199" s="194" t="s">
        <v>821</v>
      </c>
      <c r="F199" s="194" t="s">
        <v>222</v>
      </c>
      <c r="G199" s="193" t="s">
        <v>572</v>
      </c>
      <c r="H199" s="195">
        <v>0</v>
      </c>
      <c r="I199" s="195">
        <v>12</v>
      </c>
      <c r="J199" s="196"/>
      <c r="K199" s="195">
        <v>91275.75</v>
      </c>
      <c r="L199" s="195">
        <v>0</v>
      </c>
      <c r="M199" s="195">
        <v>91275.75</v>
      </c>
      <c r="N199" s="196"/>
      <c r="O199" s="195">
        <v>37711.25</v>
      </c>
      <c r="P199" s="195">
        <v>0</v>
      </c>
      <c r="Q199" s="195">
        <v>37711.25</v>
      </c>
      <c r="R199" s="196"/>
      <c r="S199" s="195">
        <v>128987</v>
      </c>
      <c r="T199" s="195">
        <v>0</v>
      </c>
      <c r="U199" s="195">
        <v>128987</v>
      </c>
      <c r="V199" s="185"/>
    </row>
    <row r="200" spans="1:22" x14ac:dyDescent="0.25">
      <c r="A200" s="192">
        <v>2021</v>
      </c>
      <c r="B200" s="192" t="s">
        <v>830</v>
      </c>
      <c r="C200" s="193" t="s">
        <v>223</v>
      </c>
      <c r="D200" s="194" t="s">
        <v>821</v>
      </c>
      <c r="E200" s="194" t="s">
        <v>821</v>
      </c>
      <c r="F200" s="194" t="s">
        <v>223</v>
      </c>
      <c r="G200" s="193" t="s">
        <v>573</v>
      </c>
      <c r="H200" s="195">
        <v>0</v>
      </c>
      <c r="I200" s="195">
        <v>1</v>
      </c>
      <c r="J200" s="196"/>
      <c r="K200" s="195">
        <v>211697.25</v>
      </c>
      <c r="L200" s="195">
        <v>0</v>
      </c>
      <c r="M200" s="195">
        <v>211697.25</v>
      </c>
      <c r="N200" s="196"/>
      <c r="O200" s="195">
        <v>84931.75</v>
      </c>
      <c r="P200" s="195">
        <v>0</v>
      </c>
      <c r="Q200" s="195">
        <v>84931.75</v>
      </c>
      <c r="R200" s="196"/>
      <c r="S200" s="195">
        <v>296629</v>
      </c>
      <c r="T200" s="195">
        <v>0</v>
      </c>
      <c r="U200" s="195">
        <v>296629</v>
      </c>
      <c r="V200" s="185"/>
    </row>
    <row r="201" spans="1:22" x14ac:dyDescent="0.25">
      <c r="A201" s="192">
        <v>2021</v>
      </c>
      <c r="B201" s="192" t="s">
        <v>822</v>
      </c>
      <c r="C201" s="193" t="s">
        <v>224</v>
      </c>
      <c r="D201" s="194" t="s">
        <v>821</v>
      </c>
      <c r="E201" s="194" t="s">
        <v>821</v>
      </c>
      <c r="F201" s="194" t="s">
        <v>224</v>
      </c>
      <c r="G201" s="193" t="s">
        <v>574</v>
      </c>
      <c r="H201" s="195">
        <v>0</v>
      </c>
      <c r="I201" s="195">
        <v>9</v>
      </c>
      <c r="J201" s="196"/>
      <c r="K201" s="195">
        <v>239208.75</v>
      </c>
      <c r="L201" s="195">
        <v>0</v>
      </c>
      <c r="M201" s="195">
        <v>239208.75</v>
      </c>
      <c r="N201" s="196"/>
      <c r="O201" s="195">
        <v>82581.25</v>
      </c>
      <c r="P201" s="195">
        <v>0</v>
      </c>
      <c r="Q201" s="195">
        <v>82581.25</v>
      </c>
      <c r="R201" s="196"/>
      <c r="S201" s="195">
        <v>321790</v>
      </c>
      <c r="T201" s="195">
        <v>0</v>
      </c>
      <c r="U201" s="195">
        <v>321790</v>
      </c>
      <c r="V201" s="185"/>
    </row>
    <row r="202" spans="1:22" x14ac:dyDescent="0.25">
      <c r="A202" s="192">
        <v>2021</v>
      </c>
      <c r="B202" s="192" t="s">
        <v>820</v>
      </c>
      <c r="C202" s="193" t="s">
        <v>225</v>
      </c>
      <c r="D202" s="194" t="s">
        <v>821</v>
      </c>
      <c r="E202" s="194" t="s">
        <v>821</v>
      </c>
      <c r="F202" s="194" t="s">
        <v>225</v>
      </c>
      <c r="G202" s="193" t="s">
        <v>575</v>
      </c>
      <c r="H202" s="195">
        <v>0</v>
      </c>
      <c r="I202" s="195">
        <v>5</v>
      </c>
      <c r="J202" s="196"/>
      <c r="K202" s="195">
        <v>340386</v>
      </c>
      <c r="L202" s="195">
        <v>0</v>
      </c>
      <c r="M202" s="195">
        <v>340386</v>
      </c>
      <c r="N202" s="196"/>
      <c r="O202" s="195">
        <v>133522</v>
      </c>
      <c r="P202" s="195">
        <v>0</v>
      </c>
      <c r="Q202" s="195">
        <v>133522</v>
      </c>
      <c r="R202" s="196"/>
      <c r="S202" s="195">
        <v>473908</v>
      </c>
      <c r="T202" s="195">
        <v>0</v>
      </c>
      <c r="U202" s="195">
        <v>473908</v>
      </c>
      <c r="V202" s="185"/>
    </row>
    <row r="203" spans="1:22" x14ac:dyDescent="0.25">
      <c r="A203" s="192">
        <v>2021</v>
      </c>
      <c r="B203" s="192" t="s">
        <v>829</v>
      </c>
      <c r="C203" s="193" t="s">
        <v>227</v>
      </c>
      <c r="D203" s="194" t="s">
        <v>821</v>
      </c>
      <c r="E203" s="194" t="s">
        <v>821</v>
      </c>
      <c r="F203" s="194" t="s">
        <v>227</v>
      </c>
      <c r="G203" s="193" t="s">
        <v>577</v>
      </c>
      <c r="H203" s="195">
        <v>0</v>
      </c>
      <c r="I203" s="195">
        <v>7</v>
      </c>
      <c r="J203" s="196"/>
      <c r="K203" s="195">
        <v>337826.25</v>
      </c>
      <c r="L203" s="195">
        <v>0</v>
      </c>
      <c r="M203" s="195">
        <v>337826.25</v>
      </c>
      <c r="N203" s="196"/>
      <c r="O203" s="195">
        <v>197600.75</v>
      </c>
      <c r="P203" s="195">
        <v>0</v>
      </c>
      <c r="Q203" s="195">
        <v>197600.75</v>
      </c>
      <c r="R203" s="196"/>
      <c r="S203" s="195">
        <v>535427</v>
      </c>
      <c r="T203" s="195">
        <v>0</v>
      </c>
      <c r="U203" s="195">
        <v>535427</v>
      </c>
      <c r="V203" s="185"/>
    </row>
    <row r="204" spans="1:22" x14ac:dyDescent="0.25">
      <c r="A204" s="192">
        <v>2021</v>
      </c>
      <c r="B204" s="192" t="s">
        <v>826</v>
      </c>
      <c r="C204" s="193" t="s">
        <v>228</v>
      </c>
      <c r="D204" s="194" t="s">
        <v>821</v>
      </c>
      <c r="E204" s="194" t="s">
        <v>821</v>
      </c>
      <c r="F204" s="194" t="s">
        <v>228</v>
      </c>
      <c r="G204" s="193" t="s">
        <v>578</v>
      </c>
      <c r="H204" s="195">
        <v>2</v>
      </c>
      <c r="I204" s="195">
        <v>7</v>
      </c>
      <c r="J204" s="196"/>
      <c r="K204" s="195">
        <v>181613.25</v>
      </c>
      <c r="L204" s="195">
        <v>40358.5</v>
      </c>
      <c r="M204" s="195">
        <v>141254.75</v>
      </c>
      <c r="N204" s="196"/>
      <c r="O204" s="195">
        <v>63498.75</v>
      </c>
      <c r="P204" s="195">
        <v>14110.83</v>
      </c>
      <c r="Q204" s="195">
        <v>49387.92</v>
      </c>
      <c r="R204" s="196"/>
      <c r="S204" s="195">
        <v>245112</v>
      </c>
      <c r="T204" s="195">
        <v>54469.33</v>
      </c>
      <c r="U204" s="195">
        <v>190642.66999999998</v>
      </c>
      <c r="V204" s="185"/>
    </row>
    <row r="205" spans="1:22" x14ac:dyDescent="0.25">
      <c r="A205" s="192">
        <v>2021</v>
      </c>
      <c r="B205" s="192" t="s">
        <v>825</v>
      </c>
      <c r="C205" s="193" t="s">
        <v>226</v>
      </c>
      <c r="D205" s="194" t="s">
        <v>821</v>
      </c>
      <c r="E205" s="194" t="s">
        <v>821</v>
      </c>
      <c r="F205" s="194" t="s">
        <v>226</v>
      </c>
      <c r="G205" s="193" t="s">
        <v>576</v>
      </c>
      <c r="H205" s="195">
        <v>0</v>
      </c>
      <c r="I205" s="195">
        <v>10</v>
      </c>
      <c r="J205" s="196"/>
      <c r="K205" s="195">
        <v>185259.75</v>
      </c>
      <c r="L205" s="195">
        <v>0</v>
      </c>
      <c r="M205" s="195">
        <v>185259.75</v>
      </c>
      <c r="N205" s="196"/>
      <c r="O205" s="195">
        <v>66939.25</v>
      </c>
      <c r="P205" s="195">
        <v>0</v>
      </c>
      <c r="Q205" s="195">
        <v>66939.25</v>
      </c>
      <c r="R205" s="196"/>
      <c r="S205" s="195">
        <v>252199</v>
      </c>
      <c r="T205" s="195">
        <v>0</v>
      </c>
      <c r="U205" s="195">
        <v>252199</v>
      </c>
      <c r="V205" s="185"/>
    </row>
    <row r="206" spans="1:22" x14ac:dyDescent="0.25">
      <c r="A206" s="192">
        <v>2021</v>
      </c>
      <c r="B206" s="192" t="s">
        <v>820</v>
      </c>
      <c r="C206" s="193" t="s">
        <v>229</v>
      </c>
      <c r="D206" s="194" t="s">
        <v>821</v>
      </c>
      <c r="E206" s="194" t="s">
        <v>821</v>
      </c>
      <c r="F206" s="194" t="s">
        <v>229</v>
      </c>
      <c r="G206" s="193" t="s">
        <v>579</v>
      </c>
      <c r="H206" s="195">
        <v>0</v>
      </c>
      <c r="I206" s="195">
        <v>7</v>
      </c>
      <c r="J206" s="196"/>
      <c r="K206" s="195">
        <v>907971.75</v>
      </c>
      <c r="L206" s="195">
        <v>0</v>
      </c>
      <c r="M206" s="195">
        <v>907971.75</v>
      </c>
      <c r="N206" s="196"/>
      <c r="O206" s="195">
        <v>374920.25</v>
      </c>
      <c r="P206" s="195">
        <v>0</v>
      </c>
      <c r="Q206" s="195">
        <v>374920.25</v>
      </c>
      <c r="R206" s="196"/>
      <c r="S206" s="195">
        <v>1282892</v>
      </c>
      <c r="T206" s="195">
        <v>0</v>
      </c>
      <c r="U206" s="195">
        <v>1282892</v>
      </c>
      <c r="V206" s="185"/>
    </row>
    <row r="207" spans="1:22" x14ac:dyDescent="0.25">
      <c r="A207" s="192">
        <v>2021</v>
      </c>
      <c r="B207" s="192" t="s">
        <v>823</v>
      </c>
      <c r="C207" s="193" t="s">
        <v>144</v>
      </c>
      <c r="D207" s="194" t="s">
        <v>821</v>
      </c>
      <c r="E207" s="194" t="s">
        <v>821</v>
      </c>
      <c r="F207" s="194" t="s">
        <v>144</v>
      </c>
      <c r="G207" s="193" t="s">
        <v>497</v>
      </c>
      <c r="H207" s="195">
        <v>0</v>
      </c>
      <c r="I207" s="195">
        <v>2</v>
      </c>
      <c r="J207" s="196"/>
      <c r="K207" s="195">
        <v>50500.5</v>
      </c>
      <c r="L207" s="195">
        <v>0</v>
      </c>
      <c r="M207" s="195">
        <v>50500.5</v>
      </c>
      <c r="N207" s="196"/>
      <c r="O207" s="195">
        <v>17875.5</v>
      </c>
      <c r="P207" s="195">
        <v>0</v>
      </c>
      <c r="Q207" s="195">
        <v>17875.5</v>
      </c>
      <c r="R207" s="196"/>
      <c r="S207" s="195">
        <v>68376</v>
      </c>
      <c r="T207" s="195">
        <v>0</v>
      </c>
      <c r="U207" s="195">
        <v>68376</v>
      </c>
      <c r="V207" s="185"/>
    </row>
    <row r="208" spans="1:22" x14ac:dyDescent="0.25">
      <c r="A208" s="192">
        <v>2021</v>
      </c>
      <c r="B208" s="192" t="s">
        <v>822</v>
      </c>
      <c r="C208" s="193" t="s">
        <v>30</v>
      </c>
      <c r="D208" s="194" t="s">
        <v>836</v>
      </c>
      <c r="E208" s="194" t="s">
        <v>821</v>
      </c>
      <c r="F208" s="194" t="s">
        <v>30</v>
      </c>
      <c r="G208" s="193" t="s">
        <v>390</v>
      </c>
      <c r="H208" s="195">
        <v>0</v>
      </c>
      <c r="I208" s="195">
        <v>1</v>
      </c>
      <c r="J208" s="196"/>
      <c r="K208" s="195">
        <v>24085.5</v>
      </c>
      <c r="L208" s="195">
        <v>0</v>
      </c>
      <c r="M208" s="195">
        <v>24085.5</v>
      </c>
      <c r="N208" s="196"/>
      <c r="O208" s="195">
        <v>8797.5</v>
      </c>
      <c r="P208" s="195">
        <v>0</v>
      </c>
      <c r="Q208" s="195">
        <v>8797.5</v>
      </c>
      <c r="R208" s="196"/>
      <c r="S208" s="195">
        <v>32883</v>
      </c>
      <c r="T208" s="195">
        <v>0</v>
      </c>
      <c r="U208" s="195">
        <v>32883</v>
      </c>
      <c r="V208" s="185"/>
    </row>
    <row r="209" spans="1:22" x14ac:dyDescent="0.25">
      <c r="A209" s="192">
        <v>2021</v>
      </c>
      <c r="B209" s="192" t="s">
        <v>827</v>
      </c>
      <c r="C209" s="193" t="s">
        <v>187</v>
      </c>
      <c r="D209" s="194" t="s">
        <v>821</v>
      </c>
      <c r="E209" s="194" t="s">
        <v>821</v>
      </c>
      <c r="F209" s="194" t="s">
        <v>187</v>
      </c>
      <c r="G209" s="193" t="s">
        <v>537</v>
      </c>
      <c r="H209" s="195">
        <v>3</v>
      </c>
      <c r="I209" s="195">
        <v>7</v>
      </c>
      <c r="J209" s="196"/>
      <c r="K209" s="195">
        <v>354562.5</v>
      </c>
      <c r="L209" s="195">
        <v>106368.75</v>
      </c>
      <c r="M209" s="195">
        <v>248193.75</v>
      </c>
      <c r="N209" s="196"/>
      <c r="O209" s="195">
        <v>122459.5</v>
      </c>
      <c r="P209" s="195">
        <v>36737.85</v>
      </c>
      <c r="Q209" s="195">
        <v>85721.65</v>
      </c>
      <c r="R209" s="196"/>
      <c r="S209" s="195">
        <v>477022</v>
      </c>
      <c r="T209" s="195">
        <v>143106.6</v>
      </c>
      <c r="U209" s="195">
        <v>333915.40000000002</v>
      </c>
      <c r="V209" s="185"/>
    </row>
    <row r="210" spans="1:22" x14ac:dyDescent="0.25">
      <c r="A210" s="192">
        <v>2021</v>
      </c>
      <c r="B210" s="192" t="s">
        <v>829</v>
      </c>
      <c r="C210" s="193" t="s">
        <v>232</v>
      </c>
      <c r="D210" s="194" t="s">
        <v>316</v>
      </c>
      <c r="E210" s="194" t="s">
        <v>821</v>
      </c>
      <c r="F210" s="194" t="s">
        <v>232</v>
      </c>
      <c r="G210" s="193" t="s">
        <v>801</v>
      </c>
      <c r="H210" s="195">
        <v>0</v>
      </c>
      <c r="I210" s="195">
        <v>5</v>
      </c>
      <c r="J210" s="196"/>
      <c r="K210" s="195">
        <v>234496.5</v>
      </c>
      <c r="L210" s="195">
        <v>0</v>
      </c>
      <c r="M210" s="195">
        <v>234496.5</v>
      </c>
      <c r="N210" s="196"/>
      <c r="O210" s="195">
        <v>98351.5</v>
      </c>
      <c r="P210" s="195">
        <v>0</v>
      </c>
      <c r="Q210" s="195">
        <v>98351.5</v>
      </c>
      <c r="R210" s="196"/>
      <c r="S210" s="195">
        <v>332848</v>
      </c>
      <c r="T210" s="195">
        <v>0</v>
      </c>
      <c r="U210" s="195">
        <v>332848</v>
      </c>
      <c r="V210" s="185"/>
    </row>
    <row r="211" spans="1:22" x14ac:dyDescent="0.25">
      <c r="A211" s="192">
        <v>2021</v>
      </c>
      <c r="B211" s="192" t="s">
        <v>822</v>
      </c>
      <c r="C211" s="193" t="s">
        <v>60</v>
      </c>
      <c r="D211" s="194" t="s">
        <v>821</v>
      </c>
      <c r="E211" s="194" t="s">
        <v>821</v>
      </c>
      <c r="F211" s="194" t="s">
        <v>60</v>
      </c>
      <c r="G211" s="193" t="s">
        <v>415</v>
      </c>
      <c r="H211" s="195">
        <v>1</v>
      </c>
      <c r="I211" s="195">
        <v>9</v>
      </c>
      <c r="J211" s="196"/>
      <c r="K211" s="195">
        <v>176995.5</v>
      </c>
      <c r="L211" s="195">
        <v>17699.55</v>
      </c>
      <c r="M211" s="195">
        <v>159295.95000000001</v>
      </c>
      <c r="N211" s="196"/>
      <c r="O211" s="195">
        <v>78796.5</v>
      </c>
      <c r="P211" s="195">
        <v>7879.65</v>
      </c>
      <c r="Q211" s="195">
        <v>70916.850000000006</v>
      </c>
      <c r="R211" s="196"/>
      <c r="S211" s="195">
        <v>255792</v>
      </c>
      <c r="T211" s="195">
        <v>25579.199999999997</v>
      </c>
      <c r="U211" s="195">
        <v>230212.80000000002</v>
      </c>
      <c r="V211" s="185"/>
    </row>
    <row r="212" spans="1:22" x14ac:dyDescent="0.25">
      <c r="A212" s="192">
        <v>2021</v>
      </c>
      <c r="B212" s="192" t="s">
        <v>825</v>
      </c>
      <c r="C212" s="193" t="s">
        <v>236</v>
      </c>
      <c r="D212" s="194" t="s">
        <v>821</v>
      </c>
      <c r="E212" s="194" t="s">
        <v>821</v>
      </c>
      <c r="F212" s="194" t="s">
        <v>236</v>
      </c>
      <c r="G212" s="193" t="s">
        <v>584</v>
      </c>
      <c r="H212" s="195">
        <v>0</v>
      </c>
      <c r="I212" s="195">
        <v>6</v>
      </c>
      <c r="J212" s="196"/>
      <c r="K212" s="195">
        <v>62759.25</v>
      </c>
      <c r="L212" s="195">
        <v>0</v>
      </c>
      <c r="M212" s="195">
        <v>62759.25</v>
      </c>
      <c r="N212" s="196"/>
      <c r="O212" s="195">
        <v>23135.75</v>
      </c>
      <c r="P212" s="195">
        <v>0</v>
      </c>
      <c r="Q212" s="195">
        <v>23135.75</v>
      </c>
      <c r="R212" s="196"/>
      <c r="S212" s="195">
        <v>85895</v>
      </c>
      <c r="T212" s="195">
        <v>0</v>
      </c>
      <c r="U212" s="195">
        <v>85895</v>
      </c>
      <c r="V212" s="185"/>
    </row>
    <row r="213" spans="1:22" x14ac:dyDescent="0.25">
      <c r="A213" s="192">
        <v>2021</v>
      </c>
      <c r="B213" s="192" t="s">
        <v>827</v>
      </c>
      <c r="C213" s="193" t="s">
        <v>235</v>
      </c>
      <c r="D213" s="194" t="s">
        <v>821</v>
      </c>
      <c r="E213" s="194" t="s">
        <v>821</v>
      </c>
      <c r="F213" s="194" t="s">
        <v>235</v>
      </c>
      <c r="G213" s="193" t="s">
        <v>583</v>
      </c>
      <c r="H213" s="195">
        <v>0</v>
      </c>
      <c r="I213" s="195">
        <v>3</v>
      </c>
      <c r="J213" s="196"/>
      <c r="K213" s="195">
        <v>81560.25</v>
      </c>
      <c r="L213" s="195">
        <v>0</v>
      </c>
      <c r="M213" s="195">
        <v>81560.25</v>
      </c>
      <c r="N213" s="196"/>
      <c r="O213" s="195">
        <v>28621.75</v>
      </c>
      <c r="P213" s="195">
        <v>0</v>
      </c>
      <c r="Q213" s="195">
        <v>28621.75</v>
      </c>
      <c r="R213" s="196"/>
      <c r="S213" s="195">
        <v>110182</v>
      </c>
      <c r="T213" s="195">
        <v>0</v>
      </c>
      <c r="U213" s="195">
        <v>110182</v>
      </c>
      <c r="V213" s="185"/>
    </row>
    <row r="214" spans="1:22" x14ac:dyDescent="0.25">
      <c r="A214" s="192">
        <v>2021</v>
      </c>
      <c r="B214" s="192" t="s">
        <v>826</v>
      </c>
      <c r="C214" s="193" t="s">
        <v>234</v>
      </c>
      <c r="D214" s="194" t="s">
        <v>821</v>
      </c>
      <c r="E214" s="194" t="s">
        <v>821</v>
      </c>
      <c r="F214" s="194" t="s">
        <v>234</v>
      </c>
      <c r="G214" s="193" t="s">
        <v>582</v>
      </c>
      <c r="H214" s="195">
        <v>0</v>
      </c>
      <c r="I214" s="195">
        <v>3</v>
      </c>
      <c r="J214" s="196"/>
      <c r="K214" s="195">
        <v>55896</v>
      </c>
      <c r="L214" s="195">
        <v>0</v>
      </c>
      <c r="M214" s="195">
        <v>55896</v>
      </c>
      <c r="N214" s="196"/>
      <c r="O214" s="195">
        <v>30749</v>
      </c>
      <c r="P214" s="195">
        <v>0</v>
      </c>
      <c r="Q214" s="195">
        <v>30749</v>
      </c>
      <c r="R214" s="196"/>
      <c r="S214" s="195">
        <v>86645</v>
      </c>
      <c r="T214" s="195">
        <v>0</v>
      </c>
      <c r="U214" s="195">
        <v>86645</v>
      </c>
      <c r="V214" s="185"/>
    </row>
    <row r="215" spans="1:22" x14ac:dyDescent="0.25">
      <c r="A215" s="192">
        <v>2021</v>
      </c>
      <c r="B215" s="192" t="s">
        <v>820</v>
      </c>
      <c r="C215" s="193" t="s">
        <v>237</v>
      </c>
      <c r="D215" s="194" t="s">
        <v>821</v>
      </c>
      <c r="E215" s="194" t="s">
        <v>821</v>
      </c>
      <c r="F215" s="194" t="s">
        <v>237</v>
      </c>
      <c r="G215" s="193" t="s">
        <v>585</v>
      </c>
      <c r="H215" s="195">
        <v>0</v>
      </c>
      <c r="I215" s="195">
        <v>1</v>
      </c>
      <c r="J215" s="196"/>
      <c r="K215" s="195">
        <v>101816.25</v>
      </c>
      <c r="L215" s="195">
        <v>0</v>
      </c>
      <c r="M215" s="195">
        <v>101816.25</v>
      </c>
      <c r="N215" s="196"/>
      <c r="O215" s="195">
        <v>39490.75</v>
      </c>
      <c r="P215" s="195">
        <v>0</v>
      </c>
      <c r="Q215" s="195">
        <v>39490.75</v>
      </c>
      <c r="R215" s="196"/>
      <c r="S215" s="195">
        <v>141307</v>
      </c>
      <c r="T215" s="195">
        <v>0</v>
      </c>
      <c r="U215" s="195">
        <v>141307</v>
      </c>
      <c r="V215" s="185"/>
    </row>
    <row r="216" spans="1:22" x14ac:dyDescent="0.25">
      <c r="A216" s="192">
        <v>2021</v>
      </c>
      <c r="B216" s="192" t="s">
        <v>830</v>
      </c>
      <c r="C216" s="193" t="s">
        <v>238</v>
      </c>
      <c r="D216" s="194" t="s">
        <v>821</v>
      </c>
      <c r="E216" s="194" t="s">
        <v>821</v>
      </c>
      <c r="F216" s="194" t="s">
        <v>238</v>
      </c>
      <c r="G216" s="193" t="s">
        <v>586</v>
      </c>
      <c r="H216" s="195">
        <v>0</v>
      </c>
      <c r="I216" s="195">
        <v>1</v>
      </c>
      <c r="J216" s="196"/>
      <c r="K216" s="195">
        <v>161713.5</v>
      </c>
      <c r="L216" s="195">
        <v>0</v>
      </c>
      <c r="M216" s="195">
        <v>161713.5</v>
      </c>
      <c r="N216" s="196"/>
      <c r="O216" s="195">
        <v>62602.5</v>
      </c>
      <c r="P216" s="195">
        <v>0</v>
      </c>
      <c r="Q216" s="195">
        <v>62602.5</v>
      </c>
      <c r="R216" s="196"/>
      <c r="S216" s="195">
        <v>224316</v>
      </c>
      <c r="T216" s="195">
        <v>0</v>
      </c>
      <c r="U216" s="195">
        <v>224316</v>
      </c>
      <c r="V216" s="185"/>
    </row>
    <row r="217" spans="1:22" x14ac:dyDescent="0.25">
      <c r="A217" s="192">
        <v>2021</v>
      </c>
      <c r="B217" s="192" t="s">
        <v>822</v>
      </c>
      <c r="C217" s="193" t="s">
        <v>239</v>
      </c>
      <c r="D217" s="194" t="s">
        <v>821</v>
      </c>
      <c r="E217" s="194" t="s">
        <v>821</v>
      </c>
      <c r="F217" s="194" t="s">
        <v>239</v>
      </c>
      <c r="G217" s="193" t="s">
        <v>587</v>
      </c>
      <c r="H217" s="195">
        <v>0</v>
      </c>
      <c r="I217" s="195">
        <v>8</v>
      </c>
      <c r="J217" s="196"/>
      <c r="K217" s="195">
        <v>158977.5</v>
      </c>
      <c r="L217" s="195">
        <v>0</v>
      </c>
      <c r="M217" s="195">
        <v>158977.5</v>
      </c>
      <c r="N217" s="196"/>
      <c r="O217" s="195">
        <v>70190.5</v>
      </c>
      <c r="P217" s="195">
        <v>0</v>
      </c>
      <c r="Q217" s="195">
        <v>70190.5</v>
      </c>
      <c r="R217" s="196"/>
      <c r="S217" s="195">
        <v>229168</v>
      </c>
      <c r="T217" s="195">
        <v>0</v>
      </c>
      <c r="U217" s="195">
        <v>229168</v>
      </c>
      <c r="V217" s="185"/>
    </row>
    <row r="218" spans="1:22" x14ac:dyDescent="0.25">
      <c r="A218" s="192">
        <v>2021</v>
      </c>
      <c r="B218" s="192" t="s">
        <v>825</v>
      </c>
      <c r="C218" s="193" t="s">
        <v>37</v>
      </c>
      <c r="D218" s="194" t="s">
        <v>821</v>
      </c>
      <c r="E218" s="194" t="s">
        <v>821</v>
      </c>
      <c r="F218" s="194" t="s">
        <v>37</v>
      </c>
      <c r="G218" s="193" t="s">
        <v>396</v>
      </c>
      <c r="H218" s="195">
        <v>3</v>
      </c>
      <c r="I218" s="195">
        <v>3</v>
      </c>
      <c r="J218" s="196"/>
      <c r="K218" s="195">
        <v>114177</v>
      </c>
      <c r="L218" s="195">
        <v>57088.5</v>
      </c>
      <c r="M218" s="195">
        <v>57088.5</v>
      </c>
      <c r="N218" s="196"/>
      <c r="O218" s="195">
        <v>39747</v>
      </c>
      <c r="P218" s="195">
        <v>19873.5</v>
      </c>
      <c r="Q218" s="195">
        <v>19873.5</v>
      </c>
      <c r="R218" s="196"/>
      <c r="S218" s="195">
        <v>153924</v>
      </c>
      <c r="T218" s="195">
        <v>76962</v>
      </c>
      <c r="U218" s="195">
        <v>76962</v>
      </c>
      <c r="V218" s="185"/>
    </row>
    <row r="219" spans="1:22" x14ac:dyDescent="0.25">
      <c r="A219" s="192">
        <v>2021</v>
      </c>
      <c r="B219" s="192" t="s">
        <v>830</v>
      </c>
      <c r="C219" s="193" t="s">
        <v>231</v>
      </c>
      <c r="D219" s="194" t="s">
        <v>821</v>
      </c>
      <c r="E219" s="194" t="s">
        <v>821</v>
      </c>
      <c r="F219" s="194" t="s">
        <v>231</v>
      </c>
      <c r="G219" s="193" t="s">
        <v>581</v>
      </c>
      <c r="H219" s="195">
        <v>0</v>
      </c>
      <c r="I219" s="195">
        <v>10</v>
      </c>
      <c r="J219" s="196"/>
      <c r="K219" s="195">
        <v>224949</v>
      </c>
      <c r="L219" s="195">
        <v>0</v>
      </c>
      <c r="M219" s="195">
        <v>224949</v>
      </c>
      <c r="N219" s="196"/>
      <c r="O219" s="195">
        <v>82459</v>
      </c>
      <c r="P219" s="195">
        <v>0</v>
      </c>
      <c r="Q219" s="195">
        <v>82459</v>
      </c>
      <c r="R219" s="196"/>
      <c r="S219" s="195">
        <v>307408</v>
      </c>
      <c r="T219" s="195">
        <v>0</v>
      </c>
      <c r="U219" s="195">
        <v>307408</v>
      </c>
      <c r="V219" s="185"/>
    </row>
    <row r="220" spans="1:22" x14ac:dyDescent="0.25">
      <c r="A220" s="192">
        <v>2021</v>
      </c>
      <c r="B220" s="192" t="s">
        <v>822</v>
      </c>
      <c r="C220" s="193" t="s">
        <v>241</v>
      </c>
      <c r="D220" s="194" t="s">
        <v>821</v>
      </c>
      <c r="E220" s="194" t="s">
        <v>821</v>
      </c>
      <c r="F220" s="194" t="s">
        <v>241</v>
      </c>
      <c r="G220" s="193" t="s">
        <v>588</v>
      </c>
      <c r="H220" s="195">
        <v>0</v>
      </c>
      <c r="I220" s="195">
        <v>5</v>
      </c>
      <c r="J220" s="196"/>
      <c r="K220" s="195">
        <v>100338</v>
      </c>
      <c r="L220" s="195">
        <v>0</v>
      </c>
      <c r="M220" s="195">
        <v>100338</v>
      </c>
      <c r="N220" s="196"/>
      <c r="O220" s="195">
        <v>38103</v>
      </c>
      <c r="P220" s="195">
        <v>0</v>
      </c>
      <c r="Q220" s="195">
        <v>38103</v>
      </c>
      <c r="R220" s="196"/>
      <c r="S220" s="195">
        <v>138441</v>
      </c>
      <c r="T220" s="195">
        <v>0</v>
      </c>
      <c r="U220" s="195">
        <v>138441</v>
      </c>
      <c r="V220" s="185"/>
    </row>
    <row r="221" spans="1:22" x14ac:dyDescent="0.25">
      <c r="A221" s="192">
        <v>2021</v>
      </c>
      <c r="B221" s="192" t="s">
        <v>820</v>
      </c>
      <c r="C221" s="193" t="s">
        <v>242</v>
      </c>
      <c r="D221" s="194" t="s">
        <v>821</v>
      </c>
      <c r="E221" s="194" t="s">
        <v>821</v>
      </c>
      <c r="F221" s="194" t="s">
        <v>242</v>
      </c>
      <c r="G221" s="193" t="s">
        <v>589</v>
      </c>
      <c r="H221" s="195">
        <v>0</v>
      </c>
      <c r="I221" s="195">
        <v>0</v>
      </c>
      <c r="J221" s="196"/>
      <c r="K221" s="195">
        <v>0</v>
      </c>
      <c r="L221" s="195">
        <v>0</v>
      </c>
      <c r="M221" s="195">
        <v>0</v>
      </c>
      <c r="N221" s="196"/>
      <c r="O221" s="195">
        <v>0</v>
      </c>
      <c r="P221" s="195">
        <v>0</v>
      </c>
      <c r="Q221" s="195">
        <v>0</v>
      </c>
      <c r="R221" s="196"/>
      <c r="S221" s="195">
        <v>0</v>
      </c>
      <c r="T221" s="195">
        <v>0</v>
      </c>
      <c r="U221" s="195">
        <v>0</v>
      </c>
      <c r="V221" s="185"/>
    </row>
    <row r="222" spans="1:22" x14ac:dyDescent="0.25">
      <c r="A222" s="192">
        <v>2021</v>
      </c>
      <c r="B222" s="192" t="s">
        <v>824</v>
      </c>
      <c r="C222" s="193" t="s">
        <v>244</v>
      </c>
      <c r="D222" s="194" t="s">
        <v>44</v>
      </c>
      <c r="E222" s="194" t="s">
        <v>821</v>
      </c>
      <c r="F222" s="194" t="s">
        <v>244</v>
      </c>
      <c r="G222" s="193" t="s">
        <v>816</v>
      </c>
      <c r="H222" s="195">
        <v>0</v>
      </c>
      <c r="I222" s="195">
        <v>1</v>
      </c>
      <c r="J222" s="196"/>
      <c r="K222" s="195">
        <v>46393.5</v>
      </c>
      <c r="L222" s="195">
        <v>0</v>
      </c>
      <c r="M222" s="195">
        <v>46393.5</v>
      </c>
      <c r="N222" s="196"/>
      <c r="O222" s="195">
        <v>16935.5</v>
      </c>
      <c r="P222" s="195">
        <v>0</v>
      </c>
      <c r="Q222" s="195">
        <v>16935.5</v>
      </c>
      <c r="R222" s="196"/>
      <c r="S222" s="195">
        <v>63329</v>
      </c>
      <c r="T222" s="195">
        <v>0</v>
      </c>
      <c r="U222" s="195">
        <v>63329</v>
      </c>
      <c r="V222" s="185"/>
    </row>
    <row r="223" spans="1:22" x14ac:dyDescent="0.25">
      <c r="A223" s="192">
        <v>2021</v>
      </c>
      <c r="B223" s="192" t="s">
        <v>829</v>
      </c>
      <c r="C223" s="193" t="s">
        <v>245</v>
      </c>
      <c r="D223" s="194" t="s">
        <v>821</v>
      </c>
      <c r="E223" s="194" t="s">
        <v>821</v>
      </c>
      <c r="F223" s="194" t="s">
        <v>245</v>
      </c>
      <c r="G223" s="193" t="s">
        <v>591</v>
      </c>
      <c r="H223" s="195">
        <v>2</v>
      </c>
      <c r="I223" s="195">
        <v>5</v>
      </c>
      <c r="J223" s="196"/>
      <c r="K223" s="195">
        <v>284502.75</v>
      </c>
      <c r="L223" s="195">
        <v>81286.5</v>
      </c>
      <c r="M223" s="195">
        <v>203216.25</v>
      </c>
      <c r="N223" s="196"/>
      <c r="O223" s="195">
        <v>99313.25</v>
      </c>
      <c r="P223" s="195">
        <v>28375.21</v>
      </c>
      <c r="Q223" s="195">
        <v>70938.040000000008</v>
      </c>
      <c r="R223" s="196"/>
      <c r="S223" s="195">
        <v>383816</v>
      </c>
      <c r="T223" s="195">
        <v>109661.70999999999</v>
      </c>
      <c r="U223" s="195">
        <v>274154.29000000004</v>
      </c>
      <c r="V223" s="185"/>
    </row>
    <row r="224" spans="1:22" x14ac:dyDescent="0.25">
      <c r="A224" s="192">
        <v>2021</v>
      </c>
      <c r="B224" s="192" t="s">
        <v>820</v>
      </c>
      <c r="C224" s="193" t="s">
        <v>246</v>
      </c>
      <c r="D224" s="194" t="s">
        <v>821</v>
      </c>
      <c r="E224" s="194" t="s">
        <v>821</v>
      </c>
      <c r="F224" s="194" t="s">
        <v>246</v>
      </c>
      <c r="G224" s="193" t="s">
        <v>592</v>
      </c>
      <c r="H224" s="195">
        <v>0</v>
      </c>
      <c r="I224" s="195">
        <v>5</v>
      </c>
      <c r="J224" s="196"/>
      <c r="K224" s="195">
        <v>145836</v>
      </c>
      <c r="L224" s="195">
        <v>0</v>
      </c>
      <c r="M224" s="195">
        <v>145836</v>
      </c>
      <c r="N224" s="196"/>
      <c r="O224" s="195">
        <v>52970</v>
      </c>
      <c r="P224" s="195">
        <v>0</v>
      </c>
      <c r="Q224" s="195">
        <v>52970</v>
      </c>
      <c r="R224" s="196"/>
      <c r="S224" s="195">
        <v>198806</v>
      </c>
      <c r="T224" s="195">
        <v>0</v>
      </c>
      <c r="U224" s="195">
        <v>198806</v>
      </c>
      <c r="V224" s="185"/>
    </row>
    <row r="225" spans="1:22" x14ac:dyDescent="0.25">
      <c r="A225" s="192">
        <v>2021</v>
      </c>
      <c r="B225" s="192" t="s">
        <v>825</v>
      </c>
      <c r="C225" s="193" t="s">
        <v>247</v>
      </c>
      <c r="D225" s="194" t="s">
        <v>821</v>
      </c>
      <c r="E225" s="194" t="s">
        <v>821</v>
      </c>
      <c r="F225" s="194" t="s">
        <v>247</v>
      </c>
      <c r="G225" s="193" t="s">
        <v>593</v>
      </c>
      <c r="H225" s="195">
        <v>0</v>
      </c>
      <c r="I225" s="195">
        <v>2</v>
      </c>
      <c r="J225" s="196"/>
      <c r="K225" s="195">
        <v>127302.75</v>
      </c>
      <c r="L225" s="195">
        <v>0</v>
      </c>
      <c r="M225" s="195">
        <v>127302.75</v>
      </c>
      <c r="N225" s="196"/>
      <c r="O225" s="195">
        <v>59384.25</v>
      </c>
      <c r="P225" s="195">
        <v>0</v>
      </c>
      <c r="Q225" s="195">
        <v>59384.25</v>
      </c>
      <c r="R225" s="196"/>
      <c r="S225" s="195">
        <v>186687</v>
      </c>
      <c r="T225" s="195">
        <v>0</v>
      </c>
      <c r="U225" s="195">
        <v>186687</v>
      </c>
      <c r="V225" s="185"/>
    </row>
    <row r="226" spans="1:22" x14ac:dyDescent="0.25">
      <c r="A226" s="192">
        <v>2021</v>
      </c>
      <c r="B226" s="192" t="s">
        <v>827</v>
      </c>
      <c r="C226" s="193" t="s">
        <v>248</v>
      </c>
      <c r="D226" s="194" t="s">
        <v>821</v>
      </c>
      <c r="E226" s="194" t="s">
        <v>821</v>
      </c>
      <c r="F226" s="194" t="s">
        <v>248</v>
      </c>
      <c r="G226" s="193" t="s">
        <v>594</v>
      </c>
      <c r="H226" s="195">
        <v>0</v>
      </c>
      <c r="I226" s="195">
        <v>1</v>
      </c>
      <c r="J226" s="196"/>
      <c r="K226" s="195">
        <v>7582.5</v>
      </c>
      <c r="L226" s="195">
        <v>0</v>
      </c>
      <c r="M226" s="195">
        <v>7582.5</v>
      </c>
      <c r="N226" s="196"/>
      <c r="O226" s="195">
        <v>2682.5</v>
      </c>
      <c r="P226" s="195">
        <v>0</v>
      </c>
      <c r="Q226" s="195">
        <v>2682.5</v>
      </c>
      <c r="R226" s="196"/>
      <c r="S226" s="195">
        <v>10265</v>
      </c>
      <c r="T226" s="195">
        <v>0</v>
      </c>
      <c r="U226" s="195">
        <v>10265</v>
      </c>
      <c r="V226" s="185"/>
    </row>
    <row r="227" spans="1:22" x14ac:dyDescent="0.25">
      <c r="A227" s="192">
        <v>2021</v>
      </c>
      <c r="B227" s="192" t="s">
        <v>823</v>
      </c>
      <c r="C227" s="193" t="s">
        <v>249</v>
      </c>
      <c r="D227" s="194" t="s">
        <v>821</v>
      </c>
      <c r="E227" s="194" t="s">
        <v>821</v>
      </c>
      <c r="F227" s="194" t="s">
        <v>249</v>
      </c>
      <c r="G227" s="193" t="s">
        <v>595</v>
      </c>
      <c r="H227" s="195">
        <v>1</v>
      </c>
      <c r="I227" s="195">
        <v>1</v>
      </c>
      <c r="J227" s="196"/>
      <c r="K227" s="195">
        <v>13626</v>
      </c>
      <c r="L227" s="195">
        <v>6813</v>
      </c>
      <c r="M227" s="195">
        <v>6813</v>
      </c>
      <c r="N227" s="196"/>
      <c r="O227" s="195">
        <v>5213</v>
      </c>
      <c r="P227" s="195">
        <v>2606.5</v>
      </c>
      <c r="Q227" s="195">
        <v>2606.5</v>
      </c>
      <c r="R227" s="196"/>
      <c r="S227" s="195">
        <v>18839</v>
      </c>
      <c r="T227" s="195">
        <v>9419.5</v>
      </c>
      <c r="U227" s="195">
        <v>9419.5</v>
      </c>
      <c r="V227" s="185"/>
    </row>
    <row r="228" spans="1:22" x14ac:dyDescent="0.25">
      <c r="A228" s="192">
        <v>2021</v>
      </c>
      <c r="B228" s="192" t="s">
        <v>822</v>
      </c>
      <c r="C228" s="193" t="s">
        <v>250</v>
      </c>
      <c r="D228" s="194" t="s">
        <v>821</v>
      </c>
      <c r="E228" s="194" t="s">
        <v>821</v>
      </c>
      <c r="F228" s="194" t="s">
        <v>250</v>
      </c>
      <c r="G228" s="193" t="s">
        <v>596</v>
      </c>
      <c r="H228" s="195">
        <v>1</v>
      </c>
      <c r="I228" s="195">
        <v>1</v>
      </c>
      <c r="J228" s="196"/>
      <c r="K228" s="195">
        <v>80612.25</v>
      </c>
      <c r="L228" s="195">
        <v>40306.129999999997</v>
      </c>
      <c r="M228" s="195">
        <v>40306.120000000003</v>
      </c>
      <c r="N228" s="196"/>
      <c r="O228" s="195">
        <v>30309.75</v>
      </c>
      <c r="P228" s="195">
        <v>15154.88</v>
      </c>
      <c r="Q228" s="195">
        <v>15154.87</v>
      </c>
      <c r="R228" s="196"/>
      <c r="S228" s="195">
        <v>110922</v>
      </c>
      <c r="T228" s="195">
        <v>55461.009999999995</v>
      </c>
      <c r="U228" s="195">
        <v>55460.990000000005</v>
      </c>
      <c r="V228" s="185"/>
    </row>
    <row r="229" spans="1:22" x14ac:dyDescent="0.25">
      <c r="A229" s="192">
        <v>2021</v>
      </c>
      <c r="B229" s="192" t="s">
        <v>826</v>
      </c>
      <c r="C229" s="193" t="s">
        <v>251</v>
      </c>
      <c r="D229" s="194" t="s">
        <v>821</v>
      </c>
      <c r="E229" s="194" t="s">
        <v>821</v>
      </c>
      <c r="F229" s="194" t="s">
        <v>251</v>
      </c>
      <c r="G229" s="193" t="s">
        <v>597</v>
      </c>
      <c r="H229" s="195">
        <v>0</v>
      </c>
      <c r="I229" s="195">
        <v>4</v>
      </c>
      <c r="J229" s="196"/>
      <c r="K229" s="195">
        <v>393675.75</v>
      </c>
      <c r="L229" s="195">
        <v>0</v>
      </c>
      <c r="M229" s="195">
        <v>393675.75</v>
      </c>
      <c r="N229" s="196"/>
      <c r="O229" s="195">
        <v>150077.25</v>
      </c>
      <c r="P229" s="195">
        <v>0</v>
      </c>
      <c r="Q229" s="195">
        <v>150077.25</v>
      </c>
      <c r="R229" s="196"/>
      <c r="S229" s="195">
        <v>543753</v>
      </c>
      <c r="T229" s="195">
        <v>0</v>
      </c>
      <c r="U229" s="195">
        <v>543753</v>
      </c>
      <c r="V229" s="185"/>
    </row>
    <row r="230" spans="1:22" x14ac:dyDescent="0.25">
      <c r="A230" s="192">
        <v>2021</v>
      </c>
      <c r="B230" s="192" t="s">
        <v>826</v>
      </c>
      <c r="C230" s="193" t="s">
        <v>252</v>
      </c>
      <c r="D230" s="194" t="s">
        <v>821</v>
      </c>
      <c r="E230" s="194" t="s">
        <v>821</v>
      </c>
      <c r="F230" s="194" t="s">
        <v>252</v>
      </c>
      <c r="G230" s="193" t="s">
        <v>598</v>
      </c>
      <c r="H230" s="195">
        <v>0</v>
      </c>
      <c r="I230" s="195">
        <v>0</v>
      </c>
      <c r="J230" s="196"/>
      <c r="K230" s="195">
        <v>0</v>
      </c>
      <c r="L230" s="195">
        <v>0</v>
      </c>
      <c r="M230" s="195">
        <v>0</v>
      </c>
      <c r="N230" s="196"/>
      <c r="O230" s="195">
        <v>0</v>
      </c>
      <c r="P230" s="195">
        <v>0</v>
      </c>
      <c r="Q230" s="195">
        <v>0</v>
      </c>
      <c r="R230" s="196"/>
      <c r="S230" s="195">
        <v>0</v>
      </c>
      <c r="T230" s="195">
        <v>0</v>
      </c>
      <c r="U230" s="195">
        <v>0</v>
      </c>
      <c r="V230" s="185"/>
    </row>
    <row r="231" spans="1:22" x14ac:dyDescent="0.25">
      <c r="A231" s="192">
        <v>2021</v>
      </c>
      <c r="B231" s="192" t="s">
        <v>820</v>
      </c>
      <c r="C231" s="193" t="s">
        <v>253</v>
      </c>
      <c r="D231" s="194" t="s">
        <v>821</v>
      </c>
      <c r="E231" s="194" t="s">
        <v>821</v>
      </c>
      <c r="F231" s="194" t="s">
        <v>253</v>
      </c>
      <c r="G231" s="193" t="s">
        <v>599</v>
      </c>
      <c r="H231" s="195">
        <v>0</v>
      </c>
      <c r="I231" s="195">
        <v>4</v>
      </c>
      <c r="J231" s="196"/>
      <c r="K231" s="195">
        <v>162390.75</v>
      </c>
      <c r="L231" s="195">
        <v>0</v>
      </c>
      <c r="M231" s="195">
        <v>162390.75</v>
      </c>
      <c r="N231" s="196"/>
      <c r="O231" s="195">
        <v>70414.25</v>
      </c>
      <c r="P231" s="195">
        <v>0</v>
      </c>
      <c r="Q231" s="195">
        <v>70414.25</v>
      </c>
      <c r="R231" s="196"/>
      <c r="S231" s="195">
        <v>232805</v>
      </c>
      <c r="T231" s="195">
        <v>0</v>
      </c>
      <c r="U231" s="195">
        <v>232805</v>
      </c>
      <c r="V231" s="185"/>
    </row>
    <row r="232" spans="1:22" x14ac:dyDescent="0.25">
      <c r="A232" s="192">
        <v>2021</v>
      </c>
      <c r="B232" s="192" t="s">
        <v>825</v>
      </c>
      <c r="C232" s="193" t="s">
        <v>254</v>
      </c>
      <c r="D232" s="194" t="s">
        <v>821</v>
      </c>
      <c r="E232" s="194" t="s">
        <v>821</v>
      </c>
      <c r="F232" s="194" t="s">
        <v>254</v>
      </c>
      <c r="G232" s="193" t="s">
        <v>600</v>
      </c>
      <c r="H232" s="195">
        <v>0</v>
      </c>
      <c r="I232" s="195">
        <v>5</v>
      </c>
      <c r="J232" s="196"/>
      <c r="K232" s="195">
        <v>35262.75</v>
      </c>
      <c r="L232" s="195">
        <v>0</v>
      </c>
      <c r="M232" s="195">
        <v>35262.75</v>
      </c>
      <c r="N232" s="196"/>
      <c r="O232" s="195">
        <v>12409.25</v>
      </c>
      <c r="P232" s="195">
        <v>0</v>
      </c>
      <c r="Q232" s="195">
        <v>12409.25</v>
      </c>
      <c r="R232" s="196"/>
      <c r="S232" s="195">
        <v>47672</v>
      </c>
      <c r="T232" s="195">
        <v>0</v>
      </c>
      <c r="U232" s="195">
        <v>47672</v>
      </c>
      <c r="V232" s="185"/>
    </row>
    <row r="233" spans="1:22" x14ac:dyDescent="0.25">
      <c r="A233" s="192">
        <v>2021</v>
      </c>
      <c r="B233" s="192" t="s">
        <v>820</v>
      </c>
      <c r="C233" s="193" t="s">
        <v>263</v>
      </c>
      <c r="D233" s="194" t="s">
        <v>821</v>
      </c>
      <c r="E233" s="194" t="s">
        <v>821</v>
      </c>
      <c r="F233" s="194" t="s">
        <v>700</v>
      </c>
      <c r="G233" s="193" t="s">
        <v>6</v>
      </c>
      <c r="H233" s="195">
        <v>0</v>
      </c>
      <c r="I233" s="195">
        <v>5</v>
      </c>
      <c r="J233" s="196"/>
      <c r="K233" s="195">
        <v>231744.75</v>
      </c>
      <c r="L233" s="195">
        <v>0</v>
      </c>
      <c r="M233" s="195">
        <v>231744.75</v>
      </c>
      <c r="N233" s="196"/>
      <c r="O233" s="195">
        <v>91495.25</v>
      </c>
      <c r="P233" s="195">
        <v>0</v>
      </c>
      <c r="Q233" s="195">
        <v>91495.25</v>
      </c>
      <c r="R233" s="196"/>
      <c r="S233" s="195">
        <v>323240</v>
      </c>
      <c r="T233" s="195">
        <v>0</v>
      </c>
      <c r="U233" s="195">
        <v>323240</v>
      </c>
      <c r="V233" s="185"/>
    </row>
    <row r="234" spans="1:22" x14ac:dyDescent="0.25">
      <c r="A234" s="192">
        <v>2021</v>
      </c>
      <c r="B234" s="192" t="s">
        <v>826</v>
      </c>
      <c r="C234" s="193" t="s">
        <v>256</v>
      </c>
      <c r="D234" s="194" t="s">
        <v>821</v>
      </c>
      <c r="E234" s="194" t="s">
        <v>821</v>
      </c>
      <c r="F234" s="194" t="s">
        <v>256</v>
      </c>
      <c r="G234" s="193" t="s">
        <v>602</v>
      </c>
      <c r="H234" s="195">
        <v>3</v>
      </c>
      <c r="I234" s="195">
        <v>5</v>
      </c>
      <c r="J234" s="196"/>
      <c r="K234" s="195">
        <v>182936.25</v>
      </c>
      <c r="L234" s="195">
        <v>68601.09</v>
      </c>
      <c r="M234" s="195">
        <v>114335.16</v>
      </c>
      <c r="N234" s="196"/>
      <c r="O234" s="195">
        <v>67388.75</v>
      </c>
      <c r="P234" s="195">
        <v>25270.78</v>
      </c>
      <c r="Q234" s="195">
        <v>42117.97</v>
      </c>
      <c r="R234" s="196"/>
      <c r="S234" s="195">
        <v>250325</v>
      </c>
      <c r="T234" s="195">
        <v>93871.87</v>
      </c>
      <c r="U234" s="195">
        <v>156453.13</v>
      </c>
      <c r="V234" s="185"/>
    </row>
    <row r="235" spans="1:22" x14ac:dyDescent="0.25">
      <c r="A235" s="192">
        <v>2021</v>
      </c>
      <c r="B235" s="192" t="s">
        <v>820</v>
      </c>
      <c r="C235" s="193" t="s">
        <v>257</v>
      </c>
      <c r="D235" s="194" t="s">
        <v>821</v>
      </c>
      <c r="E235" s="194" t="s">
        <v>821</v>
      </c>
      <c r="F235" s="194" t="s">
        <v>257</v>
      </c>
      <c r="G235" s="193" t="s">
        <v>603</v>
      </c>
      <c r="H235" s="195">
        <v>0</v>
      </c>
      <c r="I235" s="195">
        <v>4</v>
      </c>
      <c r="J235" s="196"/>
      <c r="K235" s="195">
        <v>612520.5</v>
      </c>
      <c r="L235" s="195">
        <v>0</v>
      </c>
      <c r="M235" s="195">
        <v>612520.5</v>
      </c>
      <c r="N235" s="196"/>
      <c r="O235" s="195">
        <v>222859.5</v>
      </c>
      <c r="P235" s="195">
        <v>0</v>
      </c>
      <c r="Q235" s="195">
        <v>222859.5</v>
      </c>
      <c r="R235" s="196"/>
      <c r="S235" s="195">
        <v>835380</v>
      </c>
      <c r="T235" s="195">
        <v>0</v>
      </c>
      <c r="U235" s="195">
        <v>835380</v>
      </c>
      <c r="V235" s="185"/>
    </row>
    <row r="236" spans="1:22" x14ac:dyDescent="0.25">
      <c r="A236" s="192">
        <v>2021</v>
      </c>
      <c r="B236" s="192" t="s">
        <v>820</v>
      </c>
      <c r="C236" s="193" t="s">
        <v>258</v>
      </c>
      <c r="D236" s="194" t="s">
        <v>821</v>
      </c>
      <c r="E236" s="194" t="s">
        <v>821</v>
      </c>
      <c r="F236" s="194" t="s">
        <v>258</v>
      </c>
      <c r="G236" s="193" t="s">
        <v>604</v>
      </c>
      <c r="H236" s="195">
        <v>3</v>
      </c>
      <c r="I236" s="195">
        <v>0</v>
      </c>
      <c r="J236" s="196"/>
      <c r="K236" s="195">
        <v>165729.75</v>
      </c>
      <c r="L236" s="195">
        <v>165729.75</v>
      </c>
      <c r="M236" s="195">
        <v>0</v>
      </c>
      <c r="N236" s="196"/>
      <c r="O236" s="195">
        <v>60160.25</v>
      </c>
      <c r="P236" s="195">
        <v>60160.25</v>
      </c>
      <c r="Q236" s="195">
        <v>0</v>
      </c>
      <c r="R236" s="196"/>
      <c r="S236" s="195">
        <v>225890</v>
      </c>
      <c r="T236" s="195">
        <v>225890</v>
      </c>
      <c r="U236" s="195">
        <v>0</v>
      </c>
      <c r="V236" s="185"/>
    </row>
    <row r="237" spans="1:22" x14ac:dyDescent="0.25">
      <c r="A237" s="192">
        <v>2021</v>
      </c>
      <c r="B237" s="192" t="s">
        <v>830</v>
      </c>
      <c r="C237" s="193" t="s">
        <v>259</v>
      </c>
      <c r="D237" s="194" t="s">
        <v>821</v>
      </c>
      <c r="E237" s="194" t="s">
        <v>821</v>
      </c>
      <c r="F237" s="194" t="s">
        <v>259</v>
      </c>
      <c r="G237" s="193" t="s">
        <v>605</v>
      </c>
      <c r="H237" s="195">
        <v>0</v>
      </c>
      <c r="I237" s="195">
        <v>0</v>
      </c>
      <c r="J237" s="196"/>
      <c r="K237" s="195">
        <v>0</v>
      </c>
      <c r="L237" s="195">
        <v>0</v>
      </c>
      <c r="M237" s="195">
        <v>0</v>
      </c>
      <c r="N237" s="196"/>
      <c r="O237" s="195">
        <v>0</v>
      </c>
      <c r="P237" s="195">
        <v>0</v>
      </c>
      <c r="Q237" s="195">
        <v>0</v>
      </c>
      <c r="R237" s="196"/>
      <c r="S237" s="195">
        <v>0</v>
      </c>
      <c r="T237" s="195">
        <v>0</v>
      </c>
      <c r="U237" s="195">
        <v>0</v>
      </c>
      <c r="V237" s="185"/>
    </row>
    <row r="238" spans="1:22" x14ac:dyDescent="0.25">
      <c r="A238" s="192">
        <v>2021</v>
      </c>
      <c r="B238" s="192" t="s">
        <v>820</v>
      </c>
      <c r="C238" s="193" t="s">
        <v>260</v>
      </c>
      <c r="D238" s="194" t="s">
        <v>821</v>
      </c>
      <c r="E238" s="194" t="s">
        <v>821</v>
      </c>
      <c r="F238" s="194" t="s">
        <v>260</v>
      </c>
      <c r="G238" s="193" t="s">
        <v>606</v>
      </c>
      <c r="H238" s="195">
        <v>0</v>
      </c>
      <c r="I238" s="195">
        <v>8</v>
      </c>
      <c r="J238" s="196"/>
      <c r="K238" s="195">
        <v>230323.5</v>
      </c>
      <c r="L238" s="195">
        <v>0</v>
      </c>
      <c r="M238" s="195">
        <v>230323.5</v>
      </c>
      <c r="N238" s="196"/>
      <c r="O238" s="195">
        <v>91456.5</v>
      </c>
      <c r="P238" s="195">
        <v>0</v>
      </c>
      <c r="Q238" s="195">
        <v>91456.5</v>
      </c>
      <c r="R238" s="196"/>
      <c r="S238" s="195">
        <v>321780</v>
      </c>
      <c r="T238" s="195">
        <v>0</v>
      </c>
      <c r="U238" s="195">
        <v>321780</v>
      </c>
      <c r="V238" s="185"/>
    </row>
    <row r="239" spans="1:22" x14ac:dyDescent="0.25">
      <c r="A239" s="192">
        <v>2021</v>
      </c>
      <c r="B239" s="192" t="s">
        <v>825</v>
      </c>
      <c r="C239" s="193" t="s">
        <v>261</v>
      </c>
      <c r="D239" s="194" t="s">
        <v>821</v>
      </c>
      <c r="E239" s="194" t="s">
        <v>821</v>
      </c>
      <c r="F239" s="194" t="s">
        <v>261</v>
      </c>
      <c r="G239" s="193" t="s">
        <v>607</v>
      </c>
      <c r="H239" s="195">
        <v>0</v>
      </c>
      <c r="I239" s="195">
        <v>1</v>
      </c>
      <c r="J239" s="196"/>
      <c r="K239" s="195">
        <v>31722</v>
      </c>
      <c r="L239" s="195">
        <v>0</v>
      </c>
      <c r="M239" s="195">
        <v>31722</v>
      </c>
      <c r="N239" s="196"/>
      <c r="O239" s="195">
        <v>11273</v>
      </c>
      <c r="P239" s="195">
        <v>0</v>
      </c>
      <c r="Q239" s="195">
        <v>11273</v>
      </c>
      <c r="R239" s="196"/>
      <c r="S239" s="195">
        <v>42995</v>
      </c>
      <c r="T239" s="195">
        <v>0</v>
      </c>
      <c r="U239" s="195">
        <v>42995</v>
      </c>
      <c r="V239" s="185"/>
    </row>
    <row r="240" spans="1:22" x14ac:dyDescent="0.25">
      <c r="A240" s="192">
        <v>2021</v>
      </c>
      <c r="B240" s="192" t="s">
        <v>829</v>
      </c>
      <c r="C240" s="193" t="s">
        <v>262</v>
      </c>
      <c r="D240" s="194" t="s">
        <v>821</v>
      </c>
      <c r="E240" s="194" t="s">
        <v>821</v>
      </c>
      <c r="F240" s="194" t="s">
        <v>262</v>
      </c>
      <c r="G240" s="193" t="s">
        <v>608</v>
      </c>
      <c r="H240" s="195">
        <v>2</v>
      </c>
      <c r="I240" s="195">
        <v>13</v>
      </c>
      <c r="J240" s="196"/>
      <c r="K240" s="195">
        <v>229751.25</v>
      </c>
      <c r="L240" s="195">
        <v>30633.5</v>
      </c>
      <c r="M240" s="195">
        <v>199117.75</v>
      </c>
      <c r="N240" s="196"/>
      <c r="O240" s="195">
        <v>81207.75</v>
      </c>
      <c r="P240" s="195">
        <v>10827.7</v>
      </c>
      <c r="Q240" s="195">
        <v>70380.05</v>
      </c>
      <c r="R240" s="196"/>
      <c r="S240" s="195">
        <v>310959</v>
      </c>
      <c r="T240" s="195">
        <v>41461.199999999997</v>
      </c>
      <c r="U240" s="195">
        <v>269497.8</v>
      </c>
      <c r="V240" s="185"/>
    </row>
    <row r="241" spans="1:22" x14ac:dyDescent="0.25">
      <c r="A241" s="192">
        <v>2021</v>
      </c>
      <c r="B241" s="192" t="s">
        <v>825</v>
      </c>
      <c r="C241" s="193" t="s">
        <v>264</v>
      </c>
      <c r="D241" s="194" t="s">
        <v>821</v>
      </c>
      <c r="E241" s="194" t="s">
        <v>821</v>
      </c>
      <c r="F241" s="194" t="s">
        <v>701</v>
      </c>
      <c r="G241" s="193" t="s">
        <v>609</v>
      </c>
      <c r="H241" s="195">
        <v>0</v>
      </c>
      <c r="I241" s="195">
        <v>5</v>
      </c>
      <c r="J241" s="196"/>
      <c r="K241" s="195">
        <v>122182.5</v>
      </c>
      <c r="L241" s="195">
        <v>0</v>
      </c>
      <c r="M241" s="195">
        <v>122182.5</v>
      </c>
      <c r="N241" s="196"/>
      <c r="O241" s="195">
        <v>43177.5</v>
      </c>
      <c r="P241" s="195">
        <v>0</v>
      </c>
      <c r="Q241" s="195">
        <v>43177.5</v>
      </c>
      <c r="R241" s="196"/>
      <c r="S241" s="195">
        <v>165360</v>
      </c>
      <c r="T241" s="195">
        <v>0</v>
      </c>
      <c r="U241" s="195">
        <v>165360</v>
      </c>
      <c r="V241" s="185"/>
    </row>
    <row r="242" spans="1:22" x14ac:dyDescent="0.25">
      <c r="A242" s="192">
        <v>2021</v>
      </c>
      <c r="B242" s="192" t="s">
        <v>823</v>
      </c>
      <c r="C242" s="193" t="s">
        <v>265</v>
      </c>
      <c r="D242" s="194" t="s">
        <v>821</v>
      </c>
      <c r="E242" s="194" t="s">
        <v>821</v>
      </c>
      <c r="F242" s="194" t="s">
        <v>265</v>
      </c>
      <c r="G242" s="193" t="s">
        <v>610</v>
      </c>
      <c r="H242" s="195">
        <v>1</v>
      </c>
      <c r="I242" s="195">
        <v>9</v>
      </c>
      <c r="J242" s="196"/>
      <c r="K242" s="195">
        <v>399337.5</v>
      </c>
      <c r="L242" s="195">
        <v>39933.75</v>
      </c>
      <c r="M242" s="195">
        <v>359403.75</v>
      </c>
      <c r="N242" s="196"/>
      <c r="O242" s="195">
        <v>148669.5</v>
      </c>
      <c r="P242" s="195">
        <v>14866.95</v>
      </c>
      <c r="Q242" s="195">
        <v>133802.54999999999</v>
      </c>
      <c r="R242" s="196"/>
      <c r="S242" s="195">
        <v>548007</v>
      </c>
      <c r="T242" s="195">
        <v>54800.7</v>
      </c>
      <c r="U242" s="195">
        <v>493206.3</v>
      </c>
      <c r="V242" s="185"/>
    </row>
    <row r="243" spans="1:22" x14ac:dyDescent="0.25">
      <c r="A243" s="192">
        <v>2021</v>
      </c>
      <c r="B243" s="192" t="s">
        <v>824</v>
      </c>
      <c r="C243" s="193" t="s">
        <v>266</v>
      </c>
      <c r="D243" s="194" t="s">
        <v>821</v>
      </c>
      <c r="E243" s="194" t="s">
        <v>821</v>
      </c>
      <c r="F243" s="194" t="s">
        <v>266</v>
      </c>
      <c r="G243" s="193" t="s">
        <v>611</v>
      </c>
      <c r="H243" s="195">
        <v>0</v>
      </c>
      <c r="I243" s="195">
        <v>6</v>
      </c>
      <c r="J243" s="196"/>
      <c r="K243" s="195">
        <v>142661.25</v>
      </c>
      <c r="L243" s="195">
        <v>0</v>
      </c>
      <c r="M243" s="195">
        <v>142661.25</v>
      </c>
      <c r="N243" s="196"/>
      <c r="O243" s="195">
        <v>50703.75</v>
      </c>
      <c r="P243" s="195">
        <v>0</v>
      </c>
      <c r="Q243" s="195">
        <v>50703.75</v>
      </c>
      <c r="R243" s="196"/>
      <c r="S243" s="195">
        <v>193365</v>
      </c>
      <c r="T243" s="195">
        <v>0</v>
      </c>
      <c r="U243" s="195">
        <v>193365</v>
      </c>
      <c r="V243" s="185"/>
    </row>
    <row r="244" spans="1:22" x14ac:dyDescent="0.25">
      <c r="A244" s="192">
        <v>2021</v>
      </c>
      <c r="B244" s="192" t="s">
        <v>829</v>
      </c>
      <c r="C244" s="193" t="s">
        <v>267</v>
      </c>
      <c r="D244" s="194" t="s">
        <v>821</v>
      </c>
      <c r="E244" s="194" t="s">
        <v>821</v>
      </c>
      <c r="F244" s="194" t="s">
        <v>267</v>
      </c>
      <c r="G244" s="193" t="s">
        <v>612</v>
      </c>
      <c r="H244" s="195">
        <v>5</v>
      </c>
      <c r="I244" s="195">
        <v>5</v>
      </c>
      <c r="J244" s="196"/>
      <c r="K244" s="195">
        <v>113624.25</v>
      </c>
      <c r="L244" s="195">
        <v>56812.13</v>
      </c>
      <c r="M244" s="195">
        <v>56812.12</v>
      </c>
      <c r="N244" s="196"/>
      <c r="O244" s="195">
        <v>45047.75</v>
      </c>
      <c r="P244" s="195">
        <v>22523.88</v>
      </c>
      <c r="Q244" s="195">
        <v>22523.87</v>
      </c>
      <c r="R244" s="196"/>
      <c r="S244" s="195">
        <v>158672</v>
      </c>
      <c r="T244" s="195">
        <v>79336.009999999995</v>
      </c>
      <c r="U244" s="195">
        <v>79335.990000000005</v>
      </c>
      <c r="V244" s="185"/>
    </row>
    <row r="245" spans="1:22" x14ac:dyDescent="0.25">
      <c r="A245" s="192">
        <v>2021</v>
      </c>
      <c r="B245" s="192" t="s">
        <v>824</v>
      </c>
      <c r="C245" s="193" t="s">
        <v>122</v>
      </c>
      <c r="D245" s="194" t="s">
        <v>821</v>
      </c>
      <c r="E245" s="194" t="s">
        <v>821</v>
      </c>
      <c r="F245" s="194" t="s">
        <v>122</v>
      </c>
      <c r="G245" s="193" t="s">
        <v>475</v>
      </c>
      <c r="H245" s="195">
        <v>1</v>
      </c>
      <c r="I245" s="195">
        <v>1</v>
      </c>
      <c r="J245" s="196"/>
      <c r="K245" s="195">
        <v>29188.5</v>
      </c>
      <c r="L245" s="195">
        <v>14594.25</v>
      </c>
      <c r="M245" s="195">
        <v>14594.25</v>
      </c>
      <c r="N245" s="196"/>
      <c r="O245" s="195">
        <v>10951.5</v>
      </c>
      <c r="P245" s="195">
        <v>5475.75</v>
      </c>
      <c r="Q245" s="195">
        <v>5475.75</v>
      </c>
      <c r="R245" s="196"/>
      <c r="S245" s="195">
        <v>40140</v>
      </c>
      <c r="T245" s="195">
        <v>20070</v>
      </c>
      <c r="U245" s="195">
        <v>20070</v>
      </c>
      <c r="V245" s="185"/>
    </row>
    <row r="246" spans="1:22" x14ac:dyDescent="0.25">
      <c r="A246" s="192">
        <v>2021</v>
      </c>
      <c r="B246" s="192" t="s">
        <v>823</v>
      </c>
      <c r="C246" s="193" t="s">
        <v>243</v>
      </c>
      <c r="D246" s="194" t="s">
        <v>821</v>
      </c>
      <c r="E246" s="194" t="s">
        <v>821</v>
      </c>
      <c r="F246" s="194" t="s">
        <v>698</v>
      </c>
      <c r="G246" s="193" t="s">
        <v>590</v>
      </c>
      <c r="H246" s="195">
        <v>0</v>
      </c>
      <c r="I246" s="195">
        <v>9</v>
      </c>
      <c r="J246" s="196"/>
      <c r="K246" s="195">
        <v>213779.25</v>
      </c>
      <c r="L246" s="195">
        <v>0</v>
      </c>
      <c r="M246" s="195">
        <v>213779.25</v>
      </c>
      <c r="N246" s="196"/>
      <c r="O246" s="195">
        <v>80315.75</v>
      </c>
      <c r="P246" s="195">
        <v>0</v>
      </c>
      <c r="Q246" s="195">
        <v>80315.75</v>
      </c>
      <c r="R246" s="196"/>
      <c r="S246" s="195">
        <v>294095</v>
      </c>
      <c r="T246" s="195">
        <v>0</v>
      </c>
      <c r="U246" s="195">
        <v>294095</v>
      </c>
      <c r="V246" s="185"/>
    </row>
    <row r="247" spans="1:22" x14ac:dyDescent="0.25">
      <c r="A247" s="192">
        <v>2021</v>
      </c>
      <c r="B247" s="192" t="s">
        <v>824</v>
      </c>
      <c r="C247" s="193" t="s">
        <v>268</v>
      </c>
      <c r="D247" s="194" t="s">
        <v>821</v>
      </c>
      <c r="E247" s="194" t="s">
        <v>821</v>
      </c>
      <c r="F247" s="194" t="s">
        <v>268</v>
      </c>
      <c r="G247" s="193" t="s">
        <v>613</v>
      </c>
      <c r="H247" s="195">
        <v>0</v>
      </c>
      <c r="I247" s="195">
        <v>0</v>
      </c>
      <c r="J247" s="196"/>
      <c r="K247" s="195">
        <v>0</v>
      </c>
      <c r="L247" s="195">
        <v>0</v>
      </c>
      <c r="M247" s="195">
        <v>0</v>
      </c>
      <c r="N247" s="196"/>
      <c r="O247" s="195">
        <v>0</v>
      </c>
      <c r="P247" s="195">
        <v>0</v>
      </c>
      <c r="Q247" s="195">
        <v>0</v>
      </c>
      <c r="R247" s="196"/>
      <c r="S247" s="195">
        <v>0</v>
      </c>
      <c r="T247" s="195">
        <v>0</v>
      </c>
      <c r="U247" s="195">
        <v>0</v>
      </c>
      <c r="V247" s="185"/>
    </row>
    <row r="248" spans="1:22" x14ac:dyDescent="0.25">
      <c r="A248" s="192">
        <v>2021</v>
      </c>
      <c r="B248" s="192" t="s">
        <v>820</v>
      </c>
      <c r="C248" s="193" t="s">
        <v>269</v>
      </c>
      <c r="D248" s="194" t="s">
        <v>821</v>
      </c>
      <c r="E248" s="194" t="s">
        <v>821</v>
      </c>
      <c r="F248" s="194" t="s">
        <v>269</v>
      </c>
      <c r="G248" s="193" t="s">
        <v>614</v>
      </c>
      <c r="H248" s="195">
        <v>2</v>
      </c>
      <c r="I248" s="195">
        <v>6</v>
      </c>
      <c r="J248" s="196"/>
      <c r="K248" s="195">
        <v>426750.75</v>
      </c>
      <c r="L248" s="195">
        <v>106687.69</v>
      </c>
      <c r="M248" s="195">
        <v>320063.06</v>
      </c>
      <c r="N248" s="196"/>
      <c r="O248" s="195">
        <v>171469.25</v>
      </c>
      <c r="P248" s="195">
        <v>42867.31</v>
      </c>
      <c r="Q248" s="195">
        <v>128601.94</v>
      </c>
      <c r="R248" s="196"/>
      <c r="S248" s="195">
        <v>598220</v>
      </c>
      <c r="T248" s="195">
        <v>149555</v>
      </c>
      <c r="U248" s="195">
        <v>448665</v>
      </c>
      <c r="V248" s="185"/>
    </row>
    <row r="249" spans="1:22" x14ac:dyDescent="0.25">
      <c r="A249" s="192">
        <v>2021</v>
      </c>
      <c r="B249" s="192" t="s">
        <v>822</v>
      </c>
      <c r="C249" s="193" t="s">
        <v>270</v>
      </c>
      <c r="D249" s="194" t="s">
        <v>821</v>
      </c>
      <c r="E249" s="194" t="s">
        <v>821</v>
      </c>
      <c r="F249" s="194" t="s">
        <v>270</v>
      </c>
      <c r="G249" s="193" t="s">
        <v>615</v>
      </c>
      <c r="H249" s="195">
        <v>0</v>
      </c>
      <c r="I249" s="195">
        <v>3</v>
      </c>
      <c r="J249" s="196"/>
      <c r="K249" s="195">
        <v>61210.5</v>
      </c>
      <c r="L249" s="195">
        <v>0</v>
      </c>
      <c r="M249" s="195">
        <v>61210.5</v>
      </c>
      <c r="N249" s="196"/>
      <c r="O249" s="195">
        <v>21811.5</v>
      </c>
      <c r="P249" s="195">
        <v>0</v>
      </c>
      <c r="Q249" s="195">
        <v>21811.5</v>
      </c>
      <c r="R249" s="196"/>
      <c r="S249" s="195">
        <v>83022</v>
      </c>
      <c r="T249" s="195">
        <v>0</v>
      </c>
      <c r="U249" s="195">
        <v>83022</v>
      </c>
      <c r="V249" s="185"/>
    </row>
    <row r="250" spans="1:22" x14ac:dyDescent="0.25">
      <c r="A250" s="192">
        <v>2021</v>
      </c>
      <c r="B250" s="192" t="s">
        <v>825</v>
      </c>
      <c r="C250" s="193" t="s">
        <v>271</v>
      </c>
      <c r="D250" s="194" t="s">
        <v>821</v>
      </c>
      <c r="E250" s="194" t="s">
        <v>821</v>
      </c>
      <c r="F250" s="194" t="s">
        <v>271</v>
      </c>
      <c r="G250" s="193" t="s">
        <v>616</v>
      </c>
      <c r="H250" s="195">
        <v>0</v>
      </c>
      <c r="I250" s="195">
        <v>10</v>
      </c>
      <c r="J250" s="196"/>
      <c r="K250" s="195">
        <v>80478.75</v>
      </c>
      <c r="L250" s="195">
        <v>0</v>
      </c>
      <c r="M250" s="195">
        <v>80478.75</v>
      </c>
      <c r="N250" s="196"/>
      <c r="O250" s="195">
        <v>29511.25</v>
      </c>
      <c r="P250" s="195">
        <v>0</v>
      </c>
      <c r="Q250" s="195">
        <v>29511.25</v>
      </c>
      <c r="R250" s="196"/>
      <c r="S250" s="195">
        <v>109990</v>
      </c>
      <c r="T250" s="195">
        <v>0</v>
      </c>
      <c r="U250" s="195">
        <v>109990</v>
      </c>
      <c r="V250" s="185"/>
    </row>
    <row r="251" spans="1:22" x14ac:dyDescent="0.25">
      <c r="A251" s="192">
        <v>2021</v>
      </c>
      <c r="B251" s="192" t="s">
        <v>820</v>
      </c>
      <c r="C251" s="193" t="s">
        <v>273</v>
      </c>
      <c r="D251" s="194" t="s">
        <v>821</v>
      </c>
      <c r="E251" s="194" t="s">
        <v>821</v>
      </c>
      <c r="F251" s="194" t="s">
        <v>273</v>
      </c>
      <c r="G251" s="193" t="s">
        <v>618</v>
      </c>
      <c r="H251" s="195">
        <v>0</v>
      </c>
      <c r="I251" s="195">
        <v>0</v>
      </c>
      <c r="J251" s="196"/>
      <c r="K251" s="195">
        <v>0</v>
      </c>
      <c r="L251" s="195">
        <v>0</v>
      </c>
      <c r="M251" s="195">
        <v>0</v>
      </c>
      <c r="N251" s="196"/>
      <c r="O251" s="195">
        <v>0</v>
      </c>
      <c r="P251" s="195">
        <v>0</v>
      </c>
      <c r="Q251" s="195">
        <v>0</v>
      </c>
      <c r="R251" s="196"/>
      <c r="S251" s="195">
        <v>0</v>
      </c>
      <c r="T251" s="195">
        <v>0</v>
      </c>
      <c r="U251" s="195">
        <v>0</v>
      </c>
      <c r="V251" s="185"/>
    </row>
    <row r="252" spans="1:22" x14ac:dyDescent="0.25">
      <c r="A252" s="192">
        <v>2021</v>
      </c>
      <c r="B252" s="192" t="s">
        <v>825</v>
      </c>
      <c r="C252" s="193" t="s">
        <v>274</v>
      </c>
      <c r="D252" s="194" t="s">
        <v>821</v>
      </c>
      <c r="E252" s="194" t="s">
        <v>821</v>
      </c>
      <c r="F252" s="194" t="s">
        <v>274</v>
      </c>
      <c r="G252" s="193" t="s">
        <v>619</v>
      </c>
      <c r="H252" s="195">
        <v>1</v>
      </c>
      <c r="I252" s="195">
        <v>1</v>
      </c>
      <c r="J252" s="196"/>
      <c r="K252" s="195">
        <v>33372.75</v>
      </c>
      <c r="L252" s="195">
        <v>16686.38</v>
      </c>
      <c r="M252" s="195">
        <v>16686.37</v>
      </c>
      <c r="N252" s="196"/>
      <c r="O252" s="195">
        <v>11758.25</v>
      </c>
      <c r="P252" s="195">
        <v>5879.13</v>
      </c>
      <c r="Q252" s="195">
        <v>5879.12</v>
      </c>
      <c r="R252" s="196"/>
      <c r="S252" s="195">
        <v>45131</v>
      </c>
      <c r="T252" s="195">
        <v>22565.510000000002</v>
      </c>
      <c r="U252" s="195">
        <v>22565.489999999998</v>
      </c>
      <c r="V252" s="185"/>
    </row>
    <row r="253" spans="1:22" x14ac:dyDescent="0.25">
      <c r="A253" s="192">
        <v>2021</v>
      </c>
      <c r="B253" s="192" t="s">
        <v>824</v>
      </c>
      <c r="C253" s="193" t="s">
        <v>275</v>
      </c>
      <c r="D253" s="194" t="s">
        <v>821</v>
      </c>
      <c r="E253" s="194" t="s">
        <v>821</v>
      </c>
      <c r="F253" s="194" t="s">
        <v>275</v>
      </c>
      <c r="G253" s="193" t="s">
        <v>620</v>
      </c>
      <c r="H253" s="195">
        <v>0</v>
      </c>
      <c r="I253" s="195">
        <v>1</v>
      </c>
      <c r="J253" s="196"/>
      <c r="K253" s="195">
        <v>11037</v>
      </c>
      <c r="L253" s="195">
        <v>0</v>
      </c>
      <c r="M253" s="195">
        <v>11037</v>
      </c>
      <c r="N253" s="196"/>
      <c r="O253" s="195">
        <v>3848</v>
      </c>
      <c r="P253" s="195">
        <v>0</v>
      </c>
      <c r="Q253" s="195">
        <v>3848</v>
      </c>
      <c r="R253" s="196"/>
      <c r="S253" s="195">
        <v>14885</v>
      </c>
      <c r="T253" s="195">
        <v>0</v>
      </c>
      <c r="U253" s="195">
        <v>14885</v>
      </c>
      <c r="V253" s="185"/>
    </row>
    <row r="254" spans="1:22" x14ac:dyDescent="0.25">
      <c r="A254" s="192">
        <v>2021</v>
      </c>
      <c r="B254" s="192" t="s">
        <v>824</v>
      </c>
      <c r="C254" s="193" t="s">
        <v>276</v>
      </c>
      <c r="D254" s="194" t="s">
        <v>821</v>
      </c>
      <c r="E254" s="194" t="s">
        <v>821</v>
      </c>
      <c r="F254" s="194" t="s">
        <v>276</v>
      </c>
      <c r="G254" s="193" t="s">
        <v>621</v>
      </c>
      <c r="H254" s="195">
        <v>0</v>
      </c>
      <c r="I254" s="195">
        <v>0</v>
      </c>
      <c r="J254" s="196"/>
      <c r="K254" s="195">
        <v>0</v>
      </c>
      <c r="L254" s="195">
        <v>0</v>
      </c>
      <c r="M254" s="195">
        <v>0</v>
      </c>
      <c r="N254" s="196"/>
      <c r="O254" s="195">
        <v>0</v>
      </c>
      <c r="P254" s="195">
        <v>0</v>
      </c>
      <c r="Q254" s="195">
        <v>0</v>
      </c>
      <c r="R254" s="196"/>
      <c r="S254" s="195">
        <v>0</v>
      </c>
      <c r="T254" s="195">
        <v>0</v>
      </c>
      <c r="U254" s="195">
        <v>0</v>
      </c>
      <c r="V254" s="185"/>
    </row>
    <row r="255" spans="1:22" x14ac:dyDescent="0.25">
      <c r="A255" s="192">
        <v>2021</v>
      </c>
      <c r="B255" s="192" t="s">
        <v>826</v>
      </c>
      <c r="C255" s="193" t="s">
        <v>277</v>
      </c>
      <c r="D255" s="194" t="s">
        <v>821</v>
      </c>
      <c r="E255" s="194" t="s">
        <v>821</v>
      </c>
      <c r="F255" s="194" t="s">
        <v>277</v>
      </c>
      <c r="G255" s="193" t="s">
        <v>622</v>
      </c>
      <c r="H255" s="195">
        <v>0</v>
      </c>
      <c r="I255" s="195">
        <v>10</v>
      </c>
      <c r="J255" s="196"/>
      <c r="K255" s="195">
        <v>85395</v>
      </c>
      <c r="L255" s="195">
        <v>0</v>
      </c>
      <c r="M255" s="195">
        <v>85395</v>
      </c>
      <c r="N255" s="196"/>
      <c r="O255" s="195">
        <v>34961</v>
      </c>
      <c r="P255" s="195">
        <v>0</v>
      </c>
      <c r="Q255" s="195">
        <v>34961</v>
      </c>
      <c r="R255" s="196"/>
      <c r="S255" s="195">
        <v>120356</v>
      </c>
      <c r="T255" s="195">
        <v>0</v>
      </c>
      <c r="U255" s="195">
        <v>120356</v>
      </c>
      <c r="V255" s="185"/>
    </row>
    <row r="256" spans="1:22" x14ac:dyDescent="0.25">
      <c r="A256" s="192">
        <v>2021</v>
      </c>
      <c r="B256" s="192" t="s">
        <v>824</v>
      </c>
      <c r="C256" s="193" t="s">
        <v>279</v>
      </c>
      <c r="D256" s="194" t="s">
        <v>821</v>
      </c>
      <c r="E256" s="194" t="s">
        <v>821</v>
      </c>
      <c r="F256" s="194" t="s">
        <v>279</v>
      </c>
      <c r="G256" s="193" t="s">
        <v>624</v>
      </c>
      <c r="H256" s="195">
        <v>0</v>
      </c>
      <c r="I256" s="195">
        <v>7</v>
      </c>
      <c r="J256" s="196"/>
      <c r="K256" s="195">
        <v>362223</v>
      </c>
      <c r="L256" s="195">
        <v>0</v>
      </c>
      <c r="M256" s="195">
        <v>362223</v>
      </c>
      <c r="N256" s="196"/>
      <c r="O256" s="195">
        <v>146365</v>
      </c>
      <c r="P256" s="195">
        <v>0</v>
      </c>
      <c r="Q256" s="195">
        <v>146365</v>
      </c>
      <c r="R256" s="196"/>
      <c r="S256" s="195">
        <v>508588</v>
      </c>
      <c r="T256" s="195">
        <v>0</v>
      </c>
      <c r="U256" s="195">
        <v>508588</v>
      </c>
      <c r="V256" s="185"/>
    </row>
    <row r="257" spans="1:22" x14ac:dyDescent="0.25">
      <c r="A257" s="192">
        <v>2021</v>
      </c>
      <c r="B257" s="192" t="s">
        <v>823</v>
      </c>
      <c r="C257" s="193" t="s">
        <v>280</v>
      </c>
      <c r="D257" s="194" t="s">
        <v>821</v>
      </c>
      <c r="E257" s="194" t="s">
        <v>821</v>
      </c>
      <c r="F257" s="194" t="s">
        <v>280</v>
      </c>
      <c r="G257" s="193" t="s">
        <v>625</v>
      </c>
      <c r="H257" s="195">
        <v>4</v>
      </c>
      <c r="I257" s="195">
        <v>4</v>
      </c>
      <c r="J257" s="196"/>
      <c r="K257" s="195">
        <v>300468.75</v>
      </c>
      <c r="L257" s="195">
        <v>150234.38</v>
      </c>
      <c r="M257" s="195">
        <v>150234.37</v>
      </c>
      <c r="N257" s="196"/>
      <c r="O257" s="195">
        <v>109614.25</v>
      </c>
      <c r="P257" s="195">
        <v>54807.13</v>
      </c>
      <c r="Q257" s="195">
        <v>54807.12</v>
      </c>
      <c r="R257" s="196"/>
      <c r="S257" s="195">
        <v>410083</v>
      </c>
      <c r="T257" s="195">
        <v>205041.51</v>
      </c>
      <c r="U257" s="195">
        <v>205041.49</v>
      </c>
      <c r="V257" s="185"/>
    </row>
    <row r="258" spans="1:22" x14ac:dyDescent="0.25">
      <c r="A258" s="192">
        <v>2021</v>
      </c>
      <c r="B258" s="192" t="s">
        <v>824</v>
      </c>
      <c r="C258" s="193" t="s">
        <v>281</v>
      </c>
      <c r="D258" s="194" t="s">
        <v>821</v>
      </c>
      <c r="E258" s="194" t="s">
        <v>821</v>
      </c>
      <c r="F258" s="194" t="s">
        <v>281</v>
      </c>
      <c r="G258" s="193" t="s">
        <v>626</v>
      </c>
      <c r="H258" s="195">
        <v>4</v>
      </c>
      <c r="I258" s="195">
        <v>6</v>
      </c>
      <c r="J258" s="196"/>
      <c r="K258" s="195">
        <v>270298.5</v>
      </c>
      <c r="L258" s="195">
        <v>108119.4</v>
      </c>
      <c r="M258" s="195">
        <v>162179.1</v>
      </c>
      <c r="N258" s="196"/>
      <c r="O258" s="195">
        <v>108210.5</v>
      </c>
      <c r="P258" s="195">
        <v>43284.2</v>
      </c>
      <c r="Q258" s="195">
        <v>64926.3</v>
      </c>
      <c r="R258" s="196"/>
      <c r="S258" s="195">
        <v>378509</v>
      </c>
      <c r="T258" s="195">
        <v>151403.59999999998</v>
      </c>
      <c r="U258" s="195">
        <v>227105.40000000002</v>
      </c>
      <c r="V258" s="185"/>
    </row>
    <row r="259" spans="1:22" x14ac:dyDescent="0.25">
      <c r="A259" s="192">
        <v>2021</v>
      </c>
      <c r="B259" s="192" t="s">
        <v>823</v>
      </c>
      <c r="C259" s="193" t="s">
        <v>282</v>
      </c>
      <c r="D259" s="194" t="s">
        <v>821</v>
      </c>
      <c r="E259" s="194" t="s">
        <v>821</v>
      </c>
      <c r="F259" s="194" t="s">
        <v>282</v>
      </c>
      <c r="G259" s="193" t="s">
        <v>627</v>
      </c>
      <c r="H259" s="195">
        <v>10</v>
      </c>
      <c r="I259" s="195">
        <v>10</v>
      </c>
      <c r="J259" s="196"/>
      <c r="K259" s="195">
        <v>267052.5</v>
      </c>
      <c r="L259" s="195">
        <v>133526.25</v>
      </c>
      <c r="M259" s="195">
        <v>133526.25</v>
      </c>
      <c r="N259" s="196"/>
      <c r="O259" s="195">
        <v>92110.5</v>
      </c>
      <c r="P259" s="195">
        <v>46055.25</v>
      </c>
      <c r="Q259" s="195">
        <v>46055.25</v>
      </c>
      <c r="R259" s="196"/>
      <c r="S259" s="195">
        <v>359163</v>
      </c>
      <c r="T259" s="195">
        <v>179581.5</v>
      </c>
      <c r="U259" s="195">
        <v>179581.5</v>
      </c>
      <c r="V259" s="185"/>
    </row>
    <row r="260" spans="1:22" x14ac:dyDescent="0.25">
      <c r="A260" s="192">
        <v>2021</v>
      </c>
      <c r="B260" s="192" t="s">
        <v>826</v>
      </c>
      <c r="C260" s="193" t="s">
        <v>283</v>
      </c>
      <c r="D260" s="194" t="s">
        <v>821</v>
      </c>
      <c r="E260" s="194" t="s">
        <v>821</v>
      </c>
      <c r="F260" s="194" t="s">
        <v>283</v>
      </c>
      <c r="G260" s="193" t="s">
        <v>628</v>
      </c>
      <c r="H260" s="195">
        <v>0</v>
      </c>
      <c r="I260" s="195">
        <v>1</v>
      </c>
      <c r="J260" s="196"/>
      <c r="K260" s="195">
        <v>21847.5</v>
      </c>
      <c r="L260" s="195">
        <v>0</v>
      </c>
      <c r="M260" s="195">
        <v>21847.5</v>
      </c>
      <c r="N260" s="196"/>
      <c r="O260" s="195">
        <v>8358.5</v>
      </c>
      <c r="P260" s="195">
        <v>0</v>
      </c>
      <c r="Q260" s="195">
        <v>8358.5</v>
      </c>
      <c r="R260" s="196"/>
      <c r="S260" s="195">
        <v>30206</v>
      </c>
      <c r="T260" s="195">
        <v>0</v>
      </c>
      <c r="U260" s="195">
        <v>30206</v>
      </c>
      <c r="V260" s="185"/>
    </row>
    <row r="261" spans="1:22" x14ac:dyDescent="0.25">
      <c r="A261" s="192">
        <v>2021</v>
      </c>
      <c r="B261" s="192" t="s">
        <v>824</v>
      </c>
      <c r="C261" s="193" t="s">
        <v>284</v>
      </c>
      <c r="D261" s="194" t="s">
        <v>821</v>
      </c>
      <c r="E261" s="194" t="s">
        <v>821</v>
      </c>
      <c r="F261" s="194" t="s">
        <v>284</v>
      </c>
      <c r="G261" s="193" t="s">
        <v>629</v>
      </c>
      <c r="H261" s="195">
        <v>0</v>
      </c>
      <c r="I261" s="195">
        <v>5</v>
      </c>
      <c r="J261" s="196"/>
      <c r="K261" s="195">
        <v>400245.75</v>
      </c>
      <c r="L261" s="195">
        <v>0</v>
      </c>
      <c r="M261" s="195">
        <v>400245.75</v>
      </c>
      <c r="N261" s="196"/>
      <c r="O261" s="195">
        <v>143257.25</v>
      </c>
      <c r="P261" s="195">
        <v>0</v>
      </c>
      <c r="Q261" s="195">
        <v>143257.25</v>
      </c>
      <c r="R261" s="196"/>
      <c r="S261" s="195">
        <v>543503</v>
      </c>
      <c r="T261" s="195">
        <v>0</v>
      </c>
      <c r="U261" s="195">
        <v>543503</v>
      </c>
      <c r="V261" s="185"/>
    </row>
    <row r="262" spans="1:22" x14ac:dyDescent="0.25">
      <c r="A262" s="192">
        <v>2021</v>
      </c>
      <c r="B262" s="192" t="s">
        <v>825</v>
      </c>
      <c r="C262" s="193" t="s">
        <v>286</v>
      </c>
      <c r="D262" s="194" t="s">
        <v>821</v>
      </c>
      <c r="E262" s="194" t="s">
        <v>821</v>
      </c>
      <c r="F262" s="194" t="s">
        <v>702</v>
      </c>
      <c r="G262" s="193" t="s">
        <v>631</v>
      </c>
      <c r="H262" s="195">
        <v>0</v>
      </c>
      <c r="I262" s="195">
        <v>5</v>
      </c>
      <c r="J262" s="196"/>
      <c r="K262" s="195">
        <v>101736</v>
      </c>
      <c r="L262" s="195">
        <v>0</v>
      </c>
      <c r="M262" s="195">
        <v>101736</v>
      </c>
      <c r="N262" s="196"/>
      <c r="O262" s="195">
        <v>38961</v>
      </c>
      <c r="P262" s="195">
        <v>0</v>
      </c>
      <c r="Q262" s="195">
        <v>38961</v>
      </c>
      <c r="R262" s="196"/>
      <c r="S262" s="195">
        <v>140697</v>
      </c>
      <c r="T262" s="195">
        <v>0</v>
      </c>
      <c r="U262" s="195">
        <v>140697</v>
      </c>
      <c r="V262" s="185"/>
    </row>
    <row r="263" spans="1:22" x14ac:dyDescent="0.25">
      <c r="A263" s="192">
        <v>2021</v>
      </c>
      <c r="B263" s="192" t="s">
        <v>824</v>
      </c>
      <c r="C263" s="193" t="s">
        <v>285</v>
      </c>
      <c r="D263" s="194" t="s">
        <v>821</v>
      </c>
      <c r="E263" s="194" t="s">
        <v>821</v>
      </c>
      <c r="F263" s="194" t="s">
        <v>285</v>
      </c>
      <c r="G263" s="193" t="s">
        <v>630</v>
      </c>
      <c r="H263" s="195">
        <v>0</v>
      </c>
      <c r="I263" s="195">
        <v>3</v>
      </c>
      <c r="J263" s="196"/>
      <c r="K263" s="195">
        <v>1439144.25</v>
      </c>
      <c r="L263" s="195">
        <v>0</v>
      </c>
      <c r="M263" s="195">
        <v>1439144.25</v>
      </c>
      <c r="N263" s="196"/>
      <c r="O263" s="195">
        <v>536663.75</v>
      </c>
      <c r="P263" s="195">
        <v>0</v>
      </c>
      <c r="Q263" s="195">
        <v>536663.75</v>
      </c>
      <c r="R263" s="196"/>
      <c r="S263" s="195">
        <v>1975808</v>
      </c>
      <c r="T263" s="195">
        <v>0</v>
      </c>
      <c r="U263" s="195">
        <v>1975808</v>
      </c>
      <c r="V263" s="185"/>
    </row>
    <row r="264" spans="1:22" x14ac:dyDescent="0.25">
      <c r="A264" s="192">
        <v>2021</v>
      </c>
      <c r="B264" s="192" t="s">
        <v>827</v>
      </c>
      <c r="C264" s="193" t="s">
        <v>288</v>
      </c>
      <c r="D264" s="194" t="s">
        <v>821</v>
      </c>
      <c r="E264" s="194" t="s">
        <v>821</v>
      </c>
      <c r="F264" s="194" t="s">
        <v>288</v>
      </c>
      <c r="G264" s="193" t="s">
        <v>633</v>
      </c>
      <c r="H264" s="195">
        <v>0</v>
      </c>
      <c r="I264" s="195">
        <v>5</v>
      </c>
      <c r="J264" s="196"/>
      <c r="K264" s="195">
        <v>496227</v>
      </c>
      <c r="L264" s="195">
        <v>0</v>
      </c>
      <c r="M264" s="195">
        <v>496227</v>
      </c>
      <c r="N264" s="196"/>
      <c r="O264" s="195">
        <v>205908</v>
      </c>
      <c r="P264" s="195">
        <v>0</v>
      </c>
      <c r="Q264" s="195">
        <v>205908</v>
      </c>
      <c r="R264" s="196"/>
      <c r="S264" s="195">
        <v>702135</v>
      </c>
      <c r="T264" s="195">
        <v>0</v>
      </c>
      <c r="U264" s="195">
        <v>702135</v>
      </c>
      <c r="V264" s="185"/>
    </row>
    <row r="265" spans="1:22" x14ac:dyDescent="0.25">
      <c r="A265" s="192">
        <v>2021</v>
      </c>
      <c r="B265" s="192" t="s">
        <v>825</v>
      </c>
      <c r="C265" s="193" t="s">
        <v>287</v>
      </c>
      <c r="D265" s="194" t="s">
        <v>821</v>
      </c>
      <c r="E265" s="194" t="s">
        <v>821</v>
      </c>
      <c r="F265" s="194" t="s">
        <v>287</v>
      </c>
      <c r="G265" s="193" t="s">
        <v>632</v>
      </c>
      <c r="H265" s="195">
        <v>0</v>
      </c>
      <c r="I265" s="195">
        <v>1</v>
      </c>
      <c r="J265" s="196"/>
      <c r="K265" s="195">
        <v>39278.25</v>
      </c>
      <c r="L265" s="195">
        <v>0</v>
      </c>
      <c r="M265" s="195">
        <v>39278.25</v>
      </c>
      <c r="N265" s="196"/>
      <c r="O265" s="195">
        <v>14497.75</v>
      </c>
      <c r="P265" s="195">
        <v>0</v>
      </c>
      <c r="Q265" s="195">
        <v>14497.75</v>
      </c>
      <c r="R265" s="196"/>
      <c r="S265" s="195">
        <v>53776</v>
      </c>
      <c r="T265" s="195">
        <v>0</v>
      </c>
      <c r="U265" s="195">
        <v>53776</v>
      </c>
      <c r="V265" s="185"/>
    </row>
    <row r="266" spans="1:22" x14ac:dyDescent="0.25">
      <c r="A266" s="192">
        <v>2021</v>
      </c>
      <c r="B266" s="192" t="s">
        <v>825</v>
      </c>
      <c r="C266" s="193" t="s">
        <v>290</v>
      </c>
      <c r="D266" s="194" t="s">
        <v>821</v>
      </c>
      <c r="E266" s="194" t="s">
        <v>821</v>
      </c>
      <c r="F266" s="194" t="s">
        <v>290</v>
      </c>
      <c r="G266" s="193" t="s">
        <v>635</v>
      </c>
      <c r="H266" s="195">
        <v>0</v>
      </c>
      <c r="I266" s="195">
        <v>8</v>
      </c>
      <c r="J266" s="196"/>
      <c r="K266" s="195">
        <v>243441</v>
      </c>
      <c r="L266" s="195">
        <v>0</v>
      </c>
      <c r="M266" s="195">
        <v>243441</v>
      </c>
      <c r="N266" s="196"/>
      <c r="O266" s="195">
        <v>89587</v>
      </c>
      <c r="P266" s="195">
        <v>0</v>
      </c>
      <c r="Q266" s="195">
        <v>89587</v>
      </c>
      <c r="R266" s="196"/>
      <c r="S266" s="195">
        <v>333028</v>
      </c>
      <c r="T266" s="195">
        <v>0</v>
      </c>
      <c r="U266" s="195">
        <v>333028</v>
      </c>
      <c r="V266" s="185"/>
    </row>
    <row r="267" spans="1:22" x14ac:dyDescent="0.25">
      <c r="A267" s="192">
        <v>2021</v>
      </c>
      <c r="B267" s="192" t="s">
        <v>824</v>
      </c>
      <c r="C267" s="193" t="s">
        <v>255</v>
      </c>
      <c r="D267" s="194" t="s">
        <v>821</v>
      </c>
      <c r="E267" s="194" t="s">
        <v>821</v>
      </c>
      <c r="F267" s="194" t="s">
        <v>699</v>
      </c>
      <c r="G267" s="193" t="s">
        <v>601</v>
      </c>
      <c r="H267" s="195">
        <v>2</v>
      </c>
      <c r="I267" s="195">
        <v>8</v>
      </c>
      <c r="J267" s="196"/>
      <c r="K267" s="195">
        <v>314868</v>
      </c>
      <c r="L267" s="195">
        <v>62973.599999999999</v>
      </c>
      <c r="M267" s="195">
        <v>251894.39999999999</v>
      </c>
      <c r="N267" s="196"/>
      <c r="O267" s="195">
        <v>111813</v>
      </c>
      <c r="P267" s="195">
        <v>22362.6</v>
      </c>
      <c r="Q267" s="195">
        <v>89450.4</v>
      </c>
      <c r="R267" s="196"/>
      <c r="S267" s="195">
        <v>426681</v>
      </c>
      <c r="T267" s="195">
        <v>85336.2</v>
      </c>
      <c r="U267" s="195">
        <v>341344.8</v>
      </c>
      <c r="V267" s="185"/>
    </row>
    <row r="268" spans="1:22" x14ac:dyDescent="0.25">
      <c r="A268" s="192">
        <v>2021</v>
      </c>
      <c r="B268" s="192" t="s">
        <v>823</v>
      </c>
      <c r="C268" s="193" t="s">
        <v>292</v>
      </c>
      <c r="D268" s="194" t="s">
        <v>821</v>
      </c>
      <c r="E268" s="194" t="s">
        <v>821</v>
      </c>
      <c r="F268" s="194" t="s">
        <v>292</v>
      </c>
      <c r="G268" s="193" t="s">
        <v>637</v>
      </c>
      <c r="H268" s="195">
        <v>0</v>
      </c>
      <c r="I268" s="195">
        <v>14</v>
      </c>
      <c r="J268" s="196"/>
      <c r="K268" s="195">
        <v>104505.75</v>
      </c>
      <c r="L268" s="195">
        <v>0</v>
      </c>
      <c r="M268" s="195">
        <v>104505.75</v>
      </c>
      <c r="N268" s="196"/>
      <c r="O268" s="195">
        <v>37315.25</v>
      </c>
      <c r="P268" s="195">
        <v>0</v>
      </c>
      <c r="Q268" s="195">
        <v>37315.25</v>
      </c>
      <c r="R268" s="196"/>
      <c r="S268" s="195">
        <v>141821</v>
      </c>
      <c r="T268" s="195">
        <v>0</v>
      </c>
      <c r="U268" s="195">
        <v>141821</v>
      </c>
      <c r="V268" s="185"/>
    </row>
    <row r="269" spans="1:22" x14ac:dyDescent="0.25">
      <c r="A269" s="192">
        <v>2021</v>
      </c>
      <c r="B269" s="192" t="s">
        <v>822</v>
      </c>
      <c r="C269" s="193" t="s">
        <v>293</v>
      </c>
      <c r="D269" s="194" t="s">
        <v>821</v>
      </c>
      <c r="E269" s="194" t="s">
        <v>821</v>
      </c>
      <c r="F269" s="194" t="s">
        <v>293</v>
      </c>
      <c r="G269" s="193" t="s">
        <v>638</v>
      </c>
      <c r="H269" s="195">
        <v>0</v>
      </c>
      <c r="I269" s="195">
        <v>3</v>
      </c>
      <c r="J269" s="196"/>
      <c r="K269" s="195">
        <v>133323</v>
      </c>
      <c r="L269" s="195">
        <v>0</v>
      </c>
      <c r="M269" s="195">
        <v>133323</v>
      </c>
      <c r="N269" s="196"/>
      <c r="O269" s="195">
        <v>46659</v>
      </c>
      <c r="P269" s="195">
        <v>0</v>
      </c>
      <c r="Q269" s="195">
        <v>46659</v>
      </c>
      <c r="R269" s="196"/>
      <c r="S269" s="195">
        <v>179982</v>
      </c>
      <c r="T269" s="195">
        <v>0</v>
      </c>
      <c r="U269" s="195">
        <v>179982</v>
      </c>
      <c r="V269" s="185"/>
    </row>
    <row r="270" spans="1:22" x14ac:dyDescent="0.25">
      <c r="A270" s="192">
        <v>2021</v>
      </c>
      <c r="B270" s="192" t="s">
        <v>829</v>
      </c>
      <c r="C270" s="193" t="s">
        <v>294</v>
      </c>
      <c r="D270" s="194" t="s">
        <v>821</v>
      </c>
      <c r="E270" s="194" t="s">
        <v>821</v>
      </c>
      <c r="F270" s="194" t="s">
        <v>294</v>
      </c>
      <c r="G270" s="193" t="s">
        <v>639</v>
      </c>
      <c r="H270" s="195">
        <v>3</v>
      </c>
      <c r="I270" s="195">
        <v>3</v>
      </c>
      <c r="J270" s="196"/>
      <c r="K270" s="195">
        <v>159220.5</v>
      </c>
      <c r="L270" s="195">
        <v>79610.25</v>
      </c>
      <c r="M270" s="195">
        <v>79610.25</v>
      </c>
      <c r="N270" s="196"/>
      <c r="O270" s="195">
        <v>59293.5</v>
      </c>
      <c r="P270" s="195">
        <v>29646.75</v>
      </c>
      <c r="Q270" s="195">
        <v>29646.75</v>
      </c>
      <c r="R270" s="196"/>
      <c r="S270" s="195">
        <v>218514</v>
      </c>
      <c r="T270" s="195">
        <v>109257</v>
      </c>
      <c r="U270" s="195">
        <v>109257</v>
      </c>
      <c r="V270" s="185"/>
    </row>
    <row r="271" spans="1:22" x14ac:dyDescent="0.25">
      <c r="A271" s="192">
        <v>2021</v>
      </c>
      <c r="B271" s="192" t="s">
        <v>820</v>
      </c>
      <c r="C271" s="193" t="s">
        <v>295</v>
      </c>
      <c r="D271" s="194" t="s">
        <v>821</v>
      </c>
      <c r="E271" s="194" t="s">
        <v>821</v>
      </c>
      <c r="F271" s="194" t="s">
        <v>295</v>
      </c>
      <c r="G271" s="193" t="s">
        <v>640</v>
      </c>
      <c r="H271" s="195">
        <v>0</v>
      </c>
      <c r="I271" s="195">
        <v>5</v>
      </c>
      <c r="J271" s="196"/>
      <c r="K271" s="195">
        <v>1813601.25</v>
      </c>
      <c r="L271" s="195">
        <v>0</v>
      </c>
      <c r="M271" s="195">
        <v>1813601.25</v>
      </c>
      <c r="N271" s="196"/>
      <c r="O271" s="195">
        <v>683158.75</v>
      </c>
      <c r="P271" s="195">
        <v>0</v>
      </c>
      <c r="Q271" s="195">
        <v>683158.75</v>
      </c>
      <c r="R271" s="196"/>
      <c r="S271" s="195">
        <v>2496760</v>
      </c>
      <c r="T271" s="195">
        <v>0</v>
      </c>
      <c r="U271" s="195">
        <v>2496760</v>
      </c>
      <c r="V271" s="185"/>
    </row>
    <row r="272" spans="1:22" x14ac:dyDescent="0.25">
      <c r="A272" s="192">
        <v>2021</v>
      </c>
      <c r="B272" s="192" t="s">
        <v>820</v>
      </c>
      <c r="C272" s="193" t="s">
        <v>289</v>
      </c>
      <c r="D272" s="194" t="s">
        <v>821</v>
      </c>
      <c r="E272" s="194" t="s">
        <v>821</v>
      </c>
      <c r="F272" s="194" t="s">
        <v>289</v>
      </c>
      <c r="G272" s="193" t="s">
        <v>634</v>
      </c>
      <c r="H272" s="195">
        <v>0</v>
      </c>
      <c r="I272" s="195">
        <v>5</v>
      </c>
      <c r="J272" s="196"/>
      <c r="K272" s="195">
        <v>101658.75</v>
      </c>
      <c r="L272" s="195">
        <v>0</v>
      </c>
      <c r="M272" s="195">
        <v>101658.75</v>
      </c>
      <c r="N272" s="196"/>
      <c r="O272" s="195">
        <v>36764.25</v>
      </c>
      <c r="P272" s="195">
        <v>0</v>
      </c>
      <c r="Q272" s="195">
        <v>36764.25</v>
      </c>
      <c r="R272" s="196"/>
      <c r="S272" s="195">
        <v>138423</v>
      </c>
      <c r="T272" s="195">
        <v>0</v>
      </c>
      <c r="U272" s="195">
        <v>138423</v>
      </c>
      <c r="V272" s="185"/>
    </row>
    <row r="273" spans="1:22" x14ac:dyDescent="0.25">
      <c r="A273" s="192">
        <v>2021</v>
      </c>
      <c r="B273" s="192" t="s">
        <v>825</v>
      </c>
      <c r="C273" s="193" t="s">
        <v>291</v>
      </c>
      <c r="D273" s="194" t="s">
        <v>821</v>
      </c>
      <c r="E273" s="194" t="s">
        <v>821</v>
      </c>
      <c r="F273" s="194" t="s">
        <v>291</v>
      </c>
      <c r="G273" s="193" t="s">
        <v>636</v>
      </c>
      <c r="H273" s="195">
        <v>0</v>
      </c>
      <c r="I273" s="195">
        <v>1</v>
      </c>
      <c r="J273" s="196"/>
      <c r="K273" s="195">
        <v>18992.25</v>
      </c>
      <c r="L273" s="195">
        <v>0</v>
      </c>
      <c r="M273" s="195">
        <v>18992.25</v>
      </c>
      <c r="N273" s="196"/>
      <c r="O273" s="195">
        <v>6314.75</v>
      </c>
      <c r="P273" s="195">
        <v>0</v>
      </c>
      <c r="Q273" s="195">
        <v>6314.75</v>
      </c>
      <c r="R273" s="196"/>
      <c r="S273" s="195">
        <v>25307</v>
      </c>
      <c r="T273" s="195">
        <v>0</v>
      </c>
      <c r="U273" s="195">
        <v>25307</v>
      </c>
      <c r="V273" s="185"/>
    </row>
    <row r="274" spans="1:22" x14ac:dyDescent="0.25">
      <c r="A274" s="192">
        <v>2021</v>
      </c>
      <c r="B274" s="192" t="s">
        <v>825</v>
      </c>
      <c r="C274" s="193" t="s">
        <v>296</v>
      </c>
      <c r="D274" s="194" t="s">
        <v>821</v>
      </c>
      <c r="E274" s="194" t="s">
        <v>821</v>
      </c>
      <c r="F274" s="194" t="s">
        <v>296</v>
      </c>
      <c r="G274" s="193" t="s">
        <v>641</v>
      </c>
      <c r="H274" s="195">
        <v>0</v>
      </c>
      <c r="I274" s="195">
        <v>4</v>
      </c>
      <c r="J274" s="196"/>
      <c r="K274" s="195">
        <v>371863.5</v>
      </c>
      <c r="L274" s="195">
        <v>0</v>
      </c>
      <c r="M274" s="195">
        <v>371863.5</v>
      </c>
      <c r="N274" s="196"/>
      <c r="O274" s="195">
        <v>132878.5</v>
      </c>
      <c r="P274" s="195">
        <v>0</v>
      </c>
      <c r="Q274" s="195">
        <v>132878.5</v>
      </c>
      <c r="R274" s="196"/>
      <c r="S274" s="195">
        <v>504742</v>
      </c>
      <c r="T274" s="195">
        <v>0</v>
      </c>
      <c r="U274" s="195">
        <v>504742</v>
      </c>
      <c r="V274" s="185"/>
    </row>
    <row r="275" spans="1:22" x14ac:dyDescent="0.25">
      <c r="A275" s="192">
        <v>2021</v>
      </c>
      <c r="B275" s="192" t="s">
        <v>825</v>
      </c>
      <c r="C275" s="193" t="s">
        <v>297</v>
      </c>
      <c r="D275" s="194" t="s">
        <v>821</v>
      </c>
      <c r="E275" s="194" t="s">
        <v>821</v>
      </c>
      <c r="F275" s="194" t="s">
        <v>297</v>
      </c>
      <c r="G275" s="193" t="s">
        <v>642</v>
      </c>
      <c r="H275" s="195">
        <v>0</v>
      </c>
      <c r="I275" s="195">
        <v>5</v>
      </c>
      <c r="J275" s="196"/>
      <c r="K275" s="195">
        <v>379381.5</v>
      </c>
      <c r="L275" s="195">
        <v>0</v>
      </c>
      <c r="M275" s="195">
        <v>379381.5</v>
      </c>
      <c r="N275" s="196"/>
      <c r="O275" s="195">
        <v>153401.5</v>
      </c>
      <c r="P275" s="195">
        <v>0</v>
      </c>
      <c r="Q275" s="195">
        <v>153401.5</v>
      </c>
      <c r="R275" s="196"/>
      <c r="S275" s="195">
        <v>532783</v>
      </c>
      <c r="T275" s="195">
        <v>0</v>
      </c>
      <c r="U275" s="195">
        <v>532783</v>
      </c>
      <c r="V275" s="185"/>
    </row>
    <row r="276" spans="1:22" x14ac:dyDescent="0.25">
      <c r="A276" s="192">
        <v>2021</v>
      </c>
      <c r="B276" s="192" t="s">
        <v>827</v>
      </c>
      <c r="C276" s="193" t="s">
        <v>298</v>
      </c>
      <c r="D276" s="194" t="s">
        <v>821</v>
      </c>
      <c r="E276" s="194" t="s">
        <v>821</v>
      </c>
      <c r="F276" s="194" t="s">
        <v>298</v>
      </c>
      <c r="G276" s="193" t="s">
        <v>643</v>
      </c>
      <c r="H276" s="195">
        <v>0</v>
      </c>
      <c r="I276" s="195">
        <v>6</v>
      </c>
      <c r="J276" s="196"/>
      <c r="K276" s="195">
        <v>139684.5</v>
      </c>
      <c r="L276" s="195">
        <v>0</v>
      </c>
      <c r="M276" s="195">
        <v>139684.5</v>
      </c>
      <c r="N276" s="196"/>
      <c r="O276" s="195">
        <v>52046.5</v>
      </c>
      <c r="P276" s="195">
        <v>0</v>
      </c>
      <c r="Q276" s="195">
        <v>52046.5</v>
      </c>
      <c r="R276" s="196"/>
      <c r="S276" s="195">
        <v>191731</v>
      </c>
      <c r="T276" s="195">
        <v>0</v>
      </c>
      <c r="U276" s="195">
        <v>191731</v>
      </c>
      <c r="V276" s="185"/>
    </row>
    <row r="277" spans="1:22" x14ac:dyDescent="0.25">
      <c r="A277" s="192">
        <v>2021</v>
      </c>
      <c r="B277" s="192" t="s">
        <v>822</v>
      </c>
      <c r="C277" s="193" t="s">
        <v>272</v>
      </c>
      <c r="D277" s="194" t="s">
        <v>821</v>
      </c>
      <c r="E277" s="194" t="s">
        <v>821</v>
      </c>
      <c r="F277" s="194" t="s">
        <v>272</v>
      </c>
      <c r="G277" s="193" t="s">
        <v>617</v>
      </c>
      <c r="H277" s="195">
        <v>0</v>
      </c>
      <c r="I277" s="195">
        <v>7</v>
      </c>
      <c r="J277" s="196"/>
      <c r="K277" s="195">
        <v>173925.75</v>
      </c>
      <c r="L277" s="195">
        <v>0</v>
      </c>
      <c r="M277" s="195">
        <v>173925.75</v>
      </c>
      <c r="N277" s="196"/>
      <c r="O277" s="195">
        <v>68877.25</v>
      </c>
      <c r="P277" s="195">
        <v>0</v>
      </c>
      <c r="Q277" s="195">
        <v>68877.25</v>
      </c>
      <c r="R277" s="196"/>
      <c r="S277" s="195">
        <v>242803</v>
      </c>
      <c r="T277" s="195">
        <v>0</v>
      </c>
      <c r="U277" s="195">
        <v>242803</v>
      </c>
      <c r="V277" s="185"/>
    </row>
    <row r="278" spans="1:22" x14ac:dyDescent="0.25">
      <c r="A278" s="192">
        <v>2021</v>
      </c>
      <c r="B278" s="192" t="s">
        <v>823</v>
      </c>
      <c r="C278" s="193" t="s">
        <v>299</v>
      </c>
      <c r="D278" s="194" t="s">
        <v>821</v>
      </c>
      <c r="E278" s="194" t="s">
        <v>821</v>
      </c>
      <c r="F278" s="194" t="s">
        <v>299</v>
      </c>
      <c r="G278" s="193" t="s">
        <v>644</v>
      </c>
      <c r="H278" s="195">
        <v>3</v>
      </c>
      <c r="I278" s="195">
        <v>3</v>
      </c>
      <c r="J278" s="196"/>
      <c r="K278" s="195">
        <v>45504.75</v>
      </c>
      <c r="L278" s="195">
        <v>22752.38</v>
      </c>
      <c r="M278" s="195">
        <v>22752.37</v>
      </c>
      <c r="N278" s="196"/>
      <c r="O278" s="195">
        <v>15949.25</v>
      </c>
      <c r="P278" s="195">
        <v>7974.63</v>
      </c>
      <c r="Q278" s="195">
        <v>7974.62</v>
      </c>
      <c r="R278" s="196"/>
      <c r="S278" s="195">
        <v>61454</v>
      </c>
      <c r="T278" s="195">
        <v>30727.010000000002</v>
      </c>
      <c r="U278" s="195">
        <v>30726.989999999998</v>
      </c>
      <c r="V278" s="185"/>
    </row>
    <row r="279" spans="1:22" x14ac:dyDescent="0.25">
      <c r="A279" s="192">
        <v>2021</v>
      </c>
      <c r="B279" s="192" t="s">
        <v>829</v>
      </c>
      <c r="C279" s="193" t="s">
        <v>300</v>
      </c>
      <c r="D279" s="194" t="s">
        <v>821</v>
      </c>
      <c r="E279" s="194" t="s">
        <v>821</v>
      </c>
      <c r="F279" s="194" t="s">
        <v>300</v>
      </c>
      <c r="G279" s="193" t="s">
        <v>645</v>
      </c>
      <c r="H279" s="195">
        <v>1</v>
      </c>
      <c r="I279" s="195">
        <v>1</v>
      </c>
      <c r="J279" s="196"/>
      <c r="K279" s="195">
        <v>41964.75</v>
      </c>
      <c r="L279" s="195">
        <v>20982.38</v>
      </c>
      <c r="M279" s="195">
        <v>20982.37</v>
      </c>
      <c r="N279" s="196"/>
      <c r="O279" s="195">
        <v>15873.25</v>
      </c>
      <c r="P279" s="195">
        <v>7936.63</v>
      </c>
      <c r="Q279" s="195">
        <v>7936.62</v>
      </c>
      <c r="R279" s="196"/>
      <c r="S279" s="195">
        <v>57838</v>
      </c>
      <c r="T279" s="195">
        <v>28919.010000000002</v>
      </c>
      <c r="U279" s="195">
        <v>28918.989999999998</v>
      </c>
      <c r="V279" s="185"/>
    </row>
    <row r="280" spans="1:22" x14ac:dyDescent="0.25">
      <c r="A280" s="192">
        <v>2021</v>
      </c>
      <c r="B280" s="192" t="s">
        <v>825</v>
      </c>
      <c r="C280" s="193" t="s">
        <v>301</v>
      </c>
      <c r="D280" s="194" t="s">
        <v>821</v>
      </c>
      <c r="E280" s="194" t="s">
        <v>821</v>
      </c>
      <c r="F280" s="194" t="s">
        <v>301</v>
      </c>
      <c r="G280" s="193" t="s">
        <v>646</v>
      </c>
      <c r="H280" s="195">
        <v>0</v>
      </c>
      <c r="I280" s="195">
        <v>4</v>
      </c>
      <c r="J280" s="196"/>
      <c r="K280" s="195">
        <v>340300.5</v>
      </c>
      <c r="L280" s="195">
        <v>0</v>
      </c>
      <c r="M280" s="195">
        <v>340300.5</v>
      </c>
      <c r="N280" s="196"/>
      <c r="O280" s="195">
        <v>126247.5</v>
      </c>
      <c r="P280" s="195">
        <v>0</v>
      </c>
      <c r="Q280" s="195">
        <v>126247.5</v>
      </c>
      <c r="R280" s="196"/>
      <c r="S280" s="195">
        <v>466548</v>
      </c>
      <c r="T280" s="195">
        <v>0</v>
      </c>
      <c r="U280" s="195">
        <v>466548</v>
      </c>
      <c r="V280" s="185"/>
    </row>
    <row r="281" spans="1:22" x14ac:dyDescent="0.25">
      <c r="A281" s="192">
        <v>2021</v>
      </c>
      <c r="B281" s="192" t="s">
        <v>825</v>
      </c>
      <c r="C281" s="193" t="s">
        <v>302</v>
      </c>
      <c r="D281" s="194" t="s">
        <v>821</v>
      </c>
      <c r="E281" s="194" t="s">
        <v>821</v>
      </c>
      <c r="F281" s="194" t="s">
        <v>302</v>
      </c>
      <c r="G281" s="193" t="s">
        <v>647</v>
      </c>
      <c r="H281" s="195">
        <v>0</v>
      </c>
      <c r="I281" s="195">
        <v>7</v>
      </c>
      <c r="J281" s="196"/>
      <c r="K281" s="195">
        <v>56325</v>
      </c>
      <c r="L281" s="195">
        <v>0</v>
      </c>
      <c r="M281" s="195">
        <v>56325</v>
      </c>
      <c r="N281" s="196"/>
      <c r="O281" s="195">
        <v>21269</v>
      </c>
      <c r="P281" s="195">
        <v>0</v>
      </c>
      <c r="Q281" s="195">
        <v>21269</v>
      </c>
      <c r="R281" s="196"/>
      <c r="S281" s="195">
        <v>77594</v>
      </c>
      <c r="T281" s="195">
        <v>0</v>
      </c>
      <c r="U281" s="195">
        <v>77594</v>
      </c>
      <c r="V281" s="185"/>
    </row>
    <row r="282" spans="1:22" x14ac:dyDescent="0.25">
      <c r="A282" s="192">
        <v>2021</v>
      </c>
      <c r="B282" s="192" t="s">
        <v>822</v>
      </c>
      <c r="C282" s="193" t="s">
        <v>304</v>
      </c>
      <c r="D282" s="194" t="s">
        <v>821</v>
      </c>
      <c r="E282" s="194" t="s">
        <v>821</v>
      </c>
      <c r="F282" s="194" t="s">
        <v>304</v>
      </c>
      <c r="G282" s="193" t="s">
        <v>649</v>
      </c>
      <c r="H282" s="195">
        <v>0</v>
      </c>
      <c r="I282" s="195">
        <v>7</v>
      </c>
      <c r="J282" s="196"/>
      <c r="K282" s="195">
        <v>261941.25</v>
      </c>
      <c r="L282" s="195">
        <v>0</v>
      </c>
      <c r="M282" s="195">
        <v>261941.25</v>
      </c>
      <c r="N282" s="196"/>
      <c r="O282" s="195">
        <v>92171.75</v>
      </c>
      <c r="P282" s="195">
        <v>0</v>
      </c>
      <c r="Q282" s="195">
        <v>92171.75</v>
      </c>
      <c r="R282" s="196"/>
      <c r="S282" s="195">
        <v>354113</v>
      </c>
      <c r="T282" s="195">
        <v>0</v>
      </c>
      <c r="U282" s="195">
        <v>354113</v>
      </c>
      <c r="V282" s="185"/>
    </row>
    <row r="283" spans="1:22" x14ac:dyDescent="0.25">
      <c r="A283" s="192">
        <v>2021</v>
      </c>
      <c r="B283" s="192" t="s">
        <v>827</v>
      </c>
      <c r="C283" s="193" t="s">
        <v>305</v>
      </c>
      <c r="D283" s="194" t="s">
        <v>821</v>
      </c>
      <c r="E283" s="194" t="s">
        <v>821</v>
      </c>
      <c r="F283" s="194" t="s">
        <v>305</v>
      </c>
      <c r="G283" s="193" t="s">
        <v>650</v>
      </c>
      <c r="H283" s="195">
        <v>5</v>
      </c>
      <c r="I283" s="195">
        <v>5</v>
      </c>
      <c r="J283" s="196"/>
      <c r="K283" s="195">
        <v>388566</v>
      </c>
      <c r="L283" s="195">
        <v>194283</v>
      </c>
      <c r="M283" s="195">
        <v>194283</v>
      </c>
      <c r="N283" s="196"/>
      <c r="O283" s="195">
        <v>179515</v>
      </c>
      <c r="P283" s="195">
        <v>89757.5</v>
      </c>
      <c r="Q283" s="195">
        <v>89757.5</v>
      </c>
      <c r="R283" s="196"/>
      <c r="S283" s="195">
        <v>568081</v>
      </c>
      <c r="T283" s="195">
        <v>284040.5</v>
      </c>
      <c r="U283" s="195">
        <v>284040.5</v>
      </c>
      <c r="V283" s="185"/>
    </row>
    <row r="284" spans="1:22" x14ac:dyDescent="0.25">
      <c r="A284" s="192">
        <v>2021</v>
      </c>
      <c r="B284" s="192" t="s">
        <v>823</v>
      </c>
      <c r="C284" s="193" t="s">
        <v>306</v>
      </c>
      <c r="D284" s="194" t="s">
        <v>821</v>
      </c>
      <c r="E284" s="194" t="s">
        <v>821</v>
      </c>
      <c r="F284" s="194" t="s">
        <v>306</v>
      </c>
      <c r="G284" s="193" t="s">
        <v>651</v>
      </c>
      <c r="H284" s="195">
        <v>0</v>
      </c>
      <c r="I284" s="195">
        <v>5</v>
      </c>
      <c r="J284" s="196"/>
      <c r="K284" s="195">
        <v>138792.75</v>
      </c>
      <c r="L284" s="195">
        <v>0</v>
      </c>
      <c r="M284" s="195">
        <v>138792.75</v>
      </c>
      <c r="N284" s="196"/>
      <c r="O284" s="195">
        <v>71045.25</v>
      </c>
      <c r="P284" s="195">
        <v>0</v>
      </c>
      <c r="Q284" s="195">
        <v>71045.25</v>
      </c>
      <c r="R284" s="196"/>
      <c r="S284" s="195">
        <v>209838</v>
      </c>
      <c r="T284" s="195">
        <v>0</v>
      </c>
      <c r="U284" s="195">
        <v>209838</v>
      </c>
      <c r="V284" s="185"/>
    </row>
    <row r="285" spans="1:22" x14ac:dyDescent="0.25">
      <c r="A285" s="192">
        <v>2021</v>
      </c>
      <c r="B285" s="192" t="s">
        <v>823</v>
      </c>
      <c r="C285" s="193" t="s">
        <v>307</v>
      </c>
      <c r="D285" s="194" t="s">
        <v>821</v>
      </c>
      <c r="E285" s="194" t="s">
        <v>821</v>
      </c>
      <c r="F285" s="194" t="s">
        <v>307</v>
      </c>
      <c r="G285" s="193" t="s">
        <v>652</v>
      </c>
      <c r="H285" s="195">
        <v>0</v>
      </c>
      <c r="I285" s="195">
        <v>1</v>
      </c>
      <c r="J285" s="196"/>
      <c r="K285" s="195">
        <v>23405.25</v>
      </c>
      <c r="L285" s="195">
        <v>0</v>
      </c>
      <c r="M285" s="195">
        <v>23405.25</v>
      </c>
      <c r="N285" s="196"/>
      <c r="O285" s="195">
        <v>8577.75</v>
      </c>
      <c r="P285" s="195">
        <v>0</v>
      </c>
      <c r="Q285" s="195">
        <v>8577.75</v>
      </c>
      <c r="R285" s="196"/>
      <c r="S285" s="195">
        <v>31983</v>
      </c>
      <c r="T285" s="195">
        <v>0</v>
      </c>
      <c r="U285" s="195">
        <v>31983</v>
      </c>
      <c r="V285" s="185"/>
    </row>
    <row r="286" spans="1:22" x14ac:dyDescent="0.25">
      <c r="A286" s="192">
        <v>2021</v>
      </c>
      <c r="B286" s="192" t="s">
        <v>826</v>
      </c>
      <c r="C286" s="193" t="s">
        <v>308</v>
      </c>
      <c r="D286" s="194" t="s">
        <v>821</v>
      </c>
      <c r="E286" s="194" t="s">
        <v>821</v>
      </c>
      <c r="F286" s="194" t="s">
        <v>308</v>
      </c>
      <c r="G286" s="193" t="s">
        <v>653</v>
      </c>
      <c r="H286" s="195">
        <v>0</v>
      </c>
      <c r="I286" s="195">
        <v>1</v>
      </c>
      <c r="J286" s="196"/>
      <c r="K286" s="195">
        <v>8939.25</v>
      </c>
      <c r="L286" s="195">
        <v>0</v>
      </c>
      <c r="M286" s="195">
        <v>8939.25</v>
      </c>
      <c r="N286" s="196"/>
      <c r="O286" s="195">
        <v>3197.75</v>
      </c>
      <c r="P286" s="195">
        <v>0</v>
      </c>
      <c r="Q286" s="195">
        <v>3197.75</v>
      </c>
      <c r="R286" s="196"/>
      <c r="S286" s="195">
        <v>12137</v>
      </c>
      <c r="T286" s="195">
        <v>0</v>
      </c>
      <c r="U286" s="195">
        <v>12137</v>
      </c>
      <c r="V286" s="185"/>
    </row>
    <row r="287" spans="1:22" x14ac:dyDescent="0.25">
      <c r="A287" s="192">
        <v>2021</v>
      </c>
      <c r="B287" s="192" t="s">
        <v>822</v>
      </c>
      <c r="C287" s="193" t="s">
        <v>309</v>
      </c>
      <c r="D287" s="194" t="s">
        <v>821</v>
      </c>
      <c r="E287" s="194" t="s">
        <v>821</v>
      </c>
      <c r="F287" s="194" t="s">
        <v>309</v>
      </c>
      <c r="G287" s="193" t="s">
        <v>654</v>
      </c>
      <c r="H287" s="195">
        <v>0</v>
      </c>
      <c r="I287" s="195">
        <v>2</v>
      </c>
      <c r="J287" s="196"/>
      <c r="K287" s="195">
        <v>33267.75</v>
      </c>
      <c r="L287" s="195">
        <v>0</v>
      </c>
      <c r="M287" s="195">
        <v>33267.75</v>
      </c>
      <c r="N287" s="196"/>
      <c r="O287" s="195">
        <v>12083.25</v>
      </c>
      <c r="P287" s="195">
        <v>0</v>
      </c>
      <c r="Q287" s="195">
        <v>12083.25</v>
      </c>
      <c r="R287" s="196"/>
      <c r="S287" s="195">
        <v>45351</v>
      </c>
      <c r="T287" s="195">
        <v>0</v>
      </c>
      <c r="U287" s="195">
        <v>45351</v>
      </c>
      <c r="V287" s="185"/>
    </row>
    <row r="288" spans="1:22" x14ac:dyDescent="0.25">
      <c r="A288" s="192">
        <v>2021</v>
      </c>
      <c r="B288" s="192" t="s">
        <v>829</v>
      </c>
      <c r="C288" s="193" t="s">
        <v>310</v>
      </c>
      <c r="D288" s="194" t="s">
        <v>821</v>
      </c>
      <c r="E288" s="194" t="s">
        <v>821</v>
      </c>
      <c r="F288" s="194" t="s">
        <v>310</v>
      </c>
      <c r="G288" s="193" t="s">
        <v>655</v>
      </c>
      <c r="H288" s="195">
        <v>0</v>
      </c>
      <c r="I288" s="195">
        <v>0</v>
      </c>
      <c r="J288" s="196"/>
      <c r="K288" s="195">
        <v>0</v>
      </c>
      <c r="L288" s="195">
        <v>0</v>
      </c>
      <c r="M288" s="195">
        <v>0</v>
      </c>
      <c r="N288" s="196"/>
      <c r="O288" s="195">
        <v>0</v>
      </c>
      <c r="P288" s="195">
        <v>0</v>
      </c>
      <c r="Q288" s="195">
        <v>0</v>
      </c>
      <c r="R288" s="196"/>
      <c r="S288" s="195">
        <v>0</v>
      </c>
      <c r="T288" s="195">
        <v>0</v>
      </c>
      <c r="U288" s="195">
        <v>0</v>
      </c>
    </row>
    <row r="289" spans="1:21" x14ac:dyDescent="0.25">
      <c r="A289" s="192">
        <v>2021</v>
      </c>
      <c r="B289" s="192" t="s">
        <v>820</v>
      </c>
      <c r="C289" s="193" t="s">
        <v>311</v>
      </c>
      <c r="D289" s="194" t="s">
        <v>821</v>
      </c>
      <c r="E289" s="194" t="s">
        <v>821</v>
      </c>
      <c r="F289" s="194" t="s">
        <v>311</v>
      </c>
      <c r="G289" s="193" t="s">
        <v>656</v>
      </c>
      <c r="H289" s="195">
        <v>0</v>
      </c>
      <c r="I289" s="195">
        <v>2</v>
      </c>
      <c r="J289" s="196"/>
      <c r="K289" s="195">
        <v>26574.75</v>
      </c>
      <c r="L289" s="195">
        <v>0</v>
      </c>
      <c r="M289" s="195">
        <v>26574.75</v>
      </c>
      <c r="N289" s="196"/>
      <c r="O289" s="195">
        <v>9139.25</v>
      </c>
      <c r="P289" s="195">
        <v>0</v>
      </c>
      <c r="Q289" s="195">
        <v>9139.25</v>
      </c>
      <c r="R289" s="196"/>
      <c r="S289" s="195">
        <v>35714</v>
      </c>
      <c r="T289" s="195">
        <v>0</v>
      </c>
      <c r="U289" s="195">
        <v>35714</v>
      </c>
    </row>
    <row r="290" spans="1:21" x14ac:dyDescent="0.25">
      <c r="A290" s="192">
        <v>2021</v>
      </c>
      <c r="B290" s="192" t="s">
        <v>825</v>
      </c>
      <c r="C290" s="193" t="s">
        <v>312</v>
      </c>
      <c r="D290" s="194" t="s">
        <v>821</v>
      </c>
      <c r="E290" s="194" t="s">
        <v>821</v>
      </c>
      <c r="F290" s="194" t="s">
        <v>312</v>
      </c>
      <c r="G290" s="193" t="s">
        <v>657</v>
      </c>
      <c r="H290" s="195">
        <v>0</v>
      </c>
      <c r="I290" s="195">
        <v>10</v>
      </c>
      <c r="J290" s="196"/>
      <c r="K290" s="195">
        <v>63128.25</v>
      </c>
      <c r="L290" s="195">
        <v>0</v>
      </c>
      <c r="M290" s="195">
        <v>63128.25</v>
      </c>
      <c r="N290" s="196"/>
      <c r="O290" s="195">
        <v>21771.75</v>
      </c>
      <c r="P290" s="195">
        <v>0</v>
      </c>
      <c r="Q290" s="195">
        <v>21771.75</v>
      </c>
      <c r="R290" s="196"/>
      <c r="S290" s="195">
        <v>84900</v>
      </c>
      <c r="T290" s="195">
        <v>0</v>
      </c>
      <c r="U290" s="195">
        <v>84900</v>
      </c>
    </row>
    <row r="291" spans="1:21" x14ac:dyDescent="0.25">
      <c r="A291" s="192">
        <v>2021</v>
      </c>
      <c r="B291" s="192" t="s">
        <v>823</v>
      </c>
      <c r="C291" s="193" t="s">
        <v>313</v>
      </c>
      <c r="D291" s="194" t="s">
        <v>821</v>
      </c>
      <c r="E291" s="194" t="s">
        <v>821</v>
      </c>
      <c r="F291" s="194" t="s">
        <v>313</v>
      </c>
      <c r="G291" s="193" t="s">
        <v>658</v>
      </c>
      <c r="H291" s="195">
        <v>0</v>
      </c>
      <c r="I291" s="195">
        <v>0</v>
      </c>
      <c r="J291" s="196"/>
      <c r="K291" s="195">
        <v>0</v>
      </c>
      <c r="L291" s="195">
        <v>0</v>
      </c>
      <c r="M291" s="195">
        <v>0</v>
      </c>
      <c r="N291" s="196"/>
      <c r="O291" s="195">
        <v>0</v>
      </c>
      <c r="P291" s="195">
        <v>0</v>
      </c>
      <c r="Q291" s="195">
        <v>0</v>
      </c>
      <c r="R291" s="196"/>
      <c r="S291" s="195">
        <v>0</v>
      </c>
      <c r="T291" s="195">
        <v>0</v>
      </c>
      <c r="U291" s="195">
        <v>0</v>
      </c>
    </row>
    <row r="292" spans="1:21" x14ac:dyDescent="0.25">
      <c r="A292" s="192">
        <v>2021</v>
      </c>
      <c r="B292" s="192" t="s">
        <v>822</v>
      </c>
      <c r="C292" s="193" t="s">
        <v>115</v>
      </c>
      <c r="D292" s="194" t="s">
        <v>821</v>
      </c>
      <c r="E292" s="194" t="s">
        <v>821</v>
      </c>
      <c r="F292" s="194" t="s">
        <v>696</v>
      </c>
      <c r="G292" s="193" t="s">
        <v>468</v>
      </c>
      <c r="H292" s="195">
        <v>1</v>
      </c>
      <c r="I292" s="195">
        <v>7</v>
      </c>
      <c r="J292" s="196"/>
      <c r="K292" s="195">
        <v>397054.5</v>
      </c>
      <c r="L292" s="195">
        <v>49631.81</v>
      </c>
      <c r="M292" s="195">
        <v>347422.69</v>
      </c>
      <c r="N292" s="196"/>
      <c r="O292" s="195">
        <v>156515.5</v>
      </c>
      <c r="P292" s="195">
        <v>19564.439999999999</v>
      </c>
      <c r="Q292" s="195">
        <v>136951.06</v>
      </c>
      <c r="R292" s="196"/>
      <c r="S292" s="195">
        <v>553570</v>
      </c>
      <c r="T292" s="195">
        <v>69196.25</v>
      </c>
      <c r="U292" s="195">
        <v>484373.75</v>
      </c>
    </row>
    <row r="293" spans="1:21" x14ac:dyDescent="0.25">
      <c r="A293" s="192">
        <v>2021</v>
      </c>
      <c r="B293" s="192" t="s">
        <v>820</v>
      </c>
      <c r="C293" s="193" t="s">
        <v>314</v>
      </c>
      <c r="D293" s="194" t="s">
        <v>821</v>
      </c>
      <c r="E293" s="194" t="s">
        <v>821</v>
      </c>
      <c r="F293" s="194" t="s">
        <v>314</v>
      </c>
      <c r="G293" s="193" t="s">
        <v>659</v>
      </c>
      <c r="H293" s="195">
        <v>0</v>
      </c>
      <c r="I293" s="195">
        <v>7</v>
      </c>
      <c r="J293" s="196"/>
      <c r="K293" s="195">
        <v>159900</v>
      </c>
      <c r="L293" s="195">
        <v>0</v>
      </c>
      <c r="M293" s="195">
        <v>159900</v>
      </c>
      <c r="N293" s="196"/>
      <c r="O293" s="195">
        <v>59708</v>
      </c>
      <c r="P293" s="195">
        <v>0</v>
      </c>
      <c r="Q293" s="195">
        <v>59708</v>
      </c>
      <c r="R293" s="196"/>
      <c r="S293" s="195">
        <v>219608</v>
      </c>
      <c r="T293" s="195">
        <v>0</v>
      </c>
      <c r="U293" s="195">
        <v>219608</v>
      </c>
    </row>
    <row r="294" spans="1:21" x14ac:dyDescent="0.25">
      <c r="A294" s="192">
        <v>2021</v>
      </c>
      <c r="B294" s="192" t="s">
        <v>820</v>
      </c>
      <c r="C294" s="193" t="s">
        <v>315</v>
      </c>
      <c r="D294" s="194" t="s">
        <v>821</v>
      </c>
      <c r="E294" s="194" t="s">
        <v>821</v>
      </c>
      <c r="F294" s="194" t="s">
        <v>315</v>
      </c>
      <c r="G294" s="193" t="s">
        <v>660</v>
      </c>
      <c r="H294" s="195">
        <v>0</v>
      </c>
      <c r="I294" s="195">
        <v>0</v>
      </c>
      <c r="J294" s="196"/>
      <c r="K294" s="195">
        <v>0</v>
      </c>
      <c r="L294" s="195">
        <v>0</v>
      </c>
      <c r="M294" s="195">
        <v>0</v>
      </c>
      <c r="N294" s="196"/>
      <c r="O294" s="195">
        <v>0</v>
      </c>
      <c r="P294" s="195">
        <v>0</v>
      </c>
      <c r="Q294" s="195">
        <v>0</v>
      </c>
      <c r="R294" s="196"/>
      <c r="S294" s="195">
        <v>0</v>
      </c>
      <c r="T294" s="195">
        <v>0</v>
      </c>
      <c r="U294" s="195">
        <v>0</v>
      </c>
    </row>
    <row r="295" spans="1:21" x14ac:dyDescent="0.25">
      <c r="A295" s="192">
        <v>2021</v>
      </c>
      <c r="B295" s="192" t="s">
        <v>826</v>
      </c>
      <c r="C295" s="193" t="s">
        <v>317</v>
      </c>
      <c r="D295" s="194" t="s">
        <v>155</v>
      </c>
      <c r="E295" s="194" t="s">
        <v>821</v>
      </c>
      <c r="F295" s="194" t="s">
        <v>317</v>
      </c>
      <c r="G295" s="193" t="s">
        <v>806</v>
      </c>
      <c r="H295" s="195">
        <v>0</v>
      </c>
      <c r="I295" s="195">
        <v>10</v>
      </c>
      <c r="J295" s="196"/>
      <c r="K295" s="195">
        <v>358052.25</v>
      </c>
      <c r="L295" s="195">
        <v>0</v>
      </c>
      <c r="M295" s="195">
        <v>358052.25</v>
      </c>
      <c r="N295" s="196"/>
      <c r="O295" s="195">
        <v>161921.75</v>
      </c>
      <c r="P295" s="195">
        <v>0</v>
      </c>
      <c r="Q295" s="195">
        <v>161921.75</v>
      </c>
      <c r="R295" s="196"/>
      <c r="S295" s="195">
        <v>519974</v>
      </c>
      <c r="T295" s="195">
        <v>0</v>
      </c>
      <c r="U295" s="195">
        <v>519974</v>
      </c>
    </row>
    <row r="296" spans="1:21" x14ac:dyDescent="0.25">
      <c r="A296" s="192">
        <v>2021</v>
      </c>
      <c r="B296" s="192" t="s">
        <v>820</v>
      </c>
      <c r="C296" s="193" t="s">
        <v>318</v>
      </c>
      <c r="D296" s="194" t="s">
        <v>821</v>
      </c>
      <c r="E296" s="194" t="s">
        <v>821</v>
      </c>
      <c r="F296" s="194" t="s">
        <v>318</v>
      </c>
      <c r="G296" s="193" t="s">
        <v>661</v>
      </c>
      <c r="H296" s="195">
        <v>0</v>
      </c>
      <c r="I296" s="195">
        <v>4</v>
      </c>
      <c r="J296" s="196"/>
      <c r="K296" s="195">
        <v>261117</v>
      </c>
      <c r="L296" s="195">
        <v>0</v>
      </c>
      <c r="M296" s="195">
        <v>261117</v>
      </c>
      <c r="N296" s="196"/>
      <c r="O296" s="195">
        <v>128815</v>
      </c>
      <c r="P296" s="195">
        <v>0</v>
      </c>
      <c r="Q296" s="195">
        <v>128815</v>
      </c>
      <c r="R296" s="196"/>
      <c r="S296" s="195">
        <v>389932</v>
      </c>
      <c r="T296" s="195">
        <v>0</v>
      </c>
      <c r="U296" s="195">
        <v>389932</v>
      </c>
    </row>
    <row r="297" spans="1:21" x14ac:dyDescent="0.25">
      <c r="A297" s="192">
        <v>2021</v>
      </c>
      <c r="B297" s="192" t="s">
        <v>823</v>
      </c>
      <c r="C297" s="193" t="s">
        <v>319</v>
      </c>
      <c r="D297" s="194" t="s">
        <v>821</v>
      </c>
      <c r="E297" s="194" t="s">
        <v>821</v>
      </c>
      <c r="F297" s="194" t="s">
        <v>319</v>
      </c>
      <c r="G297" s="193" t="s">
        <v>662</v>
      </c>
      <c r="H297" s="195">
        <v>5</v>
      </c>
      <c r="I297" s="195">
        <v>0</v>
      </c>
      <c r="J297" s="196"/>
      <c r="K297" s="195">
        <v>51615</v>
      </c>
      <c r="L297" s="195">
        <v>51615</v>
      </c>
      <c r="M297" s="195">
        <v>0</v>
      </c>
      <c r="N297" s="196"/>
      <c r="O297" s="195">
        <v>17984</v>
      </c>
      <c r="P297" s="195">
        <v>17984</v>
      </c>
      <c r="Q297" s="195">
        <v>0</v>
      </c>
      <c r="R297" s="196"/>
      <c r="S297" s="195">
        <v>69599</v>
      </c>
      <c r="T297" s="195">
        <v>69599</v>
      </c>
      <c r="U297" s="195">
        <v>0</v>
      </c>
    </row>
    <row r="298" spans="1:21" x14ac:dyDescent="0.25">
      <c r="A298" s="192">
        <v>2021</v>
      </c>
      <c r="B298" s="192" t="s">
        <v>827</v>
      </c>
      <c r="C298" s="193" t="s">
        <v>320</v>
      </c>
      <c r="D298" s="194" t="s">
        <v>821</v>
      </c>
      <c r="E298" s="194" t="s">
        <v>821</v>
      </c>
      <c r="F298" s="194" t="s">
        <v>320</v>
      </c>
      <c r="G298" s="193" t="s">
        <v>663</v>
      </c>
      <c r="H298" s="195">
        <v>5</v>
      </c>
      <c r="I298" s="195">
        <v>2</v>
      </c>
      <c r="J298" s="196"/>
      <c r="K298" s="195">
        <v>488858.25</v>
      </c>
      <c r="L298" s="195">
        <v>349184.46</v>
      </c>
      <c r="M298" s="195">
        <v>139673.78999999998</v>
      </c>
      <c r="N298" s="196"/>
      <c r="O298" s="195">
        <v>185796.75</v>
      </c>
      <c r="P298" s="195">
        <v>132711.96</v>
      </c>
      <c r="Q298" s="195">
        <v>53084.790000000008</v>
      </c>
      <c r="R298" s="196"/>
      <c r="S298" s="195">
        <v>674655</v>
      </c>
      <c r="T298" s="195">
        <v>481896.42000000004</v>
      </c>
      <c r="U298" s="195">
        <v>192758.58</v>
      </c>
    </row>
    <row r="299" spans="1:21" x14ac:dyDescent="0.25">
      <c r="A299" s="192">
        <v>2021</v>
      </c>
      <c r="B299" s="192" t="s">
        <v>826</v>
      </c>
      <c r="C299" s="193" t="s">
        <v>321</v>
      </c>
      <c r="D299" s="194" t="s">
        <v>821</v>
      </c>
      <c r="E299" s="194" t="s">
        <v>821</v>
      </c>
      <c r="F299" s="194" t="s">
        <v>321</v>
      </c>
      <c r="G299" s="193" t="s">
        <v>664</v>
      </c>
      <c r="H299" s="195">
        <v>0</v>
      </c>
      <c r="I299" s="195">
        <v>0</v>
      </c>
      <c r="J299" s="196"/>
      <c r="K299" s="195">
        <v>0</v>
      </c>
      <c r="L299" s="195">
        <v>0</v>
      </c>
      <c r="M299" s="195">
        <v>0</v>
      </c>
      <c r="N299" s="196"/>
      <c r="O299" s="195">
        <v>0</v>
      </c>
      <c r="P299" s="195">
        <v>0</v>
      </c>
      <c r="Q299" s="195">
        <v>0</v>
      </c>
      <c r="R299" s="196"/>
      <c r="S299" s="195">
        <v>0</v>
      </c>
      <c r="T299" s="195">
        <v>0</v>
      </c>
      <c r="U299" s="195">
        <v>0</v>
      </c>
    </row>
    <row r="300" spans="1:21" x14ac:dyDescent="0.25">
      <c r="A300" s="192">
        <v>2021</v>
      </c>
      <c r="B300" s="192" t="s">
        <v>826</v>
      </c>
      <c r="C300" s="193" t="s">
        <v>323</v>
      </c>
      <c r="D300" s="194" t="s">
        <v>821</v>
      </c>
      <c r="E300" s="194" t="s">
        <v>821</v>
      </c>
      <c r="F300" s="194" t="s">
        <v>323</v>
      </c>
      <c r="G300" s="193" t="s">
        <v>666</v>
      </c>
      <c r="H300" s="195">
        <v>1</v>
      </c>
      <c r="I300" s="195">
        <v>3</v>
      </c>
      <c r="J300" s="196"/>
      <c r="K300" s="195">
        <v>90660.75</v>
      </c>
      <c r="L300" s="195">
        <v>22665.19</v>
      </c>
      <c r="M300" s="195">
        <v>67995.56</v>
      </c>
      <c r="N300" s="196"/>
      <c r="O300" s="195">
        <v>37414.25</v>
      </c>
      <c r="P300" s="195">
        <v>9353.56</v>
      </c>
      <c r="Q300" s="195">
        <v>28060.690000000002</v>
      </c>
      <c r="R300" s="196"/>
      <c r="S300" s="195">
        <v>128075</v>
      </c>
      <c r="T300" s="195">
        <v>32018.75</v>
      </c>
      <c r="U300" s="195">
        <v>96056.25</v>
      </c>
    </row>
    <row r="301" spans="1:21" x14ac:dyDescent="0.25">
      <c r="A301" s="192">
        <v>2021</v>
      </c>
      <c r="B301" s="192" t="s">
        <v>822</v>
      </c>
      <c r="C301" s="193" t="s">
        <v>324</v>
      </c>
      <c r="D301" s="194" t="s">
        <v>821</v>
      </c>
      <c r="E301" s="194" t="s">
        <v>821</v>
      </c>
      <c r="F301" s="194" t="s">
        <v>324</v>
      </c>
      <c r="G301" s="193" t="s">
        <v>667</v>
      </c>
      <c r="H301" s="195">
        <v>2</v>
      </c>
      <c r="I301" s="195">
        <v>9</v>
      </c>
      <c r="J301" s="196"/>
      <c r="K301" s="195">
        <v>281879.25</v>
      </c>
      <c r="L301" s="195">
        <v>51250.77</v>
      </c>
      <c r="M301" s="195">
        <v>230628.48000000001</v>
      </c>
      <c r="N301" s="196"/>
      <c r="O301" s="195">
        <v>106726.75</v>
      </c>
      <c r="P301" s="195">
        <v>19404.86</v>
      </c>
      <c r="Q301" s="195">
        <v>87321.89</v>
      </c>
      <c r="R301" s="196"/>
      <c r="S301" s="195">
        <v>388606</v>
      </c>
      <c r="T301" s="195">
        <v>70655.63</v>
      </c>
      <c r="U301" s="195">
        <v>317950.37</v>
      </c>
    </row>
    <row r="302" spans="1:21" x14ac:dyDescent="0.25">
      <c r="A302" s="192">
        <v>2021</v>
      </c>
      <c r="B302" s="192" t="s">
        <v>827</v>
      </c>
      <c r="C302" s="193" t="s">
        <v>325</v>
      </c>
      <c r="D302" s="194" t="s">
        <v>821</v>
      </c>
      <c r="E302" s="194" t="s">
        <v>821</v>
      </c>
      <c r="F302" s="194" t="s">
        <v>325</v>
      </c>
      <c r="G302" s="193" t="s">
        <v>668</v>
      </c>
      <c r="H302" s="195">
        <v>0</v>
      </c>
      <c r="I302" s="195">
        <v>9</v>
      </c>
      <c r="J302" s="196"/>
      <c r="K302" s="195">
        <v>595122</v>
      </c>
      <c r="L302" s="195">
        <v>0</v>
      </c>
      <c r="M302" s="195">
        <v>595122</v>
      </c>
      <c r="N302" s="196"/>
      <c r="O302" s="195">
        <v>218342</v>
      </c>
      <c r="P302" s="195">
        <v>0</v>
      </c>
      <c r="Q302" s="195">
        <v>218342</v>
      </c>
      <c r="R302" s="196"/>
      <c r="S302" s="195">
        <v>813464</v>
      </c>
      <c r="T302" s="195">
        <v>0</v>
      </c>
      <c r="U302" s="195">
        <v>813464</v>
      </c>
    </row>
    <row r="303" spans="1:21" x14ac:dyDescent="0.25">
      <c r="A303" s="192">
        <v>2021</v>
      </c>
      <c r="B303" s="192" t="s">
        <v>822</v>
      </c>
      <c r="C303" s="193" t="s">
        <v>326</v>
      </c>
      <c r="D303" s="194" t="s">
        <v>821</v>
      </c>
      <c r="E303" s="194" t="s">
        <v>821</v>
      </c>
      <c r="F303" s="194" t="s">
        <v>326</v>
      </c>
      <c r="G303" s="193" t="s">
        <v>669</v>
      </c>
      <c r="H303" s="195">
        <v>0</v>
      </c>
      <c r="I303" s="195">
        <v>0</v>
      </c>
      <c r="J303" s="196"/>
      <c r="K303" s="195">
        <v>0</v>
      </c>
      <c r="L303" s="195">
        <v>0</v>
      </c>
      <c r="M303" s="195">
        <v>0</v>
      </c>
      <c r="N303" s="196"/>
      <c r="O303" s="195">
        <v>0</v>
      </c>
      <c r="P303" s="195">
        <v>0</v>
      </c>
      <c r="Q303" s="195">
        <v>0</v>
      </c>
      <c r="R303" s="196"/>
      <c r="S303" s="195">
        <v>0</v>
      </c>
      <c r="T303" s="195">
        <v>0</v>
      </c>
      <c r="U303" s="195">
        <v>0</v>
      </c>
    </row>
    <row r="304" spans="1:21" x14ac:dyDescent="0.25">
      <c r="A304" s="192">
        <v>2021</v>
      </c>
      <c r="B304" s="192" t="s">
        <v>820</v>
      </c>
      <c r="C304" s="193" t="s">
        <v>327</v>
      </c>
      <c r="D304" s="194" t="s">
        <v>821</v>
      </c>
      <c r="E304" s="194" t="s">
        <v>821</v>
      </c>
      <c r="F304" s="194" t="s">
        <v>327</v>
      </c>
      <c r="G304" s="193" t="s">
        <v>670</v>
      </c>
      <c r="H304" s="195">
        <v>0</v>
      </c>
      <c r="I304" s="195">
        <v>0</v>
      </c>
      <c r="J304" s="196"/>
      <c r="K304" s="195">
        <v>0</v>
      </c>
      <c r="L304" s="195">
        <v>0</v>
      </c>
      <c r="M304" s="195">
        <v>0</v>
      </c>
      <c r="N304" s="196"/>
      <c r="O304" s="195">
        <v>0</v>
      </c>
      <c r="P304" s="195">
        <v>0</v>
      </c>
      <c r="Q304" s="195">
        <v>0</v>
      </c>
      <c r="R304" s="196"/>
      <c r="S304" s="195">
        <v>0</v>
      </c>
      <c r="T304" s="195">
        <v>0</v>
      </c>
      <c r="U304" s="195">
        <v>0</v>
      </c>
    </row>
    <row r="305" spans="1:21" x14ac:dyDescent="0.25">
      <c r="A305" s="192">
        <v>2021</v>
      </c>
      <c r="B305" s="192" t="s">
        <v>822</v>
      </c>
      <c r="C305" s="193" t="s">
        <v>328</v>
      </c>
      <c r="D305" s="194" t="s">
        <v>821</v>
      </c>
      <c r="E305" s="194" t="s">
        <v>821</v>
      </c>
      <c r="F305" s="194" t="s">
        <v>328</v>
      </c>
      <c r="G305" s="193" t="s">
        <v>671</v>
      </c>
      <c r="H305" s="195">
        <v>0</v>
      </c>
      <c r="I305" s="195">
        <v>6</v>
      </c>
      <c r="J305" s="196"/>
      <c r="K305" s="195">
        <v>668108.25</v>
      </c>
      <c r="L305" s="195">
        <v>0</v>
      </c>
      <c r="M305" s="195">
        <v>668108.25</v>
      </c>
      <c r="N305" s="196"/>
      <c r="O305" s="195">
        <v>256626.75</v>
      </c>
      <c r="P305" s="195">
        <v>0</v>
      </c>
      <c r="Q305" s="195">
        <v>256626.75</v>
      </c>
      <c r="R305" s="196"/>
      <c r="S305" s="195">
        <v>924735</v>
      </c>
      <c r="T305" s="195">
        <v>0</v>
      </c>
      <c r="U305" s="195">
        <v>924735</v>
      </c>
    </row>
    <row r="306" spans="1:21" x14ac:dyDescent="0.25">
      <c r="A306" s="192">
        <v>2021</v>
      </c>
      <c r="B306" s="192" t="s">
        <v>826</v>
      </c>
      <c r="C306" s="193" t="s">
        <v>329</v>
      </c>
      <c r="D306" s="194" t="s">
        <v>821</v>
      </c>
      <c r="E306" s="194" t="s">
        <v>821</v>
      </c>
      <c r="F306" s="194" t="s">
        <v>329</v>
      </c>
      <c r="G306" s="193" t="s">
        <v>672</v>
      </c>
      <c r="H306" s="195">
        <v>0</v>
      </c>
      <c r="I306" s="195">
        <v>3</v>
      </c>
      <c r="J306" s="196"/>
      <c r="K306" s="195">
        <v>58947.75</v>
      </c>
      <c r="L306" s="195">
        <v>0</v>
      </c>
      <c r="M306" s="195">
        <v>58947.75</v>
      </c>
      <c r="N306" s="196"/>
      <c r="O306" s="195">
        <v>22390.25</v>
      </c>
      <c r="P306" s="195">
        <v>0</v>
      </c>
      <c r="Q306" s="195">
        <v>22390.25</v>
      </c>
      <c r="R306" s="196"/>
      <c r="S306" s="195">
        <v>81338</v>
      </c>
      <c r="T306" s="195">
        <v>0</v>
      </c>
      <c r="U306" s="195">
        <v>81338</v>
      </c>
    </row>
    <row r="307" spans="1:21" x14ac:dyDescent="0.25">
      <c r="A307" s="192">
        <v>2021</v>
      </c>
      <c r="B307" s="192" t="s">
        <v>825</v>
      </c>
      <c r="C307" s="193" t="s">
        <v>330</v>
      </c>
      <c r="D307" s="194" t="s">
        <v>233</v>
      </c>
      <c r="E307" s="194" t="s">
        <v>821</v>
      </c>
      <c r="F307" s="194" t="s">
        <v>330</v>
      </c>
      <c r="G307" s="193" t="s">
        <v>673</v>
      </c>
      <c r="H307" s="195">
        <v>0</v>
      </c>
      <c r="I307" s="195">
        <v>4</v>
      </c>
      <c r="J307" s="196"/>
      <c r="K307" s="195">
        <v>286340.25</v>
      </c>
      <c r="L307" s="195">
        <v>0</v>
      </c>
      <c r="M307" s="195">
        <v>286340.25</v>
      </c>
      <c r="N307" s="196"/>
      <c r="O307" s="195">
        <v>198543.75</v>
      </c>
      <c r="P307" s="195">
        <v>0</v>
      </c>
      <c r="Q307" s="195">
        <v>198543.75</v>
      </c>
      <c r="R307" s="196"/>
      <c r="S307" s="195">
        <v>484884</v>
      </c>
      <c r="T307" s="195">
        <v>0</v>
      </c>
      <c r="U307" s="195">
        <v>484884</v>
      </c>
    </row>
    <row r="308" spans="1:21" x14ac:dyDescent="0.25">
      <c r="A308" s="192">
        <v>2021</v>
      </c>
      <c r="B308" s="192" t="s">
        <v>825</v>
      </c>
      <c r="C308" s="193" t="s">
        <v>331</v>
      </c>
      <c r="D308" s="194" t="s">
        <v>821</v>
      </c>
      <c r="E308" s="194" t="s">
        <v>821</v>
      </c>
      <c r="F308" s="194" t="s">
        <v>331</v>
      </c>
      <c r="G308" s="193" t="s">
        <v>674</v>
      </c>
      <c r="H308" s="195">
        <v>0</v>
      </c>
      <c r="I308" s="195">
        <v>0</v>
      </c>
      <c r="J308" s="196"/>
      <c r="K308" s="195">
        <v>0</v>
      </c>
      <c r="L308" s="195">
        <v>0</v>
      </c>
      <c r="M308" s="195">
        <v>0</v>
      </c>
      <c r="N308" s="196"/>
      <c r="O308" s="195">
        <v>0</v>
      </c>
      <c r="P308" s="195">
        <v>0</v>
      </c>
      <c r="Q308" s="195">
        <v>0</v>
      </c>
      <c r="R308" s="196"/>
      <c r="S308" s="195">
        <v>0</v>
      </c>
      <c r="T308" s="195">
        <v>0</v>
      </c>
      <c r="U308" s="195">
        <v>0</v>
      </c>
    </row>
    <row r="309" spans="1:21" x14ac:dyDescent="0.25">
      <c r="A309" s="192">
        <v>2021</v>
      </c>
      <c r="B309" s="192" t="s">
        <v>827</v>
      </c>
      <c r="C309" s="193" t="s">
        <v>332</v>
      </c>
      <c r="D309" s="194" t="s">
        <v>821</v>
      </c>
      <c r="E309" s="194" t="s">
        <v>821</v>
      </c>
      <c r="F309" s="194" t="s">
        <v>332</v>
      </c>
      <c r="G309" s="193" t="s">
        <v>675</v>
      </c>
      <c r="H309" s="195">
        <v>1</v>
      </c>
      <c r="I309" s="195">
        <v>1</v>
      </c>
      <c r="J309" s="196"/>
      <c r="K309" s="195">
        <v>77176.5</v>
      </c>
      <c r="L309" s="195">
        <v>38588.25</v>
      </c>
      <c r="M309" s="195">
        <v>38588.25</v>
      </c>
      <c r="N309" s="196"/>
      <c r="O309" s="195">
        <v>30794.5</v>
      </c>
      <c r="P309" s="195">
        <v>15397.25</v>
      </c>
      <c r="Q309" s="195">
        <v>15397.25</v>
      </c>
      <c r="R309" s="196"/>
      <c r="S309" s="195">
        <v>107971</v>
      </c>
      <c r="T309" s="195">
        <v>53985.5</v>
      </c>
      <c r="U309" s="195">
        <v>53985.5</v>
      </c>
    </row>
    <row r="310" spans="1:21" x14ac:dyDescent="0.25">
      <c r="A310" s="192">
        <v>2021</v>
      </c>
      <c r="B310" s="192" t="s">
        <v>826</v>
      </c>
      <c r="C310" s="193" t="s">
        <v>333</v>
      </c>
      <c r="D310" s="194" t="s">
        <v>821</v>
      </c>
      <c r="E310" s="194" t="s">
        <v>821</v>
      </c>
      <c r="F310" s="194" t="s">
        <v>333</v>
      </c>
      <c r="G310" s="193" t="s">
        <v>676</v>
      </c>
      <c r="H310" s="195">
        <v>0</v>
      </c>
      <c r="I310" s="195">
        <v>0</v>
      </c>
      <c r="J310" s="196"/>
      <c r="K310" s="195">
        <v>0</v>
      </c>
      <c r="L310" s="195">
        <v>0</v>
      </c>
      <c r="M310" s="195">
        <v>0</v>
      </c>
      <c r="N310" s="196"/>
      <c r="O310" s="195">
        <v>0</v>
      </c>
      <c r="P310" s="195">
        <v>0</v>
      </c>
      <c r="Q310" s="195">
        <v>0</v>
      </c>
      <c r="R310" s="196"/>
      <c r="S310" s="195">
        <v>0</v>
      </c>
      <c r="T310" s="195">
        <v>0</v>
      </c>
      <c r="U310" s="195">
        <v>0</v>
      </c>
    </row>
    <row r="311" spans="1:21" x14ac:dyDescent="0.25">
      <c r="A311" s="192">
        <v>2021</v>
      </c>
      <c r="B311" s="192" t="s">
        <v>829</v>
      </c>
      <c r="C311" s="193" t="s">
        <v>334</v>
      </c>
      <c r="D311" s="194" t="s">
        <v>821</v>
      </c>
      <c r="E311" s="194" t="s">
        <v>821</v>
      </c>
      <c r="F311" s="194" t="s">
        <v>334</v>
      </c>
      <c r="G311" s="193" t="s">
        <v>677</v>
      </c>
      <c r="H311" s="195">
        <v>3</v>
      </c>
      <c r="I311" s="195">
        <v>1</v>
      </c>
      <c r="J311" s="196"/>
      <c r="K311" s="195">
        <v>42853.5</v>
      </c>
      <c r="L311" s="195">
        <v>32140.13</v>
      </c>
      <c r="M311" s="195">
        <v>10713.369999999999</v>
      </c>
      <c r="N311" s="196"/>
      <c r="O311" s="195">
        <v>14834.5</v>
      </c>
      <c r="P311" s="195">
        <v>11125.88</v>
      </c>
      <c r="Q311" s="195">
        <v>3708.6200000000008</v>
      </c>
      <c r="R311" s="196"/>
      <c r="S311" s="195">
        <v>57688</v>
      </c>
      <c r="T311" s="195">
        <v>43266.01</v>
      </c>
      <c r="U311" s="195">
        <v>14421.99</v>
      </c>
    </row>
    <row r="312" spans="1:21" x14ac:dyDescent="0.25">
      <c r="A312" s="192">
        <v>2021</v>
      </c>
      <c r="B312" s="192" t="s">
        <v>820</v>
      </c>
      <c r="C312" s="193" t="s">
        <v>303</v>
      </c>
      <c r="D312" s="194" t="s">
        <v>821</v>
      </c>
      <c r="E312" s="194" t="s">
        <v>821</v>
      </c>
      <c r="F312" s="194" t="s">
        <v>303</v>
      </c>
      <c r="G312" s="193" t="s">
        <v>648</v>
      </c>
      <c r="H312" s="195">
        <v>0</v>
      </c>
      <c r="I312" s="195">
        <v>5</v>
      </c>
      <c r="J312" s="196"/>
      <c r="K312" s="195">
        <v>194933.25</v>
      </c>
      <c r="L312" s="195">
        <v>0</v>
      </c>
      <c r="M312" s="195">
        <v>194933.25</v>
      </c>
      <c r="N312" s="196"/>
      <c r="O312" s="195">
        <v>75040.75</v>
      </c>
      <c r="P312" s="195">
        <v>0</v>
      </c>
      <c r="Q312" s="195">
        <v>75040.75</v>
      </c>
      <c r="R312" s="196"/>
      <c r="S312" s="195">
        <v>269974</v>
      </c>
      <c r="T312" s="195">
        <v>0</v>
      </c>
      <c r="U312" s="195">
        <v>269974</v>
      </c>
    </row>
    <row r="313" spans="1:21" x14ac:dyDescent="0.25">
      <c r="A313" s="192">
        <v>2021</v>
      </c>
      <c r="B313" s="192" t="s">
        <v>829</v>
      </c>
      <c r="C313" s="193" t="s">
        <v>335</v>
      </c>
      <c r="D313" s="194" t="s">
        <v>821</v>
      </c>
      <c r="E313" s="194" t="s">
        <v>821</v>
      </c>
      <c r="F313" s="194" t="s">
        <v>335</v>
      </c>
      <c r="G313" s="193" t="s">
        <v>678</v>
      </c>
      <c r="H313" s="195">
        <v>0</v>
      </c>
      <c r="I313" s="195">
        <v>5</v>
      </c>
      <c r="J313" s="196"/>
      <c r="K313" s="195">
        <v>335340.75</v>
      </c>
      <c r="L313" s="195">
        <v>0</v>
      </c>
      <c r="M313" s="195">
        <v>335340.75</v>
      </c>
      <c r="N313" s="196"/>
      <c r="O313" s="195">
        <v>130437.25</v>
      </c>
      <c r="P313" s="195">
        <v>0</v>
      </c>
      <c r="Q313" s="195">
        <v>130437.25</v>
      </c>
      <c r="R313" s="196"/>
      <c r="S313" s="195">
        <v>465778</v>
      </c>
      <c r="T313" s="195">
        <v>0</v>
      </c>
      <c r="U313" s="195">
        <v>465778</v>
      </c>
    </row>
    <row r="314" spans="1:21" x14ac:dyDescent="0.25">
      <c r="A314" s="192">
        <v>2021</v>
      </c>
      <c r="B314" s="192" t="s">
        <v>820</v>
      </c>
      <c r="C314" s="193" t="s">
        <v>336</v>
      </c>
      <c r="D314" s="194" t="s">
        <v>821</v>
      </c>
      <c r="E314" s="194" t="s">
        <v>821</v>
      </c>
      <c r="F314" s="194" t="s">
        <v>336</v>
      </c>
      <c r="G314" s="193" t="s">
        <v>679</v>
      </c>
      <c r="H314" s="195">
        <v>0</v>
      </c>
      <c r="I314" s="195">
        <v>0</v>
      </c>
      <c r="J314" s="196"/>
      <c r="K314" s="195">
        <v>0</v>
      </c>
      <c r="L314" s="195">
        <v>0</v>
      </c>
      <c r="M314" s="195">
        <v>0</v>
      </c>
      <c r="N314" s="196"/>
      <c r="O314" s="195">
        <v>0</v>
      </c>
      <c r="P314" s="195">
        <v>0</v>
      </c>
      <c r="Q314" s="195">
        <v>0</v>
      </c>
      <c r="R314" s="196"/>
      <c r="S314" s="195">
        <v>0</v>
      </c>
      <c r="T314" s="195">
        <v>0</v>
      </c>
      <c r="U314" s="195">
        <v>0</v>
      </c>
    </row>
    <row r="315" spans="1:21" x14ac:dyDescent="0.25">
      <c r="A315" s="192">
        <v>2021</v>
      </c>
      <c r="B315" s="192" t="s">
        <v>822</v>
      </c>
      <c r="C315" s="193" t="s">
        <v>278</v>
      </c>
      <c r="D315" s="194" t="s">
        <v>821</v>
      </c>
      <c r="E315" s="194" t="s">
        <v>821</v>
      </c>
      <c r="F315" s="194" t="s">
        <v>278</v>
      </c>
      <c r="G315" s="193" t="s">
        <v>623</v>
      </c>
      <c r="H315" s="195">
        <v>0</v>
      </c>
      <c r="I315" s="195">
        <v>5</v>
      </c>
      <c r="J315" s="196"/>
      <c r="K315" s="195">
        <v>161757.75</v>
      </c>
      <c r="L315" s="195">
        <v>0</v>
      </c>
      <c r="M315" s="195">
        <v>161757.75</v>
      </c>
      <c r="N315" s="196"/>
      <c r="O315" s="195">
        <v>60713.25</v>
      </c>
      <c r="P315" s="195">
        <v>0</v>
      </c>
      <c r="Q315" s="195">
        <v>60713.25</v>
      </c>
      <c r="R315" s="196"/>
      <c r="S315" s="195">
        <v>222471</v>
      </c>
      <c r="T315" s="195">
        <v>0</v>
      </c>
      <c r="U315" s="195">
        <v>222471</v>
      </c>
    </row>
    <row r="316" spans="1:21" x14ac:dyDescent="0.25">
      <c r="A316" s="192">
        <v>2021</v>
      </c>
      <c r="B316" s="192" t="s">
        <v>822</v>
      </c>
      <c r="C316" s="193" t="s">
        <v>58</v>
      </c>
      <c r="D316" s="194" t="s">
        <v>821</v>
      </c>
      <c r="E316" s="194" t="s">
        <v>821</v>
      </c>
      <c r="F316" s="194" t="s">
        <v>58</v>
      </c>
      <c r="G316" s="193" t="s">
        <v>413</v>
      </c>
      <c r="H316" s="195">
        <v>1</v>
      </c>
      <c r="I316" s="195">
        <v>8</v>
      </c>
      <c r="J316" s="196"/>
      <c r="K316" s="195">
        <v>217420.5</v>
      </c>
      <c r="L316" s="195">
        <v>24157.83</v>
      </c>
      <c r="M316" s="195">
        <v>193262.66999999998</v>
      </c>
      <c r="N316" s="196"/>
      <c r="O316" s="195">
        <v>75580.5</v>
      </c>
      <c r="P316" s="195">
        <v>8397.83</v>
      </c>
      <c r="Q316" s="195">
        <v>67182.67</v>
      </c>
      <c r="R316" s="196"/>
      <c r="S316" s="195">
        <v>293001</v>
      </c>
      <c r="T316" s="195">
        <v>32555.660000000003</v>
      </c>
      <c r="U316" s="195">
        <v>260445.33999999997</v>
      </c>
    </row>
    <row r="317" spans="1:21" x14ac:dyDescent="0.25">
      <c r="A317" s="192">
        <v>2021</v>
      </c>
      <c r="B317" s="192" t="s">
        <v>823</v>
      </c>
      <c r="C317" s="193" t="s">
        <v>338</v>
      </c>
      <c r="D317" s="194" t="s">
        <v>821</v>
      </c>
      <c r="E317" s="194" t="s">
        <v>821</v>
      </c>
      <c r="F317" s="194" t="s">
        <v>338</v>
      </c>
      <c r="G317" s="193" t="s">
        <v>681</v>
      </c>
      <c r="H317" s="195">
        <v>0</v>
      </c>
      <c r="I317" s="195">
        <v>2</v>
      </c>
      <c r="J317" s="196"/>
      <c r="K317" s="195">
        <v>20993.25</v>
      </c>
      <c r="L317" s="195">
        <v>0</v>
      </c>
      <c r="M317" s="195">
        <v>20993.25</v>
      </c>
      <c r="N317" s="196"/>
      <c r="O317" s="195">
        <v>7819.75</v>
      </c>
      <c r="P317" s="195">
        <v>0</v>
      </c>
      <c r="Q317" s="195">
        <v>7819.75</v>
      </c>
      <c r="R317" s="196"/>
      <c r="S317" s="195">
        <v>28813</v>
      </c>
      <c r="T317" s="195">
        <v>0</v>
      </c>
      <c r="U317" s="195">
        <v>28813</v>
      </c>
    </row>
    <row r="318" spans="1:21" x14ac:dyDescent="0.25">
      <c r="A318" s="192">
        <v>2021</v>
      </c>
      <c r="B318" s="192" t="s">
        <v>830</v>
      </c>
      <c r="C318" s="193" t="s">
        <v>339</v>
      </c>
      <c r="D318" s="194" t="s">
        <v>821</v>
      </c>
      <c r="E318" s="194" t="s">
        <v>821</v>
      </c>
      <c r="F318" s="194" t="s">
        <v>339</v>
      </c>
      <c r="G318" s="193" t="s">
        <v>682</v>
      </c>
      <c r="H318" s="195">
        <v>4</v>
      </c>
      <c r="I318" s="195">
        <v>4</v>
      </c>
      <c r="J318" s="196"/>
      <c r="K318" s="195">
        <v>338694.75</v>
      </c>
      <c r="L318" s="195">
        <v>169347.38</v>
      </c>
      <c r="M318" s="195">
        <v>169347.37</v>
      </c>
      <c r="N318" s="196"/>
      <c r="O318" s="195">
        <v>130368.25</v>
      </c>
      <c r="P318" s="195">
        <v>65184.13</v>
      </c>
      <c r="Q318" s="195">
        <v>65184.12</v>
      </c>
      <c r="R318" s="196"/>
      <c r="S318" s="195">
        <v>469063</v>
      </c>
      <c r="T318" s="195">
        <v>234531.51</v>
      </c>
      <c r="U318" s="195">
        <v>234531.49</v>
      </c>
    </row>
    <row r="319" spans="1:21" x14ac:dyDescent="0.25">
      <c r="A319" s="192">
        <v>2021</v>
      </c>
      <c r="B319" s="192" t="s">
        <v>824</v>
      </c>
      <c r="C319" s="193" t="s">
        <v>340</v>
      </c>
      <c r="D319" s="194" t="s">
        <v>821</v>
      </c>
      <c r="E319" s="194" t="s">
        <v>821</v>
      </c>
      <c r="F319" s="194" t="s">
        <v>340</v>
      </c>
      <c r="G319" s="193" t="s">
        <v>683</v>
      </c>
      <c r="H319" s="195">
        <v>0</v>
      </c>
      <c r="I319" s="195">
        <v>9</v>
      </c>
      <c r="J319" s="196"/>
      <c r="K319" s="195">
        <v>325797.75</v>
      </c>
      <c r="L319" s="195">
        <v>0</v>
      </c>
      <c r="M319" s="195">
        <v>325797.75</v>
      </c>
      <c r="N319" s="196"/>
      <c r="O319" s="195">
        <v>118262.25</v>
      </c>
      <c r="P319" s="195">
        <v>0</v>
      </c>
      <c r="Q319" s="195">
        <v>118262.25</v>
      </c>
      <c r="R319" s="196"/>
      <c r="S319" s="195">
        <v>444060</v>
      </c>
      <c r="T319" s="195">
        <v>0</v>
      </c>
      <c r="U319" s="195">
        <v>444060</v>
      </c>
    </row>
    <row r="320" spans="1:21" x14ac:dyDescent="0.25">
      <c r="A320" s="192">
        <v>2021</v>
      </c>
      <c r="B320" s="192" t="s">
        <v>822</v>
      </c>
      <c r="C320" s="193" t="s">
        <v>341</v>
      </c>
      <c r="D320" s="194" t="s">
        <v>821</v>
      </c>
      <c r="E320" s="194" t="s">
        <v>821</v>
      </c>
      <c r="F320" s="194" t="s">
        <v>341</v>
      </c>
      <c r="G320" s="193" t="s">
        <v>684</v>
      </c>
      <c r="H320" s="195">
        <v>0</v>
      </c>
      <c r="I320" s="195">
        <v>8</v>
      </c>
      <c r="J320" s="196"/>
      <c r="K320" s="195">
        <v>276052.5</v>
      </c>
      <c r="L320" s="195">
        <v>0</v>
      </c>
      <c r="M320" s="195">
        <v>276052.5</v>
      </c>
      <c r="N320" s="196"/>
      <c r="O320" s="195">
        <v>105353.5</v>
      </c>
      <c r="P320" s="195">
        <v>0</v>
      </c>
      <c r="Q320" s="195">
        <v>105353.5</v>
      </c>
      <c r="R320" s="196"/>
      <c r="S320" s="195">
        <v>381406</v>
      </c>
      <c r="T320" s="195">
        <v>0</v>
      </c>
      <c r="U320" s="195">
        <v>381406</v>
      </c>
    </row>
    <row r="321" spans="1:21" x14ac:dyDescent="0.25">
      <c r="A321" s="192">
        <v>2021</v>
      </c>
      <c r="B321" s="192" t="s">
        <v>824</v>
      </c>
      <c r="C321" s="193" t="s">
        <v>342</v>
      </c>
      <c r="D321" s="194" t="s">
        <v>821</v>
      </c>
      <c r="E321" s="194" t="s">
        <v>821</v>
      </c>
      <c r="F321" s="194" t="s">
        <v>342</v>
      </c>
      <c r="G321" s="193" t="s">
        <v>685</v>
      </c>
      <c r="H321" s="195">
        <v>2</v>
      </c>
      <c r="I321" s="195">
        <v>4</v>
      </c>
      <c r="J321" s="196"/>
      <c r="K321" s="195">
        <v>155715</v>
      </c>
      <c r="L321" s="195">
        <v>51905</v>
      </c>
      <c r="M321" s="195">
        <v>103810</v>
      </c>
      <c r="N321" s="196"/>
      <c r="O321" s="195">
        <v>57450</v>
      </c>
      <c r="P321" s="195">
        <v>19150</v>
      </c>
      <c r="Q321" s="195">
        <v>38300</v>
      </c>
      <c r="R321" s="196"/>
      <c r="S321" s="195">
        <v>213165</v>
      </c>
      <c r="T321" s="195">
        <v>71055</v>
      </c>
      <c r="U321" s="195">
        <v>142110</v>
      </c>
    </row>
    <row r="322" spans="1:21" x14ac:dyDescent="0.25">
      <c r="A322" s="192">
        <v>2021</v>
      </c>
      <c r="B322" s="192" t="s">
        <v>824</v>
      </c>
      <c r="C322" s="193" t="s">
        <v>343</v>
      </c>
      <c r="D322" s="194" t="s">
        <v>821</v>
      </c>
      <c r="E322" s="194" t="s">
        <v>821</v>
      </c>
      <c r="F322" s="194" t="s">
        <v>343</v>
      </c>
      <c r="G322" s="193" t="s">
        <v>686</v>
      </c>
      <c r="H322" s="195">
        <v>0</v>
      </c>
      <c r="I322" s="195">
        <v>7</v>
      </c>
      <c r="J322" s="196"/>
      <c r="K322" s="195">
        <v>190803.75</v>
      </c>
      <c r="L322" s="195">
        <v>0</v>
      </c>
      <c r="M322" s="195">
        <v>190803.75</v>
      </c>
      <c r="N322" s="196"/>
      <c r="O322" s="195">
        <v>69315.25</v>
      </c>
      <c r="P322" s="195">
        <v>0</v>
      </c>
      <c r="Q322" s="195">
        <v>69315.25</v>
      </c>
      <c r="R322" s="196"/>
      <c r="S322" s="195">
        <v>260119</v>
      </c>
      <c r="T322" s="195">
        <v>0</v>
      </c>
      <c r="U322" s="195">
        <v>260119</v>
      </c>
    </row>
    <row r="323" spans="1:21" x14ac:dyDescent="0.25">
      <c r="A323" s="192">
        <v>2021</v>
      </c>
      <c r="B323" s="192" t="s">
        <v>829</v>
      </c>
      <c r="C323" s="193" t="s">
        <v>337</v>
      </c>
      <c r="D323" s="194" t="s">
        <v>821</v>
      </c>
      <c r="E323" s="194" t="s">
        <v>821</v>
      </c>
      <c r="F323" s="194" t="s">
        <v>337</v>
      </c>
      <c r="G323" s="193" t="s">
        <v>680</v>
      </c>
      <c r="H323" s="195">
        <v>0</v>
      </c>
      <c r="I323" s="195">
        <v>6</v>
      </c>
      <c r="J323" s="196"/>
      <c r="K323" s="195">
        <v>1170378</v>
      </c>
      <c r="L323" s="195">
        <v>0</v>
      </c>
      <c r="M323" s="195">
        <v>1170378</v>
      </c>
      <c r="N323" s="196"/>
      <c r="O323" s="195">
        <v>451652</v>
      </c>
      <c r="P323" s="195">
        <v>0</v>
      </c>
      <c r="Q323" s="195">
        <v>451652</v>
      </c>
      <c r="R323" s="196"/>
      <c r="S323" s="195">
        <v>1622030</v>
      </c>
      <c r="T323" s="195">
        <v>0</v>
      </c>
      <c r="U323" s="195">
        <v>1622030</v>
      </c>
    </row>
    <row r="324" spans="1:21" x14ac:dyDescent="0.25">
      <c r="A324" s="192">
        <v>2021</v>
      </c>
      <c r="B324" s="192" t="s">
        <v>824</v>
      </c>
      <c r="C324" s="193" t="s">
        <v>344</v>
      </c>
      <c r="D324" s="194" t="s">
        <v>821</v>
      </c>
      <c r="E324" s="194" t="s">
        <v>821</v>
      </c>
      <c r="F324" s="194" t="s">
        <v>344</v>
      </c>
      <c r="G324" s="193" t="s">
        <v>687</v>
      </c>
      <c r="H324" s="195">
        <v>1</v>
      </c>
      <c r="I324" s="195">
        <v>6</v>
      </c>
      <c r="J324" s="196"/>
      <c r="K324" s="195">
        <v>167259</v>
      </c>
      <c r="L324" s="195">
        <v>23894.14</v>
      </c>
      <c r="M324" s="195">
        <v>143364.85999999999</v>
      </c>
      <c r="N324" s="196"/>
      <c r="O324" s="195">
        <v>61346</v>
      </c>
      <c r="P324" s="195">
        <v>8763.7099999999991</v>
      </c>
      <c r="Q324" s="195">
        <v>52582.29</v>
      </c>
      <c r="R324" s="196"/>
      <c r="S324" s="195">
        <v>228605</v>
      </c>
      <c r="T324" s="195">
        <v>32657.85</v>
      </c>
      <c r="U324" s="195">
        <v>195947.15</v>
      </c>
    </row>
    <row r="325" spans="1:21" x14ac:dyDescent="0.25">
      <c r="A325" s="192">
        <v>2021</v>
      </c>
      <c r="B325" s="192" t="s">
        <v>824</v>
      </c>
      <c r="C325" s="193" t="s">
        <v>345</v>
      </c>
      <c r="D325" s="194" t="s">
        <v>821</v>
      </c>
      <c r="E325" s="194" t="s">
        <v>821</v>
      </c>
      <c r="F325" s="194" t="s">
        <v>345</v>
      </c>
      <c r="G325" s="193" t="s">
        <v>688</v>
      </c>
      <c r="H325" s="195">
        <v>0</v>
      </c>
      <c r="I325" s="195">
        <v>5</v>
      </c>
      <c r="J325" s="196"/>
      <c r="K325" s="195">
        <v>44048.25</v>
      </c>
      <c r="L325" s="195">
        <v>0</v>
      </c>
      <c r="M325" s="195">
        <v>44048.25</v>
      </c>
      <c r="N325" s="196"/>
      <c r="O325" s="195">
        <v>15396.75</v>
      </c>
      <c r="P325" s="195">
        <v>0</v>
      </c>
      <c r="Q325" s="195">
        <v>15396.75</v>
      </c>
      <c r="R325" s="196"/>
      <c r="S325" s="195">
        <v>59445</v>
      </c>
      <c r="T325" s="195">
        <v>0</v>
      </c>
      <c r="U325" s="195">
        <v>59445</v>
      </c>
    </row>
    <row r="326" spans="1:21" x14ac:dyDescent="0.25">
      <c r="A326" s="192">
        <v>2021</v>
      </c>
      <c r="B326" s="192" t="s">
        <v>827</v>
      </c>
      <c r="C326" s="193" t="s">
        <v>346</v>
      </c>
      <c r="D326" s="194" t="s">
        <v>821</v>
      </c>
      <c r="E326" s="194" t="s">
        <v>821</v>
      </c>
      <c r="F326" s="194" t="s">
        <v>346</v>
      </c>
      <c r="G326" s="193" t="s">
        <v>689</v>
      </c>
      <c r="H326" s="195">
        <v>0</v>
      </c>
      <c r="I326" s="195">
        <v>7</v>
      </c>
      <c r="J326" s="196"/>
      <c r="K326" s="195">
        <v>387511.5</v>
      </c>
      <c r="L326" s="195">
        <v>0</v>
      </c>
      <c r="M326" s="195">
        <v>387511.5</v>
      </c>
      <c r="N326" s="196"/>
      <c r="O326" s="195">
        <v>148448.5</v>
      </c>
      <c r="P326" s="195">
        <v>0</v>
      </c>
      <c r="Q326" s="195">
        <v>148448.5</v>
      </c>
      <c r="R326" s="196"/>
      <c r="S326" s="195">
        <v>535960</v>
      </c>
      <c r="T326" s="195">
        <v>0</v>
      </c>
      <c r="U326" s="195">
        <v>535960</v>
      </c>
    </row>
    <row r="327" spans="1:21" x14ac:dyDescent="0.25">
      <c r="A327" s="192">
        <v>2021</v>
      </c>
      <c r="B327" s="192" t="s">
        <v>830</v>
      </c>
      <c r="C327" s="193" t="s">
        <v>347</v>
      </c>
      <c r="D327" s="194" t="s">
        <v>821</v>
      </c>
      <c r="E327" s="194" t="s">
        <v>821</v>
      </c>
      <c r="F327" s="194" t="s">
        <v>347</v>
      </c>
      <c r="G327" s="193" t="s">
        <v>690</v>
      </c>
      <c r="H327" s="195">
        <v>0</v>
      </c>
      <c r="I327" s="195">
        <v>5</v>
      </c>
      <c r="J327" s="196"/>
      <c r="K327" s="195">
        <v>186149.25</v>
      </c>
      <c r="L327" s="195">
        <v>0</v>
      </c>
      <c r="M327" s="195">
        <v>186149.25</v>
      </c>
      <c r="N327" s="196"/>
      <c r="O327" s="195">
        <v>64808.75</v>
      </c>
      <c r="P327" s="195">
        <v>0</v>
      </c>
      <c r="Q327" s="195">
        <v>64808.75</v>
      </c>
      <c r="R327" s="196"/>
      <c r="S327" s="195">
        <v>250958</v>
      </c>
      <c r="T327" s="195">
        <v>0</v>
      </c>
      <c r="U327" s="195">
        <v>250958</v>
      </c>
    </row>
    <row r="328" spans="1:21" x14ac:dyDescent="0.25">
      <c r="A328" s="192">
        <v>2021</v>
      </c>
      <c r="B328" s="192" t="s">
        <v>826</v>
      </c>
      <c r="C328" s="193" t="s">
        <v>348</v>
      </c>
      <c r="D328" s="194" t="s">
        <v>821</v>
      </c>
      <c r="E328" s="194" t="s">
        <v>821</v>
      </c>
      <c r="F328" s="194" t="s">
        <v>348</v>
      </c>
      <c r="G328" s="193" t="s">
        <v>691</v>
      </c>
      <c r="H328" s="195">
        <v>0</v>
      </c>
      <c r="I328" s="195">
        <v>7</v>
      </c>
      <c r="J328" s="196"/>
      <c r="K328" s="195">
        <v>74859</v>
      </c>
      <c r="L328" s="195">
        <v>0</v>
      </c>
      <c r="M328" s="195">
        <v>74859</v>
      </c>
      <c r="N328" s="196"/>
      <c r="O328" s="195">
        <v>30967</v>
      </c>
      <c r="P328" s="195">
        <v>0</v>
      </c>
      <c r="Q328" s="195">
        <v>30967</v>
      </c>
      <c r="R328" s="196"/>
      <c r="S328" s="195">
        <v>105826</v>
      </c>
      <c r="T328" s="195">
        <v>0</v>
      </c>
      <c r="U328" s="195">
        <v>105826</v>
      </c>
    </row>
    <row r="329" spans="1:21" x14ac:dyDescent="0.25">
      <c r="A329" s="192">
        <v>2021</v>
      </c>
      <c r="B329" s="192" t="s">
        <v>820</v>
      </c>
      <c r="C329" s="193" t="s">
        <v>349</v>
      </c>
      <c r="D329" s="194" t="s">
        <v>821</v>
      </c>
      <c r="E329" s="194" t="s">
        <v>821</v>
      </c>
      <c r="F329" s="194" t="s">
        <v>349</v>
      </c>
      <c r="G329" s="193" t="s">
        <v>692</v>
      </c>
      <c r="H329" s="195">
        <v>0</v>
      </c>
      <c r="I329" s="195">
        <v>4</v>
      </c>
      <c r="J329" s="196"/>
      <c r="K329" s="195">
        <v>324063.75</v>
      </c>
      <c r="L329" s="195">
        <v>0</v>
      </c>
      <c r="M329" s="195">
        <v>324063.75</v>
      </c>
      <c r="N329" s="196"/>
      <c r="O329" s="195">
        <v>129424.25</v>
      </c>
      <c r="P329" s="195">
        <v>0</v>
      </c>
      <c r="Q329" s="195">
        <v>129424.25</v>
      </c>
      <c r="R329" s="196"/>
      <c r="S329" s="195">
        <v>453488</v>
      </c>
      <c r="T329" s="195">
        <v>0</v>
      </c>
      <c r="U329" s="195">
        <v>453488</v>
      </c>
    </row>
    <row r="330" spans="1:21" x14ac:dyDescent="0.25">
      <c r="A330" s="192">
        <v>2021</v>
      </c>
      <c r="B330" s="192" t="s">
        <v>823</v>
      </c>
      <c r="C330" s="193" t="s">
        <v>350</v>
      </c>
      <c r="D330" s="194" t="s">
        <v>821</v>
      </c>
      <c r="E330" s="194" t="s">
        <v>821</v>
      </c>
      <c r="F330" s="194" t="s">
        <v>350</v>
      </c>
      <c r="G330" s="193" t="s">
        <v>693</v>
      </c>
      <c r="H330" s="195">
        <v>5</v>
      </c>
      <c r="I330" s="195">
        <v>9</v>
      </c>
      <c r="J330" s="196"/>
      <c r="K330" s="195">
        <v>199427.25</v>
      </c>
      <c r="L330" s="195">
        <v>71224.02</v>
      </c>
      <c r="M330" s="195">
        <v>128203.23</v>
      </c>
      <c r="N330" s="196"/>
      <c r="O330" s="195">
        <v>87306.75</v>
      </c>
      <c r="P330" s="195">
        <v>31180.98</v>
      </c>
      <c r="Q330" s="195">
        <v>56125.770000000004</v>
      </c>
      <c r="R330" s="196"/>
      <c r="S330" s="195">
        <v>286734</v>
      </c>
      <c r="T330" s="195">
        <v>102405</v>
      </c>
      <c r="U330" s="195">
        <v>184329</v>
      </c>
    </row>
    <row r="331" spans="1:21" x14ac:dyDescent="0.25">
      <c r="A331" s="192">
        <v>2021</v>
      </c>
      <c r="B331" s="192" t="s">
        <v>824</v>
      </c>
      <c r="C331" s="193" t="s">
        <v>351</v>
      </c>
      <c r="D331" s="194" t="s">
        <v>821</v>
      </c>
      <c r="E331" s="194" t="s">
        <v>821</v>
      </c>
      <c r="F331" s="194" t="s">
        <v>351</v>
      </c>
      <c r="G331" s="193" t="s">
        <v>694</v>
      </c>
      <c r="H331" s="195">
        <v>0</v>
      </c>
      <c r="I331" s="195">
        <v>2</v>
      </c>
      <c r="J331" s="196"/>
      <c r="K331" s="195">
        <v>54286.5</v>
      </c>
      <c r="L331" s="195">
        <v>0</v>
      </c>
      <c r="M331" s="195">
        <v>54286.5</v>
      </c>
      <c r="N331" s="196"/>
      <c r="O331" s="195">
        <v>20846.5</v>
      </c>
      <c r="P331" s="195">
        <v>0</v>
      </c>
      <c r="Q331" s="195">
        <v>20846.5</v>
      </c>
      <c r="R331" s="196"/>
      <c r="S331" s="195">
        <v>75133</v>
      </c>
      <c r="T331" s="195">
        <v>0</v>
      </c>
      <c r="U331" s="195">
        <v>75133</v>
      </c>
    </row>
    <row r="332" spans="1:21" x14ac:dyDescent="0.25">
      <c r="A332" s="192">
        <v>2021</v>
      </c>
      <c r="B332" s="192" t="s">
        <v>820</v>
      </c>
      <c r="C332" s="193" t="s">
        <v>352</v>
      </c>
      <c r="D332" s="194" t="s">
        <v>821</v>
      </c>
      <c r="E332" s="194" t="s">
        <v>821</v>
      </c>
      <c r="F332" s="194" t="s">
        <v>352</v>
      </c>
      <c r="G332" s="193" t="s">
        <v>695</v>
      </c>
      <c r="H332" s="195">
        <v>0</v>
      </c>
      <c r="I332" s="195">
        <v>6</v>
      </c>
      <c r="J332" s="196"/>
      <c r="K332" s="195">
        <v>316119</v>
      </c>
      <c r="L332" s="195">
        <v>0</v>
      </c>
      <c r="M332" s="195">
        <v>316119</v>
      </c>
      <c r="N332" s="196"/>
      <c r="O332" s="195">
        <v>123270</v>
      </c>
      <c r="P332" s="195">
        <v>0</v>
      </c>
      <c r="Q332" s="195">
        <v>123270</v>
      </c>
      <c r="R332" s="196"/>
      <c r="S332" s="195">
        <v>439389</v>
      </c>
      <c r="T332" s="195">
        <v>0</v>
      </c>
      <c r="U332" s="195">
        <v>439389</v>
      </c>
    </row>
    <row r="333" spans="1:21" ht="15.75" thickBot="1" x14ac:dyDescent="0.3">
      <c r="A333" s="188"/>
      <c r="B333" s="188"/>
      <c r="C333" s="197" t="s">
        <v>790</v>
      </c>
      <c r="D333" s="188"/>
      <c r="E333" s="188"/>
      <c r="F333" s="190"/>
      <c r="G333" s="189"/>
      <c r="H333" s="189"/>
      <c r="I333" s="189"/>
      <c r="J333" s="189"/>
      <c r="K333" s="186">
        <f>SUM(K6:K332)</f>
        <v>75137126.25</v>
      </c>
      <c r="L333" s="186">
        <f t="shared" ref="L333:M333" si="0">SUM(L6:L332)</f>
        <v>7800045.8299999973</v>
      </c>
      <c r="M333" s="186">
        <f t="shared" si="0"/>
        <v>67337080.419999957</v>
      </c>
      <c r="N333" s="189"/>
      <c r="O333" s="186">
        <f>SUM(O6:O332)</f>
        <v>29315857.75</v>
      </c>
      <c r="P333" s="186">
        <f t="shared" ref="P333:Q333" si="1">SUM(P6:P332)</f>
        <v>2960676.0899999994</v>
      </c>
      <c r="Q333" s="186">
        <f t="shared" si="1"/>
        <v>26355181.660000008</v>
      </c>
      <c r="R333" s="189"/>
      <c r="S333" s="186">
        <f>SUM(S6:S332)</f>
        <v>104452984</v>
      </c>
      <c r="T333" s="186">
        <f t="shared" ref="T333:U333" si="2">SUM(T6:T332)</f>
        <v>10760721.919999998</v>
      </c>
      <c r="U333" s="18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topLeftCell="A290" workbookViewId="0">
      <selection activeCell="E329" sqref="E329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1" t="s">
        <v>792</v>
      </c>
    </row>
    <row r="2" spans="1:40" x14ac:dyDescent="0.2">
      <c r="A2" s="1">
        <v>2023</v>
      </c>
      <c r="B2" s="2" t="s">
        <v>20</v>
      </c>
      <c r="C2" s="2" t="s">
        <v>20</v>
      </c>
      <c r="D2" s="1" t="s">
        <v>0</v>
      </c>
      <c r="E2" s="3">
        <v>3613303</v>
      </c>
      <c r="F2" s="1">
        <v>580</v>
      </c>
      <c r="G2" s="3">
        <v>16155</v>
      </c>
      <c r="H2" s="1">
        <v>0</v>
      </c>
      <c r="I2" s="3">
        <v>3612723</v>
      </c>
      <c r="J2" s="3">
        <v>3596568</v>
      </c>
      <c r="K2" s="3">
        <v>3596568</v>
      </c>
      <c r="L2" s="3">
        <v>129148</v>
      </c>
      <c r="M2" s="3">
        <v>451165</v>
      </c>
      <c r="N2" s="3">
        <v>43690</v>
      </c>
      <c r="O2" s="3">
        <v>48879</v>
      </c>
      <c r="P2" s="3">
        <v>243340</v>
      </c>
      <c r="Q2" s="3">
        <v>2696501</v>
      </c>
      <c r="R2" s="3">
        <v>2680346</v>
      </c>
      <c r="S2" s="3">
        <v>2680346</v>
      </c>
      <c r="T2" s="3">
        <v>361272</v>
      </c>
      <c r="U2" s="3">
        <v>361272</v>
      </c>
      <c r="V2" s="3">
        <v>361272</v>
      </c>
      <c r="W2" s="3">
        <v>361272</v>
      </c>
      <c r="X2" s="3">
        <v>358580</v>
      </c>
      <c r="Y2" s="3">
        <v>358580</v>
      </c>
      <c r="Z2" s="4">
        <v>358580</v>
      </c>
      <c r="AA2" s="4">
        <v>358580</v>
      </c>
      <c r="AB2" s="4">
        <v>358580</v>
      </c>
      <c r="AC2" s="4">
        <v>358580</v>
      </c>
      <c r="AD2" s="4">
        <v>361272</v>
      </c>
      <c r="AE2" s="4">
        <v>722544</v>
      </c>
      <c r="AF2" s="4">
        <v>1083816</v>
      </c>
      <c r="AG2" s="4">
        <v>1445088</v>
      </c>
      <c r="AH2" s="4">
        <v>1803668</v>
      </c>
      <c r="AI2" s="4">
        <v>2162248</v>
      </c>
      <c r="AJ2" s="4">
        <v>2520828</v>
      </c>
      <c r="AK2" s="4">
        <v>2879408</v>
      </c>
      <c r="AL2" s="4">
        <v>3237988</v>
      </c>
      <c r="AM2" s="4">
        <v>3596568</v>
      </c>
      <c r="AN2" s="150">
        <v>338098</v>
      </c>
    </row>
    <row r="3" spans="1:40" x14ac:dyDescent="0.2">
      <c r="A3" s="1">
        <v>2023</v>
      </c>
      <c r="B3" s="2" t="s">
        <v>21</v>
      </c>
      <c r="C3" s="2" t="s">
        <v>21</v>
      </c>
      <c r="D3" s="1" t="s">
        <v>381</v>
      </c>
      <c r="E3" s="3">
        <v>1866483</v>
      </c>
      <c r="F3" s="1">
        <v>199</v>
      </c>
      <c r="G3" s="3">
        <v>7361</v>
      </c>
      <c r="H3" s="3">
        <v>0</v>
      </c>
      <c r="I3" s="3">
        <v>1866284</v>
      </c>
      <c r="J3" s="3">
        <v>1858923</v>
      </c>
      <c r="K3" s="3">
        <v>1858923</v>
      </c>
      <c r="L3" s="3">
        <v>44279</v>
      </c>
      <c r="M3" s="3">
        <v>213279</v>
      </c>
      <c r="N3" s="3">
        <v>23710</v>
      </c>
      <c r="O3" s="3">
        <v>21495</v>
      </c>
      <c r="P3" s="3">
        <v>110882</v>
      </c>
      <c r="Q3" s="3">
        <v>1452639</v>
      </c>
      <c r="R3" s="3">
        <v>1445278</v>
      </c>
      <c r="S3" s="3">
        <v>1445278</v>
      </c>
      <c r="T3" s="3">
        <v>186628</v>
      </c>
      <c r="U3" s="3">
        <v>186628</v>
      </c>
      <c r="V3" s="3">
        <v>186628</v>
      </c>
      <c r="W3" s="3">
        <v>186628</v>
      </c>
      <c r="X3" s="3">
        <v>185402</v>
      </c>
      <c r="Y3" s="3">
        <v>185402</v>
      </c>
      <c r="Z3" s="4">
        <v>185402</v>
      </c>
      <c r="AA3" s="4">
        <v>185402</v>
      </c>
      <c r="AB3" s="4">
        <v>185402</v>
      </c>
      <c r="AC3" s="4">
        <v>185401</v>
      </c>
      <c r="AD3" s="4">
        <v>186628</v>
      </c>
      <c r="AE3" s="4">
        <v>373256</v>
      </c>
      <c r="AF3" s="4">
        <v>559884</v>
      </c>
      <c r="AG3" s="4">
        <v>746512</v>
      </c>
      <c r="AH3" s="4">
        <v>931914</v>
      </c>
      <c r="AI3" s="4">
        <v>1117316</v>
      </c>
      <c r="AJ3" s="4">
        <v>1302718</v>
      </c>
      <c r="AK3" s="4">
        <v>1488120</v>
      </c>
      <c r="AL3" s="4">
        <v>1673522</v>
      </c>
      <c r="AM3" s="4">
        <v>1858923</v>
      </c>
      <c r="AN3" s="150">
        <v>142441</v>
      </c>
    </row>
    <row r="4" spans="1:40" x14ac:dyDescent="0.2">
      <c r="A4" s="1">
        <v>2023</v>
      </c>
      <c r="B4" s="2" t="s">
        <v>22</v>
      </c>
      <c r="C4" s="2" t="s">
        <v>22</v>
      </c>
      <c r="D4" s="1" t="s">
        <v>382</v>
      </c>
      <c r="E4" s="3">
        <v>14638403</v>
      </c>
      <c r="F4" s="1">
        <v>0</v>
      </c>
      <c r="G4" s="3">
        <v>48809</v>
      </c>
      <c r="H4" s="1">
        <v>0</v>
      </c>
      <c r="I4" s="3">
        <v>14638403</v>
      </c>
      <c r="J4" s="3">
        <v>14589594</v>
      </c>
      <c r="K4" s="3">
        <v>14589594</v>
      </c>
      <c r="L4" s="3">
        <v>0</v>
      </c>
      <c r="M4" s="3">
        <v>1329230</v>
      </c>
      <c r="N4" s="3">
        <v>150802</v>
      </c>
      <c r="O4" s="3">
        <v>144411</v>
      </c>
      <c r="P4" s="3">
        <v>735207</v>
      </c>
      <c r="Q4" s="3">
        <v>12278753</v>
      </c>
      <c r="R4" s="3">
        <v>12229944</v>
      </c>
      <c r="S4" s="3">
        <v>12229944</v>
      </c>
      <c r="T4" s="3">
        <v>1463840</v>
      </c>
      <c r="U4" s="3">
        <v>1463840</v>
      </c>
      <c r="V4" s="3">
        <v>1463840</v>
      </c>
      <c r="W4" s="3">
        <v>1463840</v>
      </c>
      <c r="X4" s="3">
        <v>1455706</v>
      </c>
      <c r="Y4" s="3">
        <v>1455706</v>
      </c>
      <c r="Z4" s="4">
        <v>1455706</v>
      </c>
      <c r="AA4" s="4">
        <v>1455706</v>
      </c>
      <c r="AB4" s="4">
        <v>1455706</v>
      </c>
      <c r="AC4" s="4">
        <v>1455704</v>
      </c>
      <c r="AD4" s="4">
        <v>1463840</v>
      </c>
      <c r="AE4" s="4">
        <v>2927680</v>
      </c>
      <c r="AF4" s="4">
        <v>4391520</v>
      </c>
      <c r="AG4" s="4">
        <v>5855360</v>
      </c>
      <c r="AH4" s="4">
        <v>7311066</v>
      </c>
      <c r="AI4" s="4">
        <v>8766772</v>
      </c>
      <c r="AJ4" s="4">
        <v>10222478</v>
      </c>
      <c r="AK4" s="4">
        <v>11678184</v>
      </c>
      <c r="AL4" s="4">
        <v>13133890</v>
      </c>
      <c r="AM4" s="4">
        <v>14589594</v>
      </c>
      <c r="AN4" s="150">
        <v>982501</v>
      </c>
    </row>
    <row r="5" spans="1:40" x14ac:dyDescent="0.2">
      <c r="A5" s="1">
        <v>2023</v>
      </c>
      <c r="B5" s="2" t="s">
        <v>23</v>
      </c>
      <c r="C5" s="2" t="s">
        <v>23</v>
      </c>
      <c r="D5" s="1" t="s">
        <v>383</v>
      </c>
      <c r="E5" s="3">
        <v>3960703</v>
      </c>
      <c r="F5" s="1">
        <v>448</v>
      </c>
      <c r="G5" s="3">
        <v>13207</v>
      </c>
      <c r="H5" s="1">
        <v>0</v>
      </c>
      <c r="I5" s="3">
        <v>3960255</v>
      </c>
      <c r="J5" s="3">
        <v>3947048</v>
      </c>
      <c r="K5" s="3">
        <v>3947048</v>
      </c>
      <c r="L5" s="3">
        <v>99628</v>
      </c>
      <c r="M5" s="3">
        <v>376601</v>
      </c>
      <c r="N5" s="3">
        <v>42000</v>
      </c>
      <c r="O5" s="3">
        <v>43090</v>
      </c>
      <c r="P5" s="3">
        <v>198937</v>
      </c>
      <c r="Q5" s="3">
        <v>3199999</v>
      </c>
      <c r="R5" s="3">
        <v>3186792</v>
      </c>
      <c r="S5" s="3">
        <v>3186792</v>
      </c>
      <c r="T5" s="3">
        <v>396026</v>
      </c>
      <c r="U5" s="3">
        <v>396026</v>
      </c>
      <c r="V5" s="3">
        <v>396026</v>
      </c>
      <c r="W5" s="3">
        <v>396026</v>
      </c>
      <c r="X5" s="3">
        <v>393824</v>
      </c>
      <c r="Y5" s="3">
        <v>393824</v>
      </c>
      <c r="Z5" s="4">
        <v>393824</v>
      </c>
      <c r="AA5" s="4">
        <v>393824</v>
      </c>
      <c r="AB5" s="4">
        <v>393824</v>
      </c>
      <c r="AC5" s="4">
        <v>393824</v>
      </c>
      <c r="AD5" s="4">
        <v>396026</v>
      </c>
      <c r="AE5" s="4">
        <v>792052</v>
      </c>
      <c r="AF5" s="4">
        <v>1188078</v>
      </c>
      <c r="AG5" s="4">
        <v>1584104</v>
      </c>
      <c r="AH5" s="4">
        <v>1977928</v>
      </c>
      <c r="AI5" s="4">
        <v>2371752</v>
      </c>
      <c r="AJ5" s="4">
        <v>2765576</v>
      </c>
      <c r="AK5" s="4">
        <v>3159400</v>
      </c>
      <c r="AL5" s="4">
        <v>3553224</v>
      </c>
      <c r="AM5" s="4">
        <v>3947048</v>
      </c>
      <c r="AN5" s="150">
        <v>275810</v>
      </c>
    </row>
    <row r="6" spans="1:40" x14ac:dyDescent="0.2">
      <c r="A6" s="1">
        <v>2023</v>
      </c>
      <c r="B6" s="2" t="s">
        <v>24</v>
      </c>
      <c r="C6" s="2" t="s">
        <v>24</v>
      </c>
      <c r="D6" s="1" t="s">
        <v>384</v>
      </c>
      <c r="E6" s="3">
        <v>926261</v>
      </c>
      <c r="F6" s="1">
        <v>182</v>
      </c>
      <c r="G6" s="3">
        <v>4639</v>
      </c>
      <c r="H6" s="3">
        <v>0</v>
      </c>
      <c r="I6" s="3">
        <v>926079</v>
      </c>
      <c r="J6" s="3">
        <v>921440</v>
      </c>
      <c r="K6" s="3">
        <v>921440</v>
      </c>
      <c r="L6" s="3">
        <v>40590</v>
      </c>
      <c r="M6" s="3">
        <v>116428</v>
      </c>
      <c r="N6" s="3">
        <v>10548</v>
      </c>
      <c r="O6" s="3">
        <v>10116</v>
      </c>
      <c r="P6" s="3">
        <v>75294</v>
      </c>
      <c r="Q6" s="3">
        <v>673103</v>
      </c>
      <c r="R6" s="3">
        <v>668464</v>
      </c>
      <c r="S6" s="3">
        <v>668464</v>
      </c>
      <c r="T6" s="3">
        <v>92608</v>
      </c>
      <c r="U6" s="3">
        <v>92608</v>
      </c>
      <c r="V6" s="3">
        <v>92608</v>
      </c>
      <c r="W6" s="3">
        <v>92608</v>
      </c>
      <c r="X6" s="3">
        <v>91835</v>
      </c>
      <c r="Y6" s="3">
        <v>91835</v>
      </c>
      <c r="Z6" s="4">
        <v>91835</v>
      </c>
      <c r="AA6" s="4">
        <v>91835</v>
      </c>
      <c r="AB6" s="4">
        <v>91835</v>
      </c>
      <c r="AC6" s="4">
        <v>91833</v>
      </c>
      <c r="AD6" s="4">
        <v>92608</v>
      </c>
      <c r="AE6" s="4">
        <v>185216</v>
      </c>
      <c r="AF6" s="4">
        <v>277824</v>
      </c>
      <c r="AG6" s="4">
        <v>370432</v>
      </c>
      <c r="AH6" s="4">
        <v>462267</v>
      </c>
      <c r="AI6" s="4">
        <v>554102</v>
      </c>
      <c r="AJ6" s="4">
        <v>645937</v>
      </c>
      <c r="AK6" s="4">
        <v>737772</v>
      </c>
      <c r="AL6" s="4">
        <v>829607</v>
      </c>
      <c r="AM6" s="4">
        <v>921440</v>
      </c>
      <c r="AN6" s="150">
        <v>100616</v>
      </c>
    </row>
    <row r="7" spans="1:40" x14ac:dyDescent="0.2">
      <c r="A7" s="1">
        <v>2023</v>
      </c>
      <c r="B7" s="2" t="s">
        <v>25</v>
      </c>
      <c r="C7" s="2" t="s">
        <v>25</v>
      </c>
      <c r="D7" s="1" t="s">
        <v>385</v>
      </c>
      <c r="E7" s="3">
        <v>8357737</v>
      </c>
      <c r="F7" s="3">
        <v>813</v>
      </c>
      <c r="G7" s="3">
        <v>27143</v>
      </c>
      <c r="H7" s="3">
        <v>0</v>
      </c>
      <c r="I7" s="3">
        <v>8356924</v>
      </c>
      <c r="J7" s="3">
        <v>8329781</v>
      </c>
      <c r="K7" s="3">
        <v>8329781</v>
      </c>
      <c r="L7" s="3">
        <v>180806</v>
      </c>
      <c r="M7" s="3">
        <v>710439</v>
      </c>
      <c r="N7" s="3">
        <v>80389</v>
      </c>
      <c r="O7" s="3">
        <v>82103</v>
      </c>
      <c r="P7" s="3">
        <v>408858</v>
      </c>
      <c r="Q7" s="3">
        <v>6894329</v>
      </c>
      <c r="R7" s="3">
        <v>6867186</v>
      </c>
      <c r="S7" s="3">
        <v>6867186</v>
      </c>
      <c r="T7" s="3">
        <v>835692</v>
      </c>
      <c r="U7" s="3">
        <v>835692</v>
      </c>
      <c r="V7" s="3">
        <v>835692</v>
      </c>
      <c r="W7" s="3">
        <v>835692</v>
      </c>
      <c r="X7" s="3">
        <v>831169</v>
      </c>
      <c r="Y7" s="3">
        <v>831169</v>
      </c>
      <c r="Z7" s="4">
        <v>831169</v>
      </c>
      <c r="AA7" s="4">
        <v>831169</v>
      </c>
      <c r="AB7" s="4">
        <v>831169</v>
      </c>
      <c r="AC7" s="4">
        <v>831168</v>
      </c>
      <c r="AD7" s="4">
        <v>835692</v>
      </c>
      <c r="AE7" s="4">
        <v>1671384</v>
      </c>
      <c r="AF7" s="4">
        <v>2507076</v>
      </c>
      <c r="AG7" s="4">
        <v>3342768</v>
      </c>
      <c r="AH7" s="4">
        <v>4173937</v>
      </c>
      <c r="AI7" s="4">
        <v>5005106</v>
      </c>
      <c r="AJ7" s="4">
        <v>5836275</v>
      </c>
      <c r="AK7" s="4">
        <v>6667444</v>
      </c>
      <c r="AL7" s="4">
        <v>7498613</v>
      </c>
      <c r="AM7" s="4">
        <v>8329781</v>
      </c>
      <c r="AN7" s="150">
        <v>539182</v>
      </c>
    </row>
    <row r="8" spans="1:40" x14ac:dyDescent="0.2">
      <c r="A8" s="1">
        <v>2023</v>
      </c>
      <c r="B8" s="2" t="s">
        <v>26</v>
      </c>
      <c r="C8" s="2" t="s">
        <v>26</v>
      </c>
      <c r="D8" s="1" t="s">
        <v>386</v>
      </c>
      <c r="E8" s="3">
        <v>3149351</v>
      </c>
      <c r="F8" s="3">
        <v>431</v>
      </c>
      <c r="G8" s="3">
        <v>12323</v>
      </c>
      <c r="H8" s="1">
        <v>0</v>
      </c>
      <c r="I8" s="3">
        <v>3148920</v>
      </c>
      <c r="J8" s="3">
        <v>3136597</v>
      </c>
      <c r="K8" s="3">
        <v>3136597</v>
      </c>
      <c r="L8" s="3">
        <v>95938</v>
      </c>
      <c r="M8" s="3">
        <v>333557</v>
      </c>
      <c r="N8" s="3">
        <v>32897</v>
      </c>
      <c r="O8" s="3">
        <v>38438</v>
      </c>
      <c r="P8" s="3">
        <v>185627</v>
      </c>
      <c r="Q8" s="3">
        <v>2462463</v>
      </c>
      <c r="R8" s="3">
        <v>2450140</v>
      </c>
      <c r="S8" s="3">
        <v>2450140</v>
      </c>
      <c r="T8" s="3">
        <v>314892</v>
      </c>
      <c r="U8" s="3">
        <v>314892</v>
      </c>
      <c r="V8" s="3">
        <v>314892</v>
      </c>
      <c r="W8" s="3">
        <v>314892</v>
      </c>
      <c r="X8" s="3">
        <v>312838</v>
      </c>
      <c r="Y8" s="3">
        <v>312838</v>
      </c>
      <c r="Z8" s="4">
        <v>312838</v>
      </c>
      <c r="AA8" s="4">
        <v>312838</v>
      </c>
      <c r="AB8" s="4">
        <v>312838</v>
      </c>
      <c r="AC8" s="4">
        <v>312839</v>
      </c>
      <c r="AD8" s="4">
        <v>314892</v>
      </c>
      <c r="AE8" s="4">
        <v>629784</v>
      </c>
      <c r="AF8" s="4">
        <v>944676</v>
      </c>
      <c r="AG8" s="4">
        <v>1259568</v>
      </c>
      <c r="AH8" s="4">
        <v>1572406</v>
      </c>
      <c r="AI8" s="4">
        <v>1885244</v>
      </c>
      <c r="AJ8" s="4">
        <v>2198082</v>
      </c>
      <c r="AK8" s="4">
        <v>2510920</v>
      </c>
      <c r="AL8" s="4">
        <v>2823758</v>
      </c>
      <c r="AM8" s="4">
        <v>3136597</v>
      </c>
      <c r="AN8" s="150">
        <v>235430</v>
      </c>
    </row>
    <row r="9" spans="1:40" x14ac:dyDescent="0.2">
      <c r="A9" s="1">
        <v>2023</v>
      </c>
      <c r="B9" s="2" t="s">
        <v>27</v>
      </c>
      <c r="C9" s="2" t="s">
        <v>27</v>
      </c>
      <c r="D9" s="1" t="s">
        <v>387</v>
      </c>
      <c r="E9" s="3">
        <v>1668198</v>
      </c>
      <c r="F9" s="1">
        <v>265</v>
      </c>
      <c r="G9" s="3">
        <v>6670</v>
      </c>
      <c r="H9" s="1">
        <v>0</v>
      </c>
      <c r="I9" s="3">
        <v>1667933</v>
      </c>
      <c r="J9" s="3">
        <v>1661263</v>
      </c>
      <c r="K9" s="3">
        <v>1661263</v>
      </c>
      <c r="L9" s="3">
        <v>59039</v>
      </c>
      <c r="M9" s="3">
        <v>190781</v>
      </c>
      <c r="N9" s="3">
        <v>23649</v>
      </c>
      <c r="O9" s="3">
        <v>18406</v>
      </c>
      <c r="P9" s="3">
        <v>100470</v>
      </c>
      <c r="Q9" s="3">
        <v>1275588</v>
      </c>
      <c r="R9" s="3">
        <v>1268918</v>
      </c>
      <c r="S9" s="3">
        <v>1268918</v>
      </c>
      <c r="T9" s="3">
        <v>166793</v>
      </c>
      <c r="U9" s="3">
        <v>166793</v>
      </c>
      <c r="V9" s="3">
        <v>166793</v>
      </c>
      <c r="W9" s="3">
        <v>166793</v>
      </c>
      <c r="X9" s="3">
        <v>165682</v>
      </c>
      <c r="Y9" s="3">
        <v>165682</v>
      </c>
      <c r="Z9" s="4">
        <v>165682</v>
      </c>
      <c r="AA9" s="4">
        <v>165682</v>
      </c>
      <c r="AB9" s="4">
        <v>165682</v>
      </c>
      <c r="AC9" s="4">
        <v>165681</v>
      </c>
      <c r="AD9" s="4">
        <v>166793</v>
      </c>
      <c r="AE9" s="4">
        <v>333586</v>
      </c>
      <c r="AF9" s="4">
        <v>500379</v>
      </c>
      <c r="AG9" s="4">
        <v>667172</v>
      </c>
      <c r="AH9" s="4">
        <v>832854</v>
      </c>
      <c r="AI9" s="4">
        <v>998536</v>
      </c>
      <c r="AJ9" s="4">
        <v>1164218</v>
      </c>
      <c r="AK9" s="4">
        <v>1329900</v>
      </c>
      <c r="AL9" s="4">
        <v>1495582</v>
      </c>
      <c r="AM9" s="4">
        <v>1661263</v>
      </c>
      <c r="AN9" s="150">
        <v>133604</v>
      </c>
    </row>
    <row r="10" spans="1:40" x14ac:dyDescent="0.2">
      <c r="A10" s="1">
        <v>2023</v>
      </c>
      <c r="B10" s="2" t="s">
        <v>28</v>
      </c>
      <c r="C10" s="2" t="s">
        <v>28</v>
      </c>
      <c r="D10" s="1" t="s">
        <v>388</v>
      </c>
      <c r="E10" s="3">
        <v>7972883</v>
      </c>
      <c r="F10" s="3">
        <v>1891</v>
      </c>
      <c r="G10" s="3">
        <v>30868</v>
      </c>
      <c r="H10" s="1">
        <v>0</v>
      </c>
      <c r="I10" s="3">
        <v>7970992</v>
      </c>
      <c r="J10" s="3">
        <v>7940124</v>
      </c>
      <c r="K10" s="3">
        <v>7940124</v>
      </c>
      <c r="L10" s="3">
        <v>420650</v>
      </c>
      <c r="M10" s="3">
        <v>836618</v>
      </c>
      <c r="N10" s="3">
        <v>89717</v>
      </c>
      <c r="O10" s="3">
        <v>100633</v>
      </c>
      <c r="P10" s="3">
        <v>464961</v>
      </c>
      <c r="Q10" s="3">
        <v>6058413</v>
      </c>
      <c r="R10" s="3">
        <v>6027545</v>
      </c>
      <c r="S10" s="3">
        <v>6027545</v>
      </c>
      <c r="T10" s="3">
        <v>797099</v>
      </c>
      <c r="U10" s="3">
        <v>797099</v>
      </c>
      <c r="V10" s="3">
        <v>797099</v>
      </c>
      <c r="W10" s="3">
        <v>797099</v>
      </c>
      <c r="X10" s="3">
        <v>791955</v>
      </c>
      <c r="Y10" s="3">
        <v>791955</v>
      </c>
      <c r="Z10" s="4">
        <v>791955</v>
      </c>
      <c r="AA10" s="4">
        <v>791955</v>
      </c>
      <c r="AB10" s="4">
        <v>791955</v>
      </c>
      <c r="AC10" s="4">
        <v>791953</v>
      </c>
      <c r="AD10" s="4">
        <v>797099</v>
      </c>
      <c r="AE10" s="4">
        <v>1594198</v>
      </c>
      <c r="AF10" s="4">
        <v>2391297</v>
      </c>
      <c r="AG10" s="4">
        <v>3188396</v>
      </c>
      <c r="AH10" s="4">
        <v>3980351</v>
      </c>
      <c r="AI10" s="4">
        <v>4772306</v>
      </c>
      <c r="AJ10" s="4">
        <v>5564261</v>
      </c>
      <c r="AK10" s="4">
        <v>6356216</v>
      </c>
      <c r="AL10" s="4">
        <v>7148171</v>
      </c>
      <c r="AM10" s="4">
        <v>7940124</v>
      </c>
      <c r="AN10" s="150">
        <v>670933</v>
      </c>
    </row>
    <row r="11" spans="1:40" x14ac:dyDescent="0.2">
      <c r="A11" s="1">
        <v>2023</v>
      </c>
      <c r="B11" s="2" t="s">
        <v>29</v>
      </c>
      <c r="C11" s="2" t="s">
        <v>29</v>
      </c>
      <c r="D11" s="1" t="s">
        <v>389</v>
      </c>
      <c r="E11" s="3">
        <v>6482147</v>
      </c>
      <c r="F11" s="3">
        <v>1078</v>
      </c>
      <c r="G11" s="3">
        <v>24910</v>
      </c>
      <c r="H11" s="1">
        <v>0</v>
      </c>
      <c r="I11" s="3">
        <v>6481069</v>
      </c>
      <c r="J11" s="3">
        <v>6456159</v>
      </c>
      <c r="K11" s="3">
        <v>6456159</v>
      </c>
      <c r="L11" s="3">
        <v>239845</v>
      </c>
      <c r="M11" s="3">
        <v>657252</v>
      </c>
      <c r="N11" s="3">
        <v>76828</v>
      </c>
      <c r="O11" s="3">
        <v>69980</v>
      </c>
      <c r="P11" s="3">
        <v>375225</v>
      </c>
      <c r="Q11" s="3">
        <v>5061939</v>
      </c>
      <c r="R11" s="3">
        <v>5037029</v>
      </c>
      <c r="S11" s="3">
        <v>5037029</v>
      </c>
      <c r="T11" s="3">
        <v>648107</v>
      </c>
      <c r="U11" s="3">
        <v>648107</v>
      </c>
      <c r="V11" s="3">
        <v>648107</v>
      </c>
      <c r="W11" s="3">
        <v>648107</v>
      </c>
      <c r="X11" s="3">
        <v>643955</v>
      </c>
      <c r="Y11" s="3">
        <v>643955</v>
      </c>
      <c r="Z11" s="4">
        <v>643955</v>
      </c>
      <c r="AA11" s="4">
        <v>643955</v>
      </c>
      <c r="AB11" s="4">
        <v>643955</v>
      </c>
      <c r="AC11" s="4">
        <v>643956</v>
      </c>
      <c r="AD11" s="4">
        <v>648107</v>
      </c>
      <c r="AE11" s="4">
        <v>1296214</v>
      </c>
      <c r="AF11" s="4">
        <v>1944321</v>
      </c>
      <c r="AG11" s="4">
        <v>2592428</v>
      </c>
      <c r="AH11" s="4">
        <v>3236383</v>
      </c>
      <c r="AI11" s="4">
        <v>3880338</v>
      </c>
      <c r="AJ11" s="4">
        <v>4524293</v>
      </c>
      <c r="AK11" s="4">
        <v>5168248</v>
      </c>
      <c r="AL11" s="4">
        <v>5812203</v>
      </c>
      <c r="AM11" s="4">
        <v>6456159</v>
      </c>
      <c r="AN11" s="150">
        <v>527201</v>
      </c>
    </row>
    <row r="12" spans="1:40" x14ac:dyDescent="0.2">
      <c r="A12" s="1">
        <v>2023</v>
      </c>
      <c r="B12" s="2" t="s">
        <v>30</v>
      </c>
      <c r="C12" s="2" t="s">
        <v>30</v>
      </c>
      <c r="D12" s="1" t="s">
        <v>390</v>
      </c>
      <c r="E12" s="3">
        <v>3562891</v>
      </c>
      <c r="F12" s="3">
        <v>381</v>
      </c>
      <c r="G12" s="3">
        <v>13506</v>
      </c>
      <c r="H12" s="1">
        <v>0</v>
      </c>
      <c r="I12" s="3">
        <v>3562510</v>
      </c>
      <c r="J12" s="3">
        <v>3549004</v>
      </c>
      <c r="K12" s="3">
        <v>3549004</v>
      </c>
      <c r="L12" s="3">
        <v>84869</v>
      </c>
      <c r="M12" s="3">
        <v>407783</v>
      </c>
      <c r="N12" s="3">
        <v>39285</v>
      </c>
      <c r="O12" s="3">
        <v>45681</v>
      </c>
      <c r="P12" s="3">
        <v>203445</v>
      </c>
      <c r="Q12" s="3">
        <v>2781447</v>
      </c>
      <c r="R12" s="3">
        <v>2767941</v>
      </c>
      <c r="S12" s="3">
        <v>2767941</v>
      </c>
      <c r="T12" s="3">
        <v>356251</v>
      </c>
      <c r="U12" s="3">
        <v>356251</v>
      </c>
      <c r="V12" s="3">
        <v>356251</v>
      </c>
      <c r="W12" s="3">
        <v>356251</v>
      </c>
      <c r="X12" s="3">
        <v>354000</v>
      </c>
      <c r="Y12" s="3">
        <v>354000</v>
      </c>
      <c r="Z12" s="4">
        <v>354000</v>
      </c>
      <c r="AA12" s="4">
        <v>354000</v>
      </c>
      <c r="AB12" s="4">
        <v>354000</v>
      </c>
      <c r="AC12" s="4">
        <v>354000</v>
      </c>
      <c r="AD12" s="4">
        <v>356251</v>
      </c>
      <c r="AE12" s="4">
        <v>712502</v>
      </c>
      <c r="AF12" s="4">
        <v>1068753</v>
      </c>
      <c r="AG12" s="4">
        <v>1425004</v>
      </c>
      <c r="AH12" s="4">
        <v>1779004</v>
      </c>
      <c r="AI12" s="4">
        <v>2133004</v>
      </c>
      <c r="AJ12" s="4">
        <v>2487004</v>
      </c>
      <c r="AK12" s="4">
        <v>2841004</v>
      </c>
      <c r="AL12" s="4">
        <v>3195004</v>
      </c>
      <c r="AM12" s="4">
        <v>3549004</v>
      </c>
      <c r="AN12" s="150">
        <v>275978</v>
      </c>
    </row>
    <row r="13" spans="1:40" x14ac:dyDescent="0.2">
      <c r="A13" s="1">
        <v>2023</v>
      </c>
      <c r="B13" s="2" t="s">
        <v>31</v>
      </c>
      <c r="C13" s="2" t="s">
        <v>31</v>
      </c>
      <c r="D13" s="1" t="s">
        <v>800</v>
      </c>
      <c r="E13" s="3">
        <v>4865278</v>
      </c>
      <c r="F13" s="3">
        <v>929</v>
      </c>
      <c r="G13" s="3">
        <v>20335</v>
      </c>
      <c r="H13" s="1">
        <v>0</v>
      </c>
      <c r="I13" s="3">
        <v>4864349</v>
      </c>
      <c r="J13" s="3">
        <v>4844014</v>
      </c>
      <c r="K13" s="3">
        <v>4844014</v>
      </c>
      <c r="L13" s="3">
        <v>203021</v>
      </c>
      <c r="M13" s="3">
        <v>594133</v>
      </c>
      <c r="N13" s="3">
        <v>72340</v>
      </c>
      <c r="O13" s="3">
        <v>67837</v>
      </c>
      <c r="P13" s="3">
        <v>306313</v>
      </c>
      <c r="Q13" s="3">
        <v>3620705</v>
      </c>
      <c r="R13" s="3">
        <v>3600370</v>
      </c>
      <c r="S13" s="3">
        <v>3600370</v>
      </c>
      <c r="T13" s="3">
        <v>486435</v>
      </c>
      <c r="U13" s="3">
        <v>486435</v>
      </c>
      <c r="V13" s="3">
        <v>486435</v>
      </c>
      <c r="W13" s="3">
        <v>486435</v>
      </c>
      <c r="X13" s="3">
        <v>483046</v>
      </c>
      <c r="Y13" s="3">
        <v>483046</v>
      </c>
      <c r="Z13" s="4">
        <v>483046</v>
      </c>
      <c r="AA13" s="4">
        <v>483046</v>
      </c>
      <c r="AB13" s="4">
        <v>483046</v>
      </c>
      <c r="AC13" s="4">
        <v>483044</v>
      </c>
      <c r="AD13" s="4">
        <v>486435</v>
      </c>
      <c r="AE13" s="4">
        <v>972870</v>
      </c>
      <c r="AF13" s="4">
        <v>1459305</v>
      </c>
      <c r="AG13" s="4">
        <v>1945740</v>
      </c>
      <c r="AH13" s="4">
        <v>2428786</v>
      </c>
      <c r="AI13" s="4">
        <v>2911832</v>
      </c>
      <c r="AJ13" s="4">
        <v>3394878</v>
      </c>
      <c r="AK13" s="4">
        <v>3877924</v>
      </c>
      <c r="AL13" s="4">
        <v>4360970</v>
      </c>
      <c r="AM13" s="4">
        <v>4844014</v>
      </c>
      <c r="AN13" s="150">
        <v>411705</v>
      </c>
    </row>
    <row r="14" spans="1:40" x14ac:dyDescent="0.2">
      <c r="A14" s="1">
        <v>2023</v>
      </c>
      <c r="B14" s="2" t="s">
        <v>32</v>
      </c>
      <c r="C14" s="2" t="s">
        <v>32</v>
      </c>
      <c r="D14" s="1" t="s">
        <v>391</v>
      </c>
      <c r="E14" s="3">
        <v>23132705</v>
      </c>
      <c r="F14" s="3">
        <v>4743</v>
      </c>
      <c r="G14" s="3">
        <v>106520</v>
      </c>
      <c r="H14" s="1">
        <v>0</v>
      </c>
      <c r="I14" s="3">
        <v>23127962</v>
      </c>
      <c r="J14" s="3">
        <v>23021442</v>
      </c>
      <c r="K14" s="3">
        <v>23021442</v>
      </c>
      <c r="L14" s="3">
        <v>1055316</v>
      </c>
      <c r="M14" s="3">
        <v>2850016</v>
      </c>
      <c r="N14" s="3">
        <v>319872</v>
      </c>
      <c r="O14" s="3">
        <v>347406</v>
      </c>
      <c r="P14" s="3">
        <v>1604518</v>
      </c>
      <c r="Q14" s="3">
        <v>16950834</v>
      </c>
      <c r="R14" s="3">
        <v>16844314</v>
      </c>
      <c r="S14" s="3">
        <v>16844314</v>
      </c>
      <c r="T14" s="3">
        <v>2312796</v>
      </c>
      <c r="U14" s="3">
        <v>2312796</v>
      </c>
      <c r="V14" s="3">
        <v>2312796</v>
      </c>
      <c r="W14" s="3">
        <v>2312796</v>
      </c>
      <c r="X14" s="3">
        <v>2295043</v>
      </c>
      <c r="Y14" s="3">
        <v>2295043</v>
      </c>
      <c r="Z14" s="4">
        <v>2295043</v>
      </c>
      <c r="AA14" s="4">
        <v>2295043</v>
      </c>
      <c r="AB14" s="4">
        <v>2295043</v>
      </c>
      <c r="AC14" s="4">
        <v>2295043</v>
      </c>
      <c r="AD14" s="4">
        <v>2312796</v>
      </c>
      <c r="AE14" s="4">
        <v>4625592</v>
      </c>
      <c r="AF14" s="4">
        <v>6938388</v>
      </c>
      <c r="AG14" s="4">
        <v>9251184</v>
      </c>
      <c r="AH14" s="4">
        <v>11546227</v>
      </c>
      <c r="AI14" s="4">
        <v>13841270</v>
      </c>
      <c r="AJ14" s="4">
        <v>16136313</v>
      </c>
      <c r="AK14" s="4">
        <v>18431356</v>
      </c>
      <c r="AL14" s="4">
        <v>20726399</v>
      </c>
      <c r="AM14" s="4">
        <v>23021442</v>
      </c>
      <c r="AN14" s="150">
        <v>2106835</v>
      </c>
    </row>
    <row r="15" spans="1:40" x14ac:dyDescent="0.2">
      <c r="A15" s="1">
        <v>2023</v>
      </c>
      <c r="B15" s="2" t="s">
        <v>33</v>
      </c>
      <c r="C15" s="2" t="s">
        <v>33</v>
      </c>
      <c r="D15" s="1" t="s">
        <v>392</v>
      </c>
      <c r="E15" s="3">
        <v>8729602</v>
      </c>
      <c r="F15" s="3">
        <v>1095</v>
      </c>
      <c r="G15" s="3">
        <v>30129</v>
      </c>
      <c r="H15" s="1">
        <v>0</v>
      </c>
      <c r="I15" s="3">
        <v>8728507</v>
      </c>
      <c r="J15" s="3">
        <v>8698378</v>
      </c>
      <c r="K15" s="3">
        <v>8698378</v>
      </c>
      <c r="L15" s="3">
        <v>243534</v>
      </c>
      <c r="M15" s="3">
        <v>841888</v>
      </c>
      <c r="N15" s="3">
        <v>89486</v>
      </c>
      <c r="O15" s="3">
        <v>99722</v>
      </c>
      <c r="P15" s="3">
        <v>453834</v>
      </c>
      <c r="Q15" s="3">
        <v>7000043</v>
      </c>
      <c r="R15" s="3">
        <v>6969914</v>
      </c>
      <c r="S15" s="3">
        <v>6969914</v>
      </c>
      <c r="T15" s="3">
        <v>872851</v>
      </c>
      <c r="U15" s="3">
        <v>872851</v>
      </c>
      <c r="V15" s="3">
        <v>872851</v>
      </c>
      <c r="W15" s="3">
        <v>872851</v>
      </c>
      <c r="X15" s="3">
        <v>867829</v>
      </c>
      <c r="Y15" s="3">
        <v>867829</v>
      </c>
      <c r="Z15" s="4">
        <v>867829</v>
      </c>
      <c r="AA15" s="4">
        <v>867829</v>
      </c>
      <c r="AB15" s="4">
        <v>867829</v>
      </c>
      <c r="AC15" s="4">
        <v>867829</v>
      </c>
      <c r="AD15" s="4">
        <v>872851</v>
      </c>
      <c r="AE15" s="4">
        <v>1745702</v>
      </c>
      <c r="AF15" s="4">
        <v>2618553</v>
      </c>
      <c r="AG15" s="4">
        <v>3491404</v>
      </c>
      <c r="AH15" s="4">
        <v>4359233</v>
      </c>
      <c r="AI15" s="4">
        <v>5227062</v>
      </c>
      <c r="AJ15" s="4">
        <v>6094891</v>
      </c>
      <c r="AK15" s="4">
        <v>6962720</v>
      </c>
      <c r="AL15" s="4">
        <v>7830549</v>
      </c>
      <c r="AM15" s="4">
        <v>8698378</v>
      </c>
      <c r="AN15" s="150">
        <v>605907</v>
      </c>
    </row>
    <row r="16" spans="1:40" x14ac:dyDescent="0.2">
      <c r="A16" s="1">
        <v>2023</v>
      </c>
      <c r="B16" s="2" t="s">
        <v>34</v>
      </c>
      <c r="C16" s="2" t="s">
        <v>34</v>
      </c>
      <c r="D16" s="1" t="s">
        <v>393</v>
      </c>
      <c r="E16" s="3">
        <v>1504343</v>
      </c>
      <c r="F16" s="1">
        <v>216</v>
      </c>
      <c r="G16" s="3">
        <v>5297</v>
      </c>
      <c r="H16" s="1">
        <v>0</v>
      </c>
      <c r="I16" s="3">
        <v>1504127</v>
      </c>
      <c r="J16" s="3">
        <v>1498830</v>
      </c>
      <c r="K16" s="3">
        <v>1498830</v>
      </c>
      <c r="L16" s="3">
        <v>47969</v>
      </c>
      <c r="M16" s="3">
        <v>151644</v>
      </c>
      <c r="N16" s="3">
        <v>19104</v>
      </c>
      <c r="O16" s="3">
        <v>16745</v>
      </c>
      <c r="P16" s="3">
        <v>79789</v>
      </c>
      <c r="Q16" s="3">
        <v>1188876</v>
      </c>
      <c r="R16" s="3">
        <v>1183579</v>
      </c>
      <c r="S16" s="3">
        <v>1183579</v>
      </c>
      <c r="T16" s="3">
        <v>150413</v>
      </c>
      <c r="U16" s="3">
        <v>150413</v>
      </c>
      <c r="V16" s="3">
        <v>150413</v>
      </c>
      <c r="W16" s="3">
        <v>150413</v>
      </c>
      <c r="X16" s="3">
        <v>149530</v>
      </c>
      <c r="Y16" s="3">
        <v>149530</v>
      </c>
      <c r="Z16" s="4">
        <v>149530</v>
      </c>
      <c r="AA16" s="4">
        <v>149530</v>
      </c>
      <c r="AB16" s="4">
        <v>149530</v>
      </c>
      <c r="AC16" s="4">
        <v>149528</v>
      </c>
      <c r="AD16" s="4">
        <v>150413</v>
      </c>
      <c r="AE16" s="4">
        <v>300826</v>
      </c>
      <c r="AF16" s="4">
        <v>451239</v>
      </c>
      <c r="AG16" s="4">
        <v>601652</v>
      </c>
      <c r="AH16" s="4">
        <v>751182</v>
      </c>
      <c r="AI16" s="4">
        <v>900712</v>
      </c>
      <c r="AJ16" s="4">
        <v>1050242</v>
      </c>
      <c r="AK16" s="4">
        <v>1199772</v>
      </c>
      <c r="AL16" s="4">
        <v>1349302</v>
      </c>
      <c r="AM16" s="4">
        <v>1498830</v>
      </c>
      <c r="AN16" s="150">
        <v>115145</v>
      </c>
    </row>
    <row r="17" spans="1:40" x14ac:dyDescent="0.2">
      <c r="A17" s="1">
        <v>2023</v>
      </c>
      <c r="B17" s="2" t="s">
        <v>35</v>
      </c>
      <c r="C17" s="2" t="s">
        <v>35</v>
      </c>
      <c r="D17" s="1" t="s">
        <v>394</v>
      </c>
      <c r="E17" s="3">
        <v>81670936</v>
      </c>
      <c r="F17" s="3">
        <v>4660</v>
      </c>
      <c r="G17" s="3">
        <v>297209</v>
      </c>
      <c r="H17" s="1">
        <v>0</v>
      </c>
      <c r="I17" s="3">
        <v>81666276</v>
      </c>
      <c r="J17" s="3">
        <v>81369067</v>
      </c>
      <c r="K17" s="3">
        <v>81369067</v>
      </c>
      <c r="L17" s="3">
        <v>1036867</v>
      </c>
      <c r="M17" s="3">
        <v>7310503</v>
      </c>
      <c r="N17" s="3">
        <v>849704</v>
      </c>
      <c r="O17" s="3">
        <v>807412</v>
      </c>
      <c r="P17" s="3">
        <v>4476865</v>
      </c>
      <c r="Q17" s="3">
        <v>67184925</v>
      </c>
      <c r="R17" s="3">
        <v>66887716</v>
      </c>
      <c r="S17" s="3">
        <v>66887716</v>
      </c>
      <c r="T17" s="3">
        <v>8166628</v>
      </c>
      <c r="U17" s="3">
        <v>8166628</v>
      </c>
      <c r="V17" s="3">
        <v>8166628</v>
      </c>
      <c r="W17" s="3">
        <v>8166628</v>
      </c>
      <c r="X17" s="3">
        <v>8117093</v>
      </c>
      <c r="Y17" s="3">
        <v>8117093</v>
      </c>
      <c r="Z17" s="4">
        <v>8117092</v>
      </c>
      <c r="AA17" s="4">
        <v>8117092</v>
      </c>
      <c r="AB17" s="4">
        <v>8117092</v>
      </c>
      <c r="AC17" s="4">
        <v>8117093</v>
      </c>
      <c r="AD17" s="4">
        <v>8166628</v>
      </c>
      <c r="AE17" s="4">
        <v>16333256</v>
      </c>
      <c r="AF17" s="4">
        <v>24499884</v>
      </c>
      <c r="AG17" s="4">
        <v>32666512</v>
      </c>
      <c r="AH17" s="4">
        <v>40783605</v>
      </c>
      <c r="AI17" s="4">
        <v>48900698</v>
      </c>
      <c r="AJ17" s="4">
        <v>57017790</v>
      </c>
      <c r="AK17" s="4">
        <v>65134882</v>
      </c>
      <c r="AL17" s="4">
        <v>73251974</v>
      </c>
      <c r="AM17" s="4">
        <v>81369067</v>
      </c>
      <c r="AN17" s="150">
        <v>6185425</v>
      </c>
    </row>
    <row r="18" spans="1:40" x14ac:dyDescent="0.2">
      <c r="A18" s="1">
        <v>2023</v>
      </c>
      <c r="B18" s="2" t="s">
        <v>36</v>
      </c>
      <c r="C18" s="2" t="s">
        <v>36</v>
      </c>
      <c r="D18" s="1" t="s">
        <v>395</v>
      </c>
      <c r="E18" s="3">
        <v>5634942</v>
      </c>
      <c r="F18" s="1">
        <v>663</v>
      </c>
      <c r="G18" s="3">
        <v>19354</v>
      </c>
      <c r="H18" s="1">
        <v>0</v>
      </c>
      <c r="I18" s="3">
        <v>5634279</v>
      </c>
      <c r="J18" s="3">
        <v>5614925</v>
      </c>
      <c r="K18" s="3">
        <v>5614925</v>
      </c>
      <c r="L18" s="3">
        <v>147597</v>
      </c>
      <c r="M18" s="3">
        <v>539512</v>
      </c>
      <c r="N18" s="3">
        <v>70350</v>
      </c>
      <c r="O18" s="3">
        <v>60254</v>
      </c>
      <c r="P18" s="3">
        <v>291535</v>
      </c>
      <c r="Q18" s="3">
        <v>4525031</v>
      </c>
      <c r="R18" s="3">
        <v>4505677</v>
      </c>
      <c r="S18" s="3">
        <v>4505677</v>
      </c>
      <c r="T18" s="3">
        <v>563428</v>
      </c>
      <c r="U18" s="3">
        <v>563428</v>
      </c>
      <c r="V18" s="3">
        <v>563428</v>
      </c>
      <c r="W18" s="3">
        <v>563428</v>
      </c>
      <c r="X18" s="3">
        <v>560202</v>
      </c>
      <c r="Y18" s="3">
        <v>560202</v>
      </c>
      <c r="Z18" s="4">
        <v>560202</v>
      </c>
      <c r="AA18" s="4">
        <v>560202</v>
      </c>
      <c r="AB18" s="4">
        <v>560202</v>
      </c>
      <c r="AC18" s="4">
        <v>560203</v>
      </c>
      <c r="AD18" s="4">
        <v>563428</v>
      </c>
      <c r="AE18" s="4">
        <v>1126856</v>
      </c>
      <c r="AF18" s="4">
        <v>1690284</v>
      </c>
      <c r="AG18" s="4">
        <v>2253712</v>
      </c>
      <c r="AH18" s="4">
        <v>2813914</v>
      </c>
      <c r="AI18" s="4">
        <v>3374116</v>
      </c>
      <c r="AJ18" s="4">
        <v>3934318</v>
      </c>
      <c r="AK18" s="4">
        <v>4494520</v>
      </c>
      <c r="AL18" s="4">
        <v>5054722</v>
      </c>
      <c r="AM18" s="4">
        <v>5614925</v>
      </c>
      <c r="AN18" s="150">
        <v>412423</v>
      </c>
    </row>
    <row r="19" spans="1:40" x14ac:dyDescent="0.2">
      <c r="A19" s="1">
        <v>2023</v>
      </c>
      <c r="B19" s="2" t="s">
        <v>37</v>
      </c>
      <c r="C19" s="2" t="s">
        <v>37</v>
      </c>
      <c r="D19" s="1" t="s">
        <v>396</v>
      </c>
      <c r="E19" s="3">
        <v>1562859</v>
      </c>
      <c r="F19" s="1">
        <v>182</v>
      </c>
      <c r="G19" s="3">
        <v>9549</v>
      </c>
      <c r="H19" s="1">
        <v>0</v>
      </c>
      <c r="I19" s="3">
        <v>1562677</v>
      </c>
      <c r="J19" s="3">
        <v>1553128</v>
      </c>
      <c r="K19" s="3">
        <v>1553128</v>
      </c>
      <c r="L19" s="3">
        <v>40590</v>
      </c>
      <c r="M19" s="3">
        <v>294771</v>
      </c>
      <c r="N19" s="3">
        <v>35778</v>
      </c>
      <c r="O19" s="3">
        <v>33181</v>
      </c>
      <c r="P19" s="3">
        <v>143836</v>
      </c>
      <c r="Q19" s="3">
        <v>1014521</v>
      </c>
      <c r="R19" s="3">
        <v>1004972</v>
      </c>
      <c r="S19" s="3">
        <v>1004972</v>
      </c>
      <c r="T19" s="3">
        <v>156268</v>
      </c>
      <c r="U19" s="3">
        <v>156268</v>
      </c>
      <c r="V19" s="3">
        <v>156268</v>
      </c>
      <c r="W19" s="3">
        <v>156268</v>
      </c>
      <c r="X19" s="3">
        <v>154676</v>
      </c>
      <c r="Y19" s="3">
        <v>154676</v>
      </c>
      <c r="Z19" s="4">
        <v>154676</v>
      </c>
      <c r="AA19" s="4">
        <v>154676</v>
      </c>
      <c r="AB19" s="4">
        <v>154676</v>
      </c>
      <c r="AC19" s="4">
        <v>154676</v>
      </c>
      <c r="AD19" s="4">
        <v>156268</v>
      </c>
      <c r="AE19" s="4">
        <v>312536</v>
      </c>
      <c r="AF19" s="4">
        <v>468804</v>
      </c>
      <c r="AG19" s="4">
        <v>625072</v>
      </c>
      <c r="AH19" s="4">
        <v>779748</v>
      </c>
      <c r="AI19" s="4">
        <v>934424</v>
      </c>
      <c r="AJ19" s="4">
        <v>1089100</v>
      </c>
      <c r="AK19" s="4">
        <v>1243776</v>
      </c>
      <c r="AL19" s="4">
        <v>1398452</v>
      </c>
      <c r="AM19" s="4">
        <v>1553128</v>
      </c>
      <c r="AN19" s="150">
        <v>208561</v>
      </c>
    </row>
    <row r="20" spans="1:40" x14ac:dyDescent="0.2">
      <c r="A20" s="1">
        <v>2023</v>
      </c>
      <c r="B20" s="2" t="s">
        <v>38</v>
      </c>
      <c r="C20" s="2" t="s">
        <v>38</v>
      </c>
      <c r="D20" s="1" t="s">
        <v>397</v>
      </c>
      <c r="E20" s="3">
        <v>1072033</v>
      </c>
      <c r="F20" s="3">
        <v>249</v>
      </c>
      <c r="G20" s="3">
        <v>6632</v>
      </c>
      <c r="H20" s="1">
        <v>0</v>
      </c>
      <c r="I20" s="3">
        <v>1071784</v>
      </c>
      <c r="J20" s="3">
        <v>1065152</v>
      </c>
      <c r="K20" s="3">
        <v>1065152</v>
      </c>
      <c r="L20" s="3">
        <v>55349</v>
      </c>
      <c r="M20" s="3">
        <v>185445</v>
      </c>
      <c r="N20" s="3">
        <v>18969</v>
      </c>
      <c r="O20" s="3">
        <v>18427</v>
      </c>
      <c r="P20" s="3">
        <v>99898</v>
      </c>
      <c r="Q20" s="3">
        <v>693696</v>
      </c>
      <c r="R20" s="3">
        <v>687064</v>
      </c>
      <c r="S20" s="3">
        <v>687064</v>
      </c>
      <c r="T20" s="3">
        <v>107178</v>
      </c>
      <c r="U20" s="3">
        <v>107178</v>
      </c>
      <c r="V20" s="3">
        <v>107178</v>
      </c>
      <c r="W20" s="3">
        <v>107178</v>
      </c>
      <c r="X20" s="3">
        <v>106073</v>
      </c>
      <c r="Y20" s="3">
        <v>106073</v>
      </c>
      <c r="Z20" s="4">
        <v>106074</v>
      </c>
      <c r="AA20" s="4">
        <v>106074</v>
      </c>
      <c r="AB20" s="4">
        <v>106074</v>
      </c>
      <c r="AC20" s="4">
        <v>106072</v>
      </c>
      <c r="AD20" s="4">
        <v>107178</v>
      </c>
      <c r="AE20" s="4">
        <v>214356</v>
      </c>
      <c r="AF20" s="4">
        <v>321534</v>
      </c>
      <c r="AG20" s="4">
        <v>428712</v>
      </c>
      <c r="AH20" s="4">
        <v>534785</v>
      </c>
      <c r="AI20" s="4">
        <v>640858</v>
      </c>
      <c r="AJ20" s="4">
        <v>746932</v>
      </c>
      <c r="AK20" s="4">
        <v>853006</v>
      </c>
      <c r="AL20" s="4">
        <v>959080</v>
      </c>
      <c r="AM20" s="4">
        <v>1065152</v>
      </c>
      <c r="AN20" s="150">
        <v>139295</v>
      </c>
    </row>
    <row r="21" spans="1:40" x14ac:dyDescent="0.2">
      <c r="A21" s="1">
        <v>2023</v>
      </c>
      <c r="B21" s="2" t="s">
        <v>39</v>
      </c>
      <c r="C21" s="2" t="s">
        <v>39</v>
      </c>
      <c r="D21" s="1" t="s">
        <v>398</v>
      </c>
      <c r="E21" s="3">
        <v>9979972</v>
      </c>
      <c r="F21" s="3">
        <v>1542</v>
      </c>
      <c r="G21" s="3">
        <v>32666</v>
      </c>
      <c r="H21" s="1">
        <v>0</v>
      </c>
      <c r="I21" s="3">
        <v>9978430</v>
      </c>
      <c r="J21" s="3">
        <v>9945764</v>
      </c>
      <c r="K21" s="3">
        <v>9945764</v>
      </c>
      <c r="L21" s="3">
        <v>343163</v>
      </c>
      <c r="M21" s="3">
        <v>895805</v>
      </c>
      <c r="N21" s="3">
        <v>117016</v>
      </c>
      <c r="O21" s="3">
        <v>104708</v>
      </c>
      <c r="P21" s="3">
        <v>492047</v>
      </c>
      <c r="Q21" s="3">
        <v>8025691</v>
      </c>
      <c r="R21" s="3">
        <v>7993025</v>
      </c>
      <c r="S21" s="3">
        <v>7993025</v>
      </c>
      <c r="T21" s="3">
        <v>997843</v>
      </c>
      <c r="U21" s="3">
        <v>997843</v>
      </c>
      <c r="V21" s="3">
        <v>997843</v>
      </c>
      <c r="W21" s="3">
        <v>997843</v>
      </c>
      <c r="X21" s="3">
        <v>992399</v>
      </c>
      <c r="Y21" s="3">
        <v>992399</v>
      </c>
      <c r="Z21" s="4">
        <v>992399</v>
      </c>
      <c r="AA21" s="4">
        <v>992399</v>
      </c>
      <c r="AB21" s="4">
        <v>992399</v>
      </c>
      <c r="AC21" s="4">
        <v>992397</v>
      </c>
      <c r="AD21" s="4">
        <v>997843</v>
      </c>
      <c r="AE21" s="4">
        <v>1995686</v>
      </c>
      <c r="AF21" s="4">
        <v>2993529</v>
      </c>
      <c r="AG21" s="4">
        <v>3991372</v>
      </c>
      <c r="AH21" s="4">
        <v>4983771</v>
      </c>
      <c r="AI21" s="4">
        <v>5976170</v>
      </c>
      <c r="AJ21" s="4">
        <v>6968569</v>
      </c>
      <c r="AK21" s="4">
        <v>7960968</v>
      </c>
      <c r="AL21" s="4">
        <v>8953367</v>
      </c>
      <c r="AM21" s="4">
        <v>9945764</v>
      </c>
      <c r="AN21" s="150">
        <v>685004</v>
      </c>
    </row>
    <row r="22" spans="1:40" x14ac:dyDescent="0.2">
      <c r="A22" s="1">
        <v>2023</v>
      </c>
      <c r="B22" s="2" t="s">
        <v>40</v>
      </c>
      <c r="C22" s="2" t="s">
        <v>40</v>
      </c>
      <c r="D22" s="1" t="s">
        <v>399</v>
      </c>
      <c r="E22" s="3">
        <v>3296725</v>
      </c>
      <c r="F22" s="3">
        <v>481</v>
      </c>
      <c r="G22" s="3">
        <v>12442</v>
      </c>
      <c r="H22" s="3">
        <v>0</v>
      </c>
      <c r="I22" s="3">
        <v>3296244</v>
      </c>
      <c r="J22" s="3">
        <v>3283802</v>
      </c>
      <c r="K22" s="3">
        <v>3283802</v>
      </c>
      <c r="L22" s="3">
        <v>107008</v>
      </c>
      <c r="M22" s="3">
        <v>346860</v>
      </c>
      <c r="N22" s="3">
        <v>36053</v>
      </c>
      <c r="O22" s="3">
        <v>39536</v>
      </c>
      <c r="P22" s="3">
        <v>187416</v>
      </c>
      <c r="Q22" s="3">
        <v>2579371</v>
      </c>
      <c r="R22" s="3">
        <v>2566929</v>
      </c>
      <c r="S22" s="3">
        <v>2566929</v>
      </c>
      <c r="T22" s="3">
        <v>329624</v>
      </c>
      <c r="U22" s="3">
        <v>329624</v>
      </c>
      <c r="V22" s="3">
        <v>329624</v>
      </c>
      <c r="W22" s="3">
        <v>329624</v>
      </c>
      <c r="X22" s="3">
        <v>327551</v>
      </c>
      <c r="Y22" s="3">
        <v>327551</v>
      </c>
      <c r="Z22" s="4">
        <v>327551</v>
      </c>
      <c r="AA22" s="4">
        <v>327551</v>
      </c>
      <c r="AB22" s="4">
        <v>327551</v>
      </c>
      <c r="AC22" s="4">
        <v>327551</v>
      </c>
      <c r="AD22" s="4">
        <v>329624</v>
      </c>
      <c r="AE22" s="4">
        <v>659248</v>
      </c>
      <c r="AF22" s="4">
        <v>988872</v>
      </c>
      <c r="AG22" s="4">
        <v>1318496</v>
      </c>
      <c r="AH22" s="4">
        <v>1646047</v>
      </c>
      <c r="AI22" s="4">
        <v>1973598</v>
      </c>
      <c r="AJ22" s="4">
        <v>2301149</v>
      </c>
      <c r="AK22" s="4">
        <v>2628700</v>
      </c>
      <c r="AL22" s="4">
        <v>2956251</v>
      </c>
      <c r="AM22" s="4">
        <v>3283802</v>
      </c>
      <c r="AN22" s="150">
        <v>243212</v>
      </c>
    </row>
    <row r="23" spans="1:40" x14ac:dyDescent="0.2">
      <c r="A23" s="1">
        <v>2023</v>
      </c>
      <c r="B23" s="2" t="s">
        <v>42</v>
      </c>
      <c r="C23" s="2" t="s">
        <v>42</v>
      </c>
      <c r="D23" s="1" t="s">
        <v>19</v>
      </c>
      <c r="E23" s="3">
        <v>3840724</v>
      </c>
      <c r="F23" s="1">
        <v>896</v>
      </c>
      <c r="G23" s="3">
        <v>18179</v>
      </c>
      <c r="H23" s="1">
        <v>0</v>
      </c>
      <c r="I23" s="3">
        <v>3839828</v>
      </c>
      <c r="J23" s="3">
        <v>3821649</v>
      </c>
      <c r="K23" s="3">
        <v>3821649</v>
      </c>
      <c r="L23" s="3">
        <v>199255</v>
      </c>
      <c r="M23" s="3">
        <v>459019</v>
      </c>
      <c r="N23" s="3">
        <v>51757</v>
      </c>
      <c r="O23" s="3">
        <v>46599</v>
      </c>
      <c r="P23" s="3">
        <v>273824</v>
      </c>
      <c r="Q23" s="3">
        <v>2809374</v>
      </c>
      <c r="R23" s="3">
        <v>2791195</v>
      </c>
      <c r="S23" s="3">
        <v>2791195</v>
      </c>
      <c r="T23" s="3">
        <v>383983</v>
      </c>
      <c r="U23" s="3">
        <v>383983</v>
      </c>
      <c r="V23" s="3">
        <v>383983</v>
      </c>
      <c r="W23" s="3">
        <v>383983</v>
      </c>
      <c r="X23" s="3">
        <v>380953</v>
      </c>
      <c r="Y23" s="3">
        <v>380953</v>
      </c>
      <c r="Z23" s="4">
        <v>380953</v>
      </c>
      <c r="AA23" s="4">
        <v>380953</v>
      </c>
      <c r="AB23" s="4">
        <v>380953</v>
      </c>
      <c r="AC23" s="4">
        <v>380952</v>
      </c>
      <c r="AD23" s="4">
        <v>383983</v>
      </c>
      <c r="AE23" s="4">
        <v>767966</v>
      </c>
      <c r="AF23" s="4">
        <v>1151949</v>
      </c>
      <c r="AG23" s="4">
        <v>1535932</v>
      </c>
      <c r="AH23" s="4">
        <v>1916885</v>
      </c>
      <c r="AI23" s="4">
        <v>2297838</v>
      </c>
      <c r="AJ23" s="4">
        <v>2678791</v>
      </c>
      <c r="AK23" s="4">
        <v>3059744</v>
      </c>
      <c r="AL23" s="4">
        <v>3440697</v>
      </c>
      <c r="AM23" s="4">
        <v>3821649</v>
      </c>
      <c r="AN23" s="150">
        <v>366837</v>
      </c>
    </row>
    <row r="24" spans="1:40" x14ac:dyDescent="0.2">
      <c r="A24" s="1">
        <v>2023</v>
      </c>
      <c r="B24" s="2" t="s">
        <v>43</v>
      </c>
      <c r="C24" s="2" t="s">
        <v>43</v>
      </c>
      <c r="D24" s="1" t="s">
        <v>400</v>
      </c>
      <c r="E24" s="3">
        <v>12569037</v>
      </c>
      <c r="F24" s="3">
        <v>2106</v>
      </c>
      <c r="G24" s="3">
        <v>40381</v>
      </c>
      <c r="H24" s="1">
        <v>0</v>
      </c>
      <c r="I24" s="3">
        <v>12566931</v>
      </c>
      <c r="J24" s="3">
        <v>12526550</v>
      </c>
      <c r="K24" s="3">
        <v>12526550</v>
      </c>
      <c r="L24" s="3">
        <v>468620</v>
      </c>
      <c r="M24" s="3">
        <v>1004955</v>
      </c>
      <c r="N24" s="3">
        <v>126242</v>
      </c>
      <c r="O24" s="3">
        <v>107814</v>
      </c>
      <c r="P24" s="3">
        <v>608260</v>
      </c>
      <c r="Q24" s="3">
        <v>10251040</v>
      </c>
      <c r="R24" s="3">
        <v>10210659</v>
      </c>
      <c r="S24" s="3">
        <v>10210659</v>
      </c>
      <c r="T24" s="3">
        <v>1256693</v>
      </c>
      <c r="U24" s="3">
        <v>1256693</v>
      </c>
      <c r="V24" s="3">
        <v>1256693</v>
      </c>
      <c r="W24" s="3">
        <v>1256693</v>
      </c>
      <c r="X24" s="3">
        <v>1249963</v>
      </c>
      <c r="Y24" s="3">
        <v>1249963</v>
      </c>
      <c r="Z24" s="4">
        <v>1249963</v>
      </c>
      <c r="AA24" s="4">
        <v>1249963</v>
      </c>
      <c r="AB24" s="4">
        <v>1249963</v>
      </c>
      <c r="AC24" s="4">
        <v>1249963</v>
      </c>
      <c r="AD24" s="4">
        <v>1256693</v>
      </c>
      <c r="AE24" s="4">
        <v>2513386</v>
      </c>
      <c r="AF24" s="4">
        <v>3770079</v>
      </c>
      <c r="AG24" s="4">
        <v>5026772</v>
      </c>
      <c r="AH24" s="4">
        <v>6276735</v>
      </c>
      <c r="AI24" s="4">
        <v>7526698</v>
      </c>
      <c r="AJ24" s="4">
        <v>8776661</v>
      </c>
      <c r="AK24" s="4">
        <v>10026624</v>
      </c>
      <c r="AL24" s="4">
        <v>11276587</v>
      </c>
      <c r="AM24" s="4">
        <v>12526550</v>
      </c>
      <c r="AN24" s="150">
        <v>802377</v>
      </c>
    </row>
    <row r="25" spans="1:40" x14ac:dyDescent="0.2">
      <c r="A25" s="1">
        <v>2023</v>
      </c>
      <c r="B25" s="2" t="s">
        <v>45</v>
      </c>
      <c r="C25" s="2" t="s">
        <v>45</v>
      </c>
      <c r="D25" s="1" t="s">
        <v>401</v>
      </c>
      <c r="E25" s="3">
        <v>2638617</v>
      </c>
      <c r="F25" s="3">
        <v>415</v>
      </c>
      <c r="G25" s="3">
        <v>8532</v>
      </c>
      <c r="H25" s="3">
        <v>0</v>
      </c>
      <c r="I25" s="3">
        <v>2638202</v>
      </c>
      <c r="J25" s="3">
        <v>2629670</v>
      </c>
      <c r="K25" s="3">
        <v>2629670</v>
      </c>
      <c r="L25" s="3">
        <v>92248</v>
      </c>
      <c r="M25" s="3">
        <v>242277</v>
      </c>
      <c r="N25" s="3">
        <v>26340</v>
      </c>
      <c r="O25" s="3">
        <v>24533</v>
      </c>
      <c r="P25" s="3">
        <v>128522</v>
      </c>
      <c r="Q25" s="3">
        <v>2124282</v>
      </c>
      <c r="R25" s="3">
        <v>2115750</v>
      </c>
      <c r="S25" s="3">
        <v>2115750</v>
      </c>
      <c r="T25" s="3">
        <v>263820</v>
      </c>
      <c r="U25" s="3">
        <v>263820</v>
      </c>
      <c r="V25" s="3">
        <v>263820</v>
      </c>
      <c r="W25" s="3">
        <v>263820</v>
      </c>
      <c r="X25" s="3">
        <v>262398</v>
      </c>
      <c r="Y25" s="3">
        <v>262398</v>
      </c>
      <c r="Z25" s="4">
        <v>262399</v>
      </c>
      <c r="AA25" s="4">
        <v>262399</v>
      </c>
      <c r="AB25" s="4">
        <v>262399</v>
      </c>
      <c r="AC25" s="4">
        <v>262397</v>
      </c>
      <c r="AD25" s="4">
        <v>263820</v>
      </c>
      <c r="AE25" s="4">
        <v>527640</v>
      </c>
      <c r="AF25" s="4">
        <v>791460</v>
      </c>
      <c r="AG25" s="4">
        <v>1055280</v>
      </c>
      <c r="AH25" s="4">
        <v>1317678</v>
      </c>
      <c r="AI25" s="4">
        <v>1580076</v>
      </c>
      <c r="AJ25" s="4">
        <v>1842475</v>
      </c>
      <c r="AK25" s="4">
        <v>2104874</v>
      </c>
      <c r="AL25" s="4">
        <v>2367273</v>
      </c>
      <c r="AM25" s="4">
        <v>2629670</v>
      </c>
      <c r="AN25" s="150">
        <v>168532</v>
      </c>
    </row>
    <row r="26" spans="1:40" x14ac:dyDescent="0.2">
      <c r="A26" s="1">
        <v>2023</v>
      </c>
      <c r="B26" s="2" t="s">
        <v>46</v>
      </c>
      <c r="C26" s="2" t="s">
        <v>46</v>
      </c>
      <c r="D26" s="1" t="s">
        <v>1</v>
      </c>
      <c r="E26" s="3">
        <v>2684626</v>
      </c>
      <c r="F26" s="1">
        <v>332</v>
      </c>
      <c r="G26" s="3">
        <v>11566</v>
      </c>
      <c r="H26" s="1">
        <v>0</v>
      </c>
      <c r="I26" s="3">
        <v>2684294</v>
      </c>
      <c r="J26" s="3">
        <v>2672728</v>
      </c>
      <c r="K26" s="3">
        <v>2672728</v>
      </c>
      <c r="L26" s="3">
        <v>73798</v>
      </c>
      <c r="M26" s="3">
        <v>313851</v>
      </c>
      <c r="N26" s="3">
        <v>33684</v>
      </c>
      <c r="O26" s="3">
        <v>34901</v>
      </c>
      <c r="P26" s="3">
        <v>174213</v>
      </c>
      <c r="Q26" s="3">
        <v>2053847</v>
      </c>
      <c r="R26" s="3">
        <v>2042281</v>
      </c>
      <c r="S26" s="3">
        <v>2042281</v>
      </c>
      <c r="T26" s="3">
        <v>268429</v>
      </c>
      <c r="U26" s="3">
        <v>268429</v>
      </c>
      <c r="V26" s="3">
        <v>268429</v>
      </c>
      <c r="W26" s="3">
        <v>268429</v>
      </c>
      <c r="X26" s="3">
        <v>266502</v>
      </c>
      <c r="Y26" s="3">
        <v>266502</v>
      </c>
      <c r="Z26" s="4">
        <v>266502</v>
      </c>
      <c r="AA26" s="4">
        <v>266502</v>
      </c>
      <c r="AB26" s="4">
        <v>266502</v>
      </c>
      <c r="AC26" s="4">
        <v>266502</v>
      </c>
      <c r="AD26" s="4">
        <v>268429</v>
      </c>
      <c r="AE26" s="4">
        <v>536858</v>
      </c>
      <c r="AF26" s="4">
        <v>805287</v>
      </c>
      <c r="AG26" s="4">
        <v>1073716</v>
      </c>
      <c r="AH26" s="4">
        <v>1340218</v>
      </c>
      <c r="AI26" s="4">
        <v>1606720</v>
      </c>
      <c r="AJ26" s="4">
        <v>1873222</v>
      </c>
      <c r="AK26" s="4">
        <v>2139724</v>
      </c>
      <c r="AL26" s="4">
        <v>2406226</v>
      </c>
      <c r="AM26" s="4">
        <v>2672728</v>
      </c>
      <c r="AN26" s="150">
        <v>242990</v>
      </c>
    </row>
    <row r="27" spans="1:40" x14ac:dyDescent="0.2">
      <c r="A27" s="1">
        <v>2023</v>
      </c>
      <c r="B27" s="2" t="s">
        <v>47</v>
      </c>
      <c r="C27" s="2" t="s">
        <v>47</v>
      </c>
      <c r="D27" s="1" t="s">
        <v>402</v>
      </c>
      <c r="E27" s="3">
        <v>3138815</v>
      </c>
      <c r="F27" s="1">
        <v>448</v>
      </c>
      <c r="G27" s="3">
        <v>11561</v>
      </c>
      <c r="H27" s="1">
        <v>0</v>
      </c>
      <c r="I27" s="3">
        <v>3138367</v>
      </c>
      <c r="J27" s="3">
        <v>3126806</v>
      </c>
      <c r="K27" s="3">
        <v>3126806</v>
      </c>
      <c r="L27" s="3">
        <v>99628</v>
      </c>
      <c r="M27" s="3">
        <v>329710</v>
      </c>
      <c r="N27" s="3">
        <v>38576</v>
      </c>
      <c r="O27" s="3">
        <v>35125</v>
      </c>
      <c r="P27" s="3">
        <v>174141</v>
      </c>
      <c r="Q27" s="3">
        <v>2461187</v>
      </c>
      <c r="R27" s="3">
        <v>2449626</v>
      </c>
      <c r="S27" s="3">
        <v>2449626</v>
      </c>
      <c r="T27" s="3">
        <v>313837</v>
      </c>
      <c r="U27" s="3">
        <v>313837</v>
      </c>
      <c r="V27" s="3">
        <v>313837</v>
      </c>
      <c r="W27" s="3">
        <v>313837</v>
      </c>
      <c r="X27" s="3">
        <v>311910</v>
      </c>
      <c r="Y27" s="3">
        <v>311910</v>
      </c>
      <c r="Z27" s="4">
        <v>311910</v>
      </c>
      <c r="AA27" s="4">
        <v>311910</v>
      </c>
      <c r="AB27" s="4">
        <v>311910</v>
      </c>
      <c r="AC27" s="4">
        <v>311908</v>
      </c>
      <c r="AD27" s="4">
        <v>313837</v>
      </c>
      <c r="AE27" s="4">
        <v>627674</v>
      </c>
      <c r="AF27" s="4">
        <v>941511</v>
      </c>
      <c r="AG27" s="4">
        <v>1255348</v>
      </c>
      <c r="AH27" s="4">
        <v>1567258</v>
      </c>
      <c r="AI27" s="4">
        <v>1879168</v>
      </c>
      <c r="AJ27" s="4">
        <v>2191078</v>
      </c>
      <c r="AK27" s="4">
        <v>2502988</v>
      </c>
      <c r="AL27" s="4">
        <v>2814898</v>
      </c>
      <c r="AM27" s="4">
        <v>3126806</v>
      </c>
      <c r="AN27" s="150">
        <v>227441</v>
      </c>
    </row>
    <row r="28" spans="1:40" x14ac:dyDescent="0.2">
      <c r="A28" s="1">
        <v>2023</v>
      </c>
      <c r="B28" s="2" t="s">
        <v>48</v>
      </c>
      <c r="C28" s="2" t="s">
        <v>48</v>
      </c>
      <c r="D28" s="1" t="s">
        <v>403</v>
      </c>
      <c r="E28" s="3">
        <v>3104143</v>
      </c>
      <c r="F28" s="1">
        <v>365</v>
      </c>
      <c r="G28" s="3">
        <v>11195</v>
      </c>
      <c r="H28" s="1">
        <v>0</v>
      </c>
      <c r="I28" s="3">
        <v>3103778</v>
      </c>
      <c r="J28" s="3">
        <v>3092583</v>
      </c>
      <c r="K28" s="3">
        <v>3092583</v>
      </c>
      <c r="L28" s="3">
        <v>81178</v>
      </c>
      <c r="M28" s="3">
        <v>295340</v>
      </c>
      <c r="N28" s="3">
        <v>30323</v>
      </c>
      <c r="O28" s="3">
        <v>29697</v>
      </c>
      <c r="P28" s="3">
        <v>168631</v>
      </c>
      <c r="Q28" s="3">
        <v>2498609</v>
      </c>
      <c r="R28" s="3">
        <v>2487414</v>
      </c>
      <c r="S28" s="3">
        <v>2487414</v>
      </c>
      <c r="T28" s="3">
        <v>310378</v>
      </c>
      <c r="U28" s="3">
        <v>310378</v>
      </c>
      <c r="V28" s="3">
        <v>310378</v>
      </c>
      <c r="W28" s="3">
        <v>310378</v>
      </c>
      <c r="X28" s="3">
        <v>308512</v>
      </c>
      <c r="Y28" s="3">
        <v>308512</v>
      </c>
      <c r="Z28" s="4">
        <v>308512</v>
      </c>
      <c r="AA28" s="4">
        <v>308512</v>
      </c>
      <c r="AB28" s="4">
        <v>308512</v>
      </c>
      <c r="AC28" s="4">
        <v>308511</v>
      </c>
      <c r="AD28" s="4">
        <v>310378</v>
      </c>
      <c r="AE28" s="4">
        <v>620756</v>
      </c>
      <c r="AF28" s="4">
        <v>931134</v>
      </c>
      <c r="AG28" s="4">
        <v>1241512</v>
      </c>
      <c r="AH28" s="4">
        <v>1550024</v>
      </c>
      <c r="AI28" s="4">
        <v>1858536</v>
      </c>
      <c r="AJ28" s="4">
        <v>2167048</v>
      </c>
      <c r="AK28" s="4">
        <v>2475560</v>
      </c>
      <c r="AL28" s="4">
        <v>2784072</v>
      </c>
      <c r="AM28" s="4">
        <v>3092583</v>
      </c>
      <c r="AN28" s="150">
        <v>216069</v>
      </c>
    </row>
    <row r="29" spans="1:40" x14ac:dyDescent="0.2">
      <c r="A29" s="1">
        <v>2023</v>
      </c>
      <c r="B29" s="2" t="s">
        <v>49</v>
      </c>
      <c r="C29" s="2" t="s">
        <v>49</v>
      </c>
      <c r="D29" s="1" t="s">
        <v>404</v>
      </c>
      <c r="E29" s="3">
        <v>3816749</v>
      </c>
      <c r="F29" s="3">
        <v>1012</v>
      </c>
      <c r="G29" s="3">
        <v>14801</v>
      </c>
      <c r="H29" s="3">
        <v>0</v>
      </c>
      <c r="I29" s="3">
        <v>3815737</v>
      </c>
      <c r="J29" s="3">
        <v>3800936</v>
      </c>
      <c r="K29" s="3">
        <v>3800936</v>
      </c>
      <c r="L29" s="3">
        <v>225085</v>
      </c>
      <c r="M29" s="3">
        <v>409501</v>
      </c>
      <c r="N29" s="3">
        <v>42315</v>
      </c>
      <c r="O29" s="3">
        <v>45231</v>
      </c>
      <c r="P29" s="3">
        <v>222945</v>
      </c>
      <c r="Q29" s="3">
        <v>2870660</v>
      </c>
      <c r="R29" s="3">
        <v>2855859</v>
      </c>
      <c r="S29" s="3">
        <v>2855859</v>
      </c>
      <c r="T29" s="3">
        <v>381574</v>
      </c>
      <c r="U29" s="3">
        <v>381574</v>
      </c>
      <c r="V29" s="3">
        <v>381574</v>
      </c>
      <c r="W29" s="3">
        <v>381574</v>
      </c>
      <c r="X29" s="3">
        <v>379107</v>
      </c>
      <c r="Y29" s="3">
        <v>379107</v>
      </c>
      <c r="Z29" s="4">
        <v>379107</v>
      </c>
      <c r="AA29" s="4">
        <v>379107</v>
      </c>
      <c r="AB29" s="4">
        <v>379107</v>
      </c>
      <c r="AC29" s="4">
        <v>379105</v>
      </c>
      <c r="AD29" s="4">
        <v>381574</v>
      </c>
      <c r="AE29" s="4">
        <v>763148</v>
      </c>
      <c r="AF29" s="4">
        <v>1144722</v>
      </c>
      <c r="AG29" s="4">
        <v>1526296</v>
      </c>
      <c r="AH29" s="4">
        <v>1905403</v>
      </c>
      <c r="AI29" s="4">
        <v>2284510</v>
      </c>
      <c r="AJ29" s="4">
        <v>2663617</v>
      </c>
      <c r="AK29" s="4">
        <v>3042724</v>
      </c>
      <c r="AL29" s="4">
        <v>3421831</v>
      </c>
      <c r="AM29" s="4">
        <v>3800936</v>
      </c>
      <c r="AN29" s="150">
        <v>309492</v>
      </c>
    </row>
    <row r="30" spans="1:40" x14ac:dyDescent="0.2">
      <c r="A30" s="1">
        <v>2023</v>
      </c>
      <c r="B30" s="2" t="s">
        <v>50</v>
      </c>
      <c r="C30" s="2" t="s">
        <v>50</v>
      </c>
      <c r="D30" s="1" t="s">
        <v>405</v>
      </c>
      <c r="E30" s="3">
        <v>4948986</v>
      </c>
      <c r="F30" s="3">
        <v>448</v>
      </c>
      <c r="G30" s="3">
        <v>17958</v>
      </c>
      <c r="H30" s="1">
        <v>0</v>
      </c>
      <c r="I30" s="3">
        <v>4948538</v>
      </c>
      <c r="J30" s="3">
        <v>4930580</v>
      </c>
      <c r="K30" s="3">
        <v>4930580</v>
      </c>
      <c r="L30" s="3">
        <v>99628</v>
      </c>
      <c r="M30" s="3">
        <v>475471</v>
      </c>
      <c r="N30" s="3">
        <v>59195</v>
      </c>
      <c r="O30" s="3">
        <v>50947</v>
      </c>
      <c r="P30" s="3">
        <v>270497</v>
      </c>
      <c r="Q30" s="3">
        <v>3992800</v>
      </c>
      <c r="R30" s="3">
        <v>3974842</v>
      </c>
      <c r="S30" s="3">
        <v>3974842</v>
      </c>
      <c r="T30" s="3">
        <v>494854</v>
      </c>
      <c r="U30" s="3">
        <v>494854</v>
      </c>
      <c r="V30" s="3">
        <v>494854</v>
      </c>
      <c r="W30" s="3">
        <v>494854</v>
      </c>
      <c r="X30" s="3">
        <v>491861</v>
      </c>
      <c r="Y30" s="3">
        <v>491861</v>
      </c>
      <c r="Z30" s="4">
        <v>491861</v>
      </c>
      <c r="AA30" s="4">
        <v>491861</v>
      </c>
      <c r="AB30" s="4">
        <v>491861</v>
      </c>
      <c r="AC30" s="4">
        <v>491859</v>
      </c>
      <c r="AD30" s="4">
        <v>494854</v>
      </c>
      <c r="AE30" s="4">
        <v>989708</v>
      </c>
      <c r="AF30" s="4">
        <v>1484562</v>
      </c>
      <c r="AG30" s="4">
        <v>1979416</v>
      </c>
      <c r="AH30" s="4">
        <v>2471277</v>
      </c>
      <c r="AI30" s="4">
        <v>2963138</v>
      </c>
      <c r="AJ30" s="4">
        <v>3454999</v>
      </c>
      <c r="AK30" s="4">
        <v>3946860</v>
      </c>
      <c r="AL30" s="4">
        <v>4438721</v>
      </c>
      <c r="AM30" s="4">
        <v>4930580</v>
      </c>
      <c r="AN30" s="150">
        <v>370643</v>
      </c>
    </row>
    <row r="31" spans="1:40" x14ac:dyDescent="0.2">
      <c r="A31" s="1">
        <v>2023</v>
      </c>
      <c r="B31" s="2" t="s">
        <v>51</v>
      </c>
      <c r="C31" s="2" t="s">
        <v>51</v>
      </c>
      <c r="D31" s="1" t="s">
        <v>406</v>
      </c>
      <c r="E31" s="3">
        <v>1062399</v>
      </c>
      <c r="F31" s="3">
        <v>116</v>
      </c>
      <c r="G31" s="3">
        <v>4397</v>
      </c>
      <c r="H31" s="3">
        <v>0</v>
      </c>
      <c r="I31" s="3">
        <v>1062283</v>
      </c>
      <c r="J31" s="3">
        <v>1057886</v>
      </c>
      <c r="K31" s="3">
        <v>1057886</v>
      </c>
      <c r="L31" s="3">
        <v>25830</v>
      </c>
      <c r="M31" s="3">
        <v>117976</v>
      </c>
      <c r="N31" s="3">
        <v>14353</v>
      </c>
      <c r="O31" s="3">
        <v>8929</v>
      </c>
      <c r="P31" s="3">
        <v>70547</v>
      </c>
      <c r="Q31" s="3">
        <v>824648</v>
      </c>
      <c r="R31" s="3">
        <v>820251</v>
      </c>
      <c r="S31" s="3">
        <v>820251</v>
      </c>
      <c r="T31" s="3">
        <v>106228</v>
      </c>
      <c r="U31" s="3">
        <v>106228</v>
      </c>
      <c r="V31" s="3">
        <v>106228</v>
      </c>
      <c r="W31" s="3">
        <v>106228</v>
      </c>
      <c r="X31" s="3">
        <v>105496</v>
      </c>
      <c r="Y31" s="3">
        <v>105496</v>
      </c>
      <c r="Z31" s="4">
        <v>105496</v>
      </c>
      <c r="AA31" s="4">
        <v>105496</v>
      </c>
      <c r="AB31" s="4">
        <v>105496</v>
      </c>
      <c r="AC31" s="4">
        <v>105494</v>
      </c>
      <c r="AD31" s="4">
        <v>106228</v>
      </c>
      <c r="AE31" s="4">
        <v>212456</v>
      </c>
      <c r="AF31" s="4">
        <v>318684</v>
      </c>
      <c r="AG31" s="4">
        <v>424912</v>
      </c>
      <c r="AH31" s="4">
        <v>530408</v>
      </c>
      <c r="AI31" s="4">
        <v>635904</v>
      </c>
      <c r="AJ31" s="4">
        <v>741400</v>
      </c>
      <c r="AK31" s="4">
        <v>846896</v>
      </c>
      <c r="AL31" s="4">
        <v>952392</v>
      </c>
      <c r="AM31" s="4">
        <v>1057886</v>
      </c>
      <c r="AN31" s="150">
        <v>91275</v>
      </c>
    </row>
    <row r="32" spans="1:40" x14ac:dyDescent="0.2">
      <c r="A32" s="1">
        <v>2023</v>
      </c>
      <c r="B32" s="2" t="s">
        <v>52</v>
      </c>
      <c r="C32" s="2" t="s">
        <v>52</v>
      </c>
      <c r="D32" s="1" t="s">
        <v>407</v>
      </c>
      <c r="E32" s="3">
        <v>9137193</v>
      </c>
      <c r="F32" s="3">
        <v>1625</v>
      </c>
      <c r="G32" s="3">
        <v>35884</v>
      </c>
      <c r="H32" s="1">
        <v>0</v>
      </c>
      <c r="I32" s="3">
        <v>9135568</v>
      </c>
      <c r="J32" s="3">
        <v>9099684</v>
      </c>
      <c r="K32" s="3">
        <v>9099684</v>
      </c>
      <c r="L32" s="3">
        <v>361612</v>
      </c>
      <c r="M32" s="3">
        <v>948342</v>
      </c>
      <c r="N32" s="3">
        <v>99298</v>
      </c>
      <c r="O32" s="3">
        <v>104586</v>
      </c>
      <c r="P32" s="3">
        <v>540528</v>
      </c>
      <c r="Q32" s="3">
        <v>7081202</v>
      </c>
      <c r="R32" s="3">
        <v>7045318</v>
      </c>
      <c r="S32" s="3">
        <v>7045318</v>
      </c>
      <c r="T32" s="3">
        <v>913557</v>
      </c>
      <c r="U32" s="3">
        <v>913557</v>
      </c>
      <c r="V32" s="3">
        <v>913557</v>
      </c>
      <c r="W32" s="3">
        <v>913557</v>
      </c>
      <c r="X32" s="3">
        <v>907576</v>
      </c>
      <c r="Y32" s="3">
        <v>907576</v>
      </c>
      <c r="Z32" s="4">
        <v>907576</v>
      </c>
      <c r="AA32" s="4">
        <v>907576</v>
      </c>
      <c r="AB32" s="4">
        <v>907576</v>
      </c>
      <c r="AC32" s="4">
        <v>907576</v>
      </c>
      <c r="AD32" s="4">
        <v>913557</v>
      </c>
      <c r="AE32" s="4">
        <v>1827114</v>
      </c>
      <c r="AF32" s="4">
        <v>2740671</v>
      </c>
      <c r="AG32" s="4">
        <v>3654228</v>
      </c>
      <c r="AH32" s="4">
        <v>4561804</v>
      </c>
      <c r="AI32" s="4">
        <v>5469380</v>
      </c>
      <c r="AJ32" s="4">
        <v>6376956</v>
      </c>
      <c r="AK32" s="4">
        <v>7284532</v>
      </c>
      <c r="AL32" s="4">
        <v>8192108</v>
      </c>
      <c r="AM32" s="4">
        <v>9099684</v>
      </c>
      <c r="AN32" s="150">
        <v>715074</v>
      </c>
    </row>
    <row r="33" spans="1:40" x14ac:dyDescent="0.2">
      <c r="A33" s="1">
        <v>2023</v>
      </c>
      <c r="B33" s="2" t="s">
        <v>53</v>
      </c>
      <c r="C33" s="2" t="s">
        <v>53</v>
      </c>
      <c r="D33" s="1" t="s">
        <v>408</v>
      </c>
      <c r="E33" s="3">
        <v>26587657</v>
      </c>
      <c r="F33" s="3">
        <v>4030</v>
      </c>
      <c r="G33" s="3">
        <v>96066</v>
      </c>
      <c r="H33" s="1">
        <v>0</v>
      </c>
      <c r="I33" s="3">
        <v>26583627</v>
      </c>
      <c r="J33" s="3">
        <v>26487561</v>
      </c>
      <c r="K33" s="3">
        <v>26487561</v>
      </c>
      <c r="L33" s="3">
        <v>896650</v>
      </c>
      <c r="M33" s="3">
        <v>2507021</v>
      </c>
      <c r="N33" s="3">
        <v>290017</v>
      </c>
      <c r="O33" s="3">
        <v>286700</v>
      </c>
      <c r="P33" s="3">
        <v>1447051</v>
      </c>
      <c r="Q33" s="3">
        <v>21156188</v>
      </c>
      <c r="R33" s="3">
        <v>21060122</v>
      </c>
      <c r="S33" s="3">
        <v>21060122</v>
      </c>
      <c r="T33" s="3">
        <v>2658363</v>
      </c>
      <c r="U33" s="3">
        <v>2658363</v>
      </c>
      <c r="V33" s="3">
        <v>2658363</v>
      </c>
      <c r="W33" s="3">
        <v>2658363</v>
      </c>
      <c r="X33" s="3">
        <v>2642352</v>
      </c>
      <c r="Y33" s="3">
        <v>2642352</v>
      </c>
      <c r="Z33" s="4">
        <v>2642351</v>
      </c>
      <c r="AA33" s="4">
        <v>2642351</v>
      </c>
      <c r="AB33" s="4">
        <v>2642351</v>
      </c>
      <c r="AC33" s="4">
        <v>2642352</v>
      </c>
      <c r="AD33" s="4">
        <v>2658363</v>
      </c>
      <c r="AE33" s="4">
        <v>5316726</v>
      </c>
      <c r="AF33" s="4">
        <v>7975089</v>
      </c>
      <c r="AG33" s="4">
        <v>10633452</v>
      </c>
      <c r="AH33" s="4">
        <v>13275804</v>
      </c>
      <c r="AI33" s="4">
        <v>15918156</v>
      </c>
      <c r="AJ33" s="4">
        <v>18560507</v>
      </c>
      <c r="AK33" s="4">
        <v>21202858</v>
      </c>
      <c r="AL33" s="4">
        <v>23845209</v>
      </c>
      <c r="AM33" s="4">
        <v>26487561</v>
      </c>
      <c r="AN33" s="150">
        <v>1963400</v>
      </c>
    </row>
    <row r="34" spans="1:40" x14ac:dyDescent="0.2">
      <c r="A34" s="1">
        <v>2023</v>
      </c>
      <c r="B34" s="2" t="s">
        <v>54</v>
      </c>
      <c r="C34" s="2" t="s">
        <v>54</v>
      </c>
      <c r="D34" s="1" t="s">
        <v>409</v>
      </c>
      <c r="E34" s="3">
        <v>4755339</v>
      </c>
      <c r="F34" s="3">
        <v>862</v>
      </c>
      <c r="G34" s="3">
        <v>20540</v>
      </c>
      <c r="H34" s="1">
        <v>0</v>
      </c>
      <c r="I34" s="3">
        <v>4754477</v>
      </c>
      <c r="J34" s="3">
        <v>4733937</v>
      </c>
      <c r="K34" s="3">
        <v>4733937</v>
      </c>
      <c r="L34" s="3">
        <v>191876</v>
      </c>
      <c r="M34" s="3">
        <v>561891</v>
      </c>
      <c r="N34" s="3">
        <v>72194</v>
      </c>
      <c r="O34" s="3">
        <v>59803</v>
      </c>
      <c r="P34" s="3">
        <v>309390</v>
      </c>
      <c r="Q34" s="3">
        <v>3559323</v>
      </c>
      <c r="R34" s="3">
        <v>3538783</v>
      </c>
      <c r="S34" s="3">
        <v>3538783</v>
      </c>
      <c r="T34" s="3">
        <v>475448</v>
      </c>
      <c r="U34" s="3">
        <v>475448</v>
      </c>
      <c r="V34" s="3">
        <v>475448</v>
      </c>
      <c r="W34" s="3">
        <v>475448</v>
      </c>
      <c r="X34" s="3">
        <v>472024</v>
      </c>
      <c r="Y34" s="3">
        <v>472024</v>
      </c>
      <c r="Z34" s="4">
        <v>472024</v>
      </c>
      <c r="AA34" s="4">
        <v>472024</v>
      </c>
      <c r="AB34" s="4">
        <v>472024</v>
      </c>
      <c r="AC34" s="4">
        <v>472025</v>
      </c>
      <c r="AD34" s="4">
        <v>475448</v>
      </c>
      <c r="AE34" s="4">
        <v>950896</v>
      </c>
      <c r="AF34" s="4">
        <v>1426344</v>
      </c>
      <c r="AG34" s="4">
        <v>1901792</v>
      </c>
      <c r="AH34" s="4">
        <v>2373816</v>
      </c>
      <c r="AI34" s="4">
        <v>2845840</v>
      </c>
      <c r="AJ34" s="4">
        <v>3317864</v>
      </c>
      <c r="AK34" s="4">
        <v>3789888</v>
      </c>
      <c r="AL34" s="4">
        <v>4261912</v>
      </c>
      <c r="AM34" s="4">
        <v>4733937</v>
      </c>
      <c r="AN34" s="150">
        <v>406013</v>
      </c>
    </row>
    <row r="35" spans="1:40" x14ac:dyDescent="0.2">
      <c r="A35" s="1">
        <v>2023</v>
      </c>
      <c r="B35" s="2" t="s">
        <v>55</v>
      </c>
      <c r="C35" s="2" t="s">
        <v>55</v>
      </c>
      <c r="D35" s="1" t="s">
        <v>410</v>
      </c>
      <c r="E35" s="3">
        <v>17520567</v>
      </c>
      <c r="F35" s="3">
        <v>1741</v>
      </c>
      <c r="G35" s="3">
        <v>57571</v>
      </c>
      <c r="H35" s="1">
        <v>0</v>
      </c>
      <c r="I35" s="3">
        <v>17518826</v>
      </c>
      <c r="J35" s="3">
        <v>17461255</v>
      </c>
      <c r="K35" s="3">
        <v>17461255</v>
      </c>
      <c r="L35" s="3">
        <v>387442</v>
      </c>
      <c r="M35" s="3">
        <v>1471574</v>
      </c>
      <c r="N35" s="3">
        <v>178748</v>
      </c>
      <c r="O35" s="3">
        <v>153663</v>
      </c>
      <c r="P35" s="3">
        <v>867200</v>
      </c>
      <c r="Q35" s="3">
        <v>14460199</v>
      </c>
      <c r="R35" s="3">
        <v>14402628</v>
      </c>
      <c r="S35" s="3">
        <v>14402628</v>
      </c>
      <c r="T35" s="3">
        <v>1751883</v>
      </c>
      <c r="U35" s="3">
        <v>1751883</v>
      </c>
      <c r="V35" s="3">
        <v>1751883</v>
      </c>
      <c r="W35" s="3">
        <v>1751883</v>
      </c>
      <c r="X35" s="3">
        <v>1742287</v>
      </c>
      <c r="Y35" s="3">
        <v>1742287</v>
      </c>
      <c r="Z35" s="4">
        <v>1742287</v>
      </c>
      <c r="AA35" s="4">
        <v>1742287</v>
      </c>
      <c r="AB35" s="4">
        <v>1742287</v>
      </c>
      <c r="AC35" s="4">
        <v>1742288</v>
      </c>
      <c r="AD35" s="4">
        <v>1751883</v>
      </c>
      <c r="AE35" s="4">
        <v>3503766</v>
      </c>
      <c r="AF35" s="4">
        <v>5255649</v>
      </c>
      <c r="AG35" s="4">
        <v>7007532</v>
      </c>
      <c r="AH35" s="4">
        <v>8749819</v>
      </c>
      <c r="AI35" s="4">
        <v>10492106</v>
      </c>
      <c r="AJ35" s="4">
        <v>12234393</v>
      </c>
      <c r="AK35" s="4">
        <v>13976680</v>
      </c>
      <c r="AL35" s="4">
        <v>15718967</v>
      </c>
      <c r="AM35" s="4">
        <v>17461255</v>
      </c>
      <c r="AN35" s="150">
        <v>1191841</v>
      </c>
    </row>
    <row r="36" spans="1:40" x14ac:dyDescent="0.2">
      <c r="A36" s="1">
        <v>2023</v>
      </c>
      <c r="B36" s="2" t="s">
        <v>56</v>
      </c>
      <c r="C36" s="2" t="s">
        <v>56</v>
      </c>
      <c r="D36" s="1" t="s">
        <v>411</v>
      </c>
      <c r="E36" s="3">
        <v>15427855</v>
      </c>
      <c r="F36" s="3">
        <v>1509</v>
      </c>
      <c r="G36" s="3">
        <v>47987</v>
      </c>
      <c r="H36" s="1">
        <v>0</v>
      </c>
      <c r="I36" s="3">
        <v>15426346</v>
      </c>
      <c r="J36" s="3">
        <v>15378359</v>
      </c>
      <c r="K36" s="3">
        <v>15378359</v>
      </c>
      <c r="L36" s="3">
        <v>335783</v>
      </c>
      <c r="M36" s="3">
        <v>1302544</v>
      </c>
      <c r="N36" s="3">
        <v>149980</v>
      </c>
      <c r="O36" s="3">
        <v>161091</v>
      </c>
      <c r="P36" s="3">
        <v>722828</v>
      </c>
      <c r="Q36" s="3">
        <v>12754120</v>
      </c>
      <c r="R36" s="3">
        <v>12706133</v>
      </c>
      <c r="S36" s="3">
        <v>12706133</v>
      </c>
      <c r="T36" s="3">
        <v>1542635</v>
      </c>
      <c r="U36" s="3">
        <v>1542635</v>
      </c>
      <c r="V36" s="3">
        <v>1542635</v>
      </c>
      <c r="W36" s="3">
        <v>1542635</v>
      </c>
      <c r="X36" s="3">
        <v>1534637</v>
      </c>
      <c r="Y36" s="3">
        <v>1534637</v>
      </c>
      <c r="Z36" s="4">
        <v>1534636</v>
      </c>
      <c r="AA36" s="4">
        <v>1534636</v>
      </c>
      <c r="AB36" s="4">
        <v>1534636</v>
      </c>
      <c r="AC36" s="4">
        <v>1534637</v>
      </c>
      <c r="AD36" s="4">
        <v>1542635</v>
      </c>
      <c r="AE36" s="4">
        <v>3085270</v>
      </c>
      <c r="AF36" s="4">
        <v>4627905</v>
      </c>
      <c r="AG36" s="4">
        <v>6170540</v>
      </c>
      <c r="AH36" s="4">
        <v>7705177</v>
      </c>
      <c r="AI36" s="4">
        <v>9239814</v>
      </c>
      <c r="AJ36" s="4">
        <v>10774450</v>
      </c>
      <c r="AK36" s="4">
        <v>12309086</v>
      </c>
      <c r="AL36" s="4">
        <v>13843722</v>
      </c>
      <c r="AM36" s="4">
        <v>15378359</v>
      </c>
      <c r="AN36" s="150">
        <v>985315</v>
      </c>
    </row>
    <row r="37" spans="1:40" x14ac:dyDescent="0.2">
      <c r="A37" s="1">
        <v>2023</v>
      </c>
      <c r="B37" s="2" t="s">
        <v>57</v>
      </c>
      <c r="C37" s="2" t="s">
        <v>57</v>
      </c>
      <c r="D37" s="1" t="s">
        <v>412</v>
      </c>
      <c r="E37" s="3">
        <v>3889445</v>
      </c>
      <c r="F37" s="3">
        <v>1045</v>
      </c>
      <c r="G37" s="3">
        <v>13592</v>
      </c>
      <c r="H37" s="1">
        <v>0</v>
      </c>
      <c r="I37" s="3">
        <v>3888400</v>
      </c>
      <c r="J37" s="3">
        <v>3874808</v>
      </c>
      <c r="K37" s="3">
        <v>3874808</v>
      </c>
      <c r="L37" s="3">
        <v>232465</v>
      </c>
      <c r="M37" s="3">
        <v>365120</v>
      </c>
      <c r="N37" s="3">
        <v>48560</v>
      </c>
      <c r="O37" s="3">
        <v>40127</v>
      </c>
      <c r="P37" s="3">
        <v>207452</v>
      </c>
      <c r="Q37" s="3">
        <v>2994676</v>
      </c>
      <c r="R37" s="3">
        <v>2981084</v>
      </c>
      <c r="S37" s="3">
        <v>2981084</v>
      </c>
      <c r="T37" s="3">
        <v>388840</v>
      </c>
      <c r="U37" s="3">
        <v>388840</v>
      </c>
      <c r="V37" s="3">
        <v>388840</v>
      </c>
      <c r="W37" s="3">
        <v>388840</v>
      </c>
      <c r="X37" s="3">
        <v>386575</v>
      </c>
      <c r="Y37" s="3">
        <v>386575</v>
      </c>
      <c r="Z37" s="4">
        <v>386575</v>
      </c>
      <c r="AA37" s="4">
        <v>386575</v>
      </c>
      <c r="AB37" s="4">
        <v>386575</v>
      </c>
      <c r="AC37" s="4">
        <v>386573</v>
      </c>
      <c r="AD37" s="4">
        <v>388840</v>
      </c>
      <c r="AE37" s="4">
        <v>777680</v>
      </c>
      <c r="AF37" s="4">
        <v>1166520</v>
      </c>
      <c r="AG37" s="4">
        <v>1555360</v>
      </c>
      <c r="AH37" s="4">
        <v>1941935</v>
      </c>
      <c r="AI37" s="4">
        <v>2328510</v>
      </c>
      <c r="AJ37" s="4">
        <v>2715085</v>
      </c>
      <c r="AK37" s="4">
        <v>3101660</v>
      </c>
      <c r="AL37" s="4">
        <v>3488235</v>
      </c>
      <c r="AM37" s="4">
        <v>3874808</v>
      </c>
      <c r="AN37" s="150">
        <v>329393</v>
      </c>
    </row>
    <row r="38" spans="1:40" x14ac:dyDescent="0.2">
      <c r="A38" s="1">
        <v>2023</v>
      </c>
      <c r="B38" s="2" t="s">
        <v>58</v>
      </c>
      <c r="C38" s="2" t="s">
        <v>58</v>
      </c>
      <c r="D38" s="1" t="s">
        <v>413</v>
      </c>
      <c r="E38" s="3">
        <v>3227000</v>
      </c>
      <c r="F38" s="3">
        <v>531</v>
      </c>
      <c r="G38" s="3">
        <v>13387</v>
      </c>
      <c r="H38" s="1">
        <v>0</v>
      </c>
      <c r="I38" s="3">
        <v>3226469</v>
      </c>
      <c r="J38" s="3">
        <v>3213082</v>
      </c>
      <c r="K38" s="3">
        <v>3213082</v>
      </c>
      <c r="L38" s="3">
        <v>118077</v>
      </c>
      <c r="M38" s="3">
        <v>361161</v>
      </c>
      <c r="N38" s="3">
        <v>41819</v>
      </c>
      <c r="O38" s="3">
        <v>37400</v>
      </c>
      <c r="P38" s="3">
        <v>201656</v>
      </c>
      <c r="Q38" s="3">
        <v>2466356</v>
      </c>
      <c r="R38" s="3">
        <v>2452969</v>
      </c>
      <c r="S38" s="3">
        <v>2452969</v>
      </c>
      <c r="T38" s="3">
        <v>322647</v>
      </c>
      <c r="U38" s="3">
        <v>322647</v>
      </c>
      <c r="V38" s="3">
        <v>322647</v>
      </c>
      <c r="W38" s="3">
        <v>322647</v>
      </c>
      <c r="X38" s="3">
        <v>320416</v>
      </c>
      <c r="Y38" s="3">
        <v>320416</v>
      </c>
      <c r="Z38" s="4">
        <v>320416</v>
      </c>
      <c r="AA38" s="4">
        <v>320416</v>
      </c>
      <c r="AB38" s="4">
        <v>320416</v>
      </c>
      <c r="AC38" s="4">
        <v>320414</v>
      </c>
      <c r="AD38" s="4">
        <v>322647</v>
      </c>
      <c r="AE38" s="4">
        <v>645294</v>
      </c>
      <c r="AF38" s="4">
        <v>967941</v>
      </c>
      <c r="AG38" s="4">
        <v>1290588</v>
      </c>
      <c r="AH38" s="4">
        <v>1611004</v>
      </c>
      <c r="AI38" s="4">
        <v>1931420</v>
      </c>
      <c r="AJ38" s="4">
        <v>2251836</v>
      </c>
      <c r="AK38" s="4">
        <v>2572252</v>
      </c>
      <c r="AL38" s="4">
        <v>2892668</v>
      </c>
      <c r="AM38" s="4">
        <v>3213082</v>
      </c>
      <c r="AN38" s="150">
        <v>264231</v>
      </c>
    </row>
    <row r="39" spans="1:40" x14ac:dyDescent="0.2">
      <c r="A39" s="1">
        <v>2023</v>
      </c>
      <c r="B39" s="2" t="s">
        <v>59</v>
      </c>
      <c r="C39" s="2" t="s">
        <v>59</v>
      </c>
      <c r="D39" s="1" t="s">
        <v>414</v>
      </c>
      <c r="E39" s="3">
        <v>3262375</v>
      </c>
      <c r="F39" s="1">
        <v>398</v>
      </c>
      <c r="G39" s="3">
        <v>12632</v>
      </c>
      <c r="H39" s="1">
        <v>0</v>
      </c>
      <c r="I39" s="3">
        <v>3261977</v>
      </c>
      <c r="J39" s="3">
        <v>3249345</v>
      </c>
      <c r="K39" s="3">
        <v>3249345</v>
      </c>
      <c r="L39" s="3">
        <v>88558</v>
      </c>
      <c r="M39" s="3">
        <v>353610</v>
      </c>
      <c r="N39" s="3">
        <v>38476</v>
      </c>
      <c r="O39" s="3">
        <v>35998</v>
      </c>
      <c r="P39" s="3">
        <v>190278</v>
      </c>
      <c r="Q39" s="3">
        <v>2555057</v>
      </c>
      <c r="R39" s="3">
        <v>2542425</v>
      </c>
      <c r="S39" s="3">
        <v>2542425</v>
      </c>
      <c r="T39" s="3">
        <v>326198</v>
      </c>
      <c r="U39" s="3">
        <v>326198</v>
      </c>
      <c r="V39" s="3">
        <v>326198</v>
      </c>
      <c r="W39" s="3">
        <v>326198</v>
      </c>
      <c r="X39" s="3">
        <v>324092</v>
      </c>
      <c r="Y39" s="3">
        <v>324092</v>
      </c>
      <c r="Z39" s="4">
        <v>324092</v>
      </c>
      <c r="AA39" s="4">
        <v>324092</v>
      </c>
      <c r="AB39" s="4">
        <v>324092</v>
      </c>
      <c r="AC39" s="4">
        <v>324093</v>
      </c>
      <c r="AD39" s="4">
        <v>326198</v>
      </c>
      <c r="AE39" s="4">
        <v>652396</v>
      </c>
      <c r="AF39" s="4">
        <v>978594</v>
      </c>
      <c r="AG39" s="4">
        <v>1304792</v>
      </c>
      <c r="AH39" s="4">
        <v>1628884</v>
      </c>
      <c r="AI39" s="4">
        <v>1952976</v>
      </c>
      <c r="AJ39" s="4">
        <v>2277068</v>
      </c>
      <c r="AK39" s="4">
        <v>2601160</v>
      </c>
      <c r="AL39" s="4">
        <v>2925252</v>
      </c>
      <c r="AM39" s="4">
        <v>3249345</v>
      </c>
      <c r="AN39" s="150">
        <v>259615</v>
      </c>
    </row>
    <row r="40" spans="1:40" x14ac:dyDescent="0.2">
      <c r="A40" s="1">
        <v>2023</v>
      </c>
      <c r="B40" s="2" t="s">
        <v>60</v>
      </c>
      <c r="C40" s="2" t="s">
        <v>60</v>
      </c>
      <c r="D40" s="1" t="s">
        <v>415</v>
      </c>
      <c r="E40" s="3">
        <v>2149645</v>
      </c>
      <c r="F40" s="1">
        <v>498</v>
      </c>
      <c r="G40" s="3">
        <v>10542</v>
      </c>
      <c r="H40" s="1">
        <v>0</v>
      </c>
      <c r="I40" s="3">
        <v>2149147</v>
      </c>
      <c r="J40" s="3">
        <v>2138605</v>
      </c>
      <c r="K40" s="3">
        <v>2138605</v>
      </c>
      <c r="L40" s="3">
        <v>110697</v>
      </c>
      <c r="M40" s="3">
        <v>298695</v>
      </c>
      <c r="N40" s="3">
        <v>31323</v>
      </c>
      <c r="O40" s="3">
        <v>32655</v>
      </c>
      <c r="P40" s="3">
        <v>158792</v>
      </c>
      <c r="Q40" s="3">
        <v>1516985</v>
      </c>
      <c r="R40" s="3">
        <v>1506443</v>
      </c>
      <c r="S40" s="3">
        <v>1506443</v>
      </c>
      <c r="T40" s="3">
        <v>214915</v>
      </c>
      <c r="U40" s="3">
        <v>214915</v>
      </c>
      <c r="V40" s="3">
        <v>214915</v>
      </c>
      <c r="W40" s="3">
        <v>214915</v>
      </c>
      <c r="X40" s="3">
        <v>213158</v>
      </c>
      <c r="Y40" s="3">
        <v>213158</v>
      </c>
      <c r="Z40" s="4">
        <v>213157</v>
      </c>
      <c r="AA40" s="4">
        <v>213157</v>
      </c>
      <c r="AB40" s="4">
        <v>213157</v>
      </c>
      <c r="AC40" s="4">
        <v>213158</v>
      </c>
      <c r="AD40" s="4">
        <v>214915</v>
      </c>
      <c r="AE40" s="4">
        <v>429830</v>
      </c>
      <c r="AF40" s="4">
        <v>644745</v>
      </c>
      <c r="AG40" s="4">
        <v>859660</v>
      </c>
      <c r="AH40" s="4">
        <v>1072818</v>
      </c>
      <c r="AI40" s="4">
        <v>1285976</v>
      </c>
      <c r="AJ40" s="4">
        <v>1499133</v>
      </c>
      <c r="AK40" s="4">
        <v>1712290</v>
      </c>
      <c r="AL40" s="4">
        <v>1925447</v>
      </c>
      <c r="AM40" s="4">
        <v>2138605</v>
      </c>
      <c r="AN40" s="150">
        <v>209603</v>
      </c>
    </row>
    <row r="41" spans="1:40" x14ac:dyDescent="0.2">
      <c r="A41" s="1">
        <v>2023</v>
      </c>
      <c r="B41" s="2" t="s">
        <v>61</v>
      </c>
      <c r="C41" s="2" t="s">
        <v>61</v>
      </c>
      <c r="D41" s="1" t="s">
        <v>416</v>
      </c>
      <c r="E41" s="3">
        <v>31760800</v>
      </c>
      <c r="F41" s="3">
        <v>2670</v>
      </c>
      <c r="G41" s="3">
        <v>93038</v>
      </c>
      <c r="H41" s="3">
        <v>0</v>
      </c>
      <c r="I41" s="3">
        <v>31758130</v>
      </c>
      <c r="J41" s="3">
        <v>31665092</v>
      </c>
      <c r="K41" s="3">
        <v>31665092</v>
      </c>
      <c r="L41" s="3">
        <v>594077</v>
      </c>
      <c r="M41" s="3">
        <v>2451094</v>
      </c>
      <c r="N41" s="3">
        <v>332889</v>
      </c>
      <c r="O41" s="3">
        <v>270181</v>
      </c>
      <c r="P41" s="3">
        <v>1401431</v>
      </c>
      <c r="Q41" s="3">
        <v>26708458</v>
      </c>
      <c r="R41" s="3">
        <v>26615420</v>
      </c>
      <c r="S41" s="3">
        <v>26615420</v>
      </c>
      <c r="T41" s="3">
        <v>3175813</v>
      </c>
      <c r="U41" s="3">
        <v>3175813</v>
      </c>
      <c r="V41" s="3">
        <v>3175813</v>
      </c>
      <c r="W41" s="3">
        <v>3175813</v>
      </c>
      <c r="X41" s="3">
        <v>3160307</v>
      </c>
      <c r="Y41" s="3">
        <v>3160307</v>
      </c>
      <c r="Z41" s="4">
        <v>3160307</v>
      </c>
      <c r="AA41" s="4">
        <v>3160307</v>
      </c>
      <c r="AB41" s="4">
        <v>3160307</v>
      </c>
      <c r="AC41" s="4">
        <v>3160305</v>
      </c>
      <c r="AD41" s="4">
        <v>3175813</v>
      </c>
      <c r="AE41" s="4">
        <v>6351626</v>
      </c>
      <c r="AF41" s="4">
        <v>9527439</v>
      </c>
      <c r="AG41" s="4">
        <v>12703252</v>
      </c>
      <c r="AH41" s="4">
        <v>15863559</v>
      </c>
      <c r="AI41" s="4">
        <v>19023866</v>
      </c>
      <c r="AJ41" s="4">
        <v>22184173</v>
      </c>
      <c r="AK41" s="4">
        <v>25344480</v>
      </c>
      <c r="AL41" s="4">
        <v>28504787</v>
      </c>
      <c r="AM41" s="4">
        <v>31665092</v>
      </c>
      <c r="AN41" s="150">
        <v>1984098</v>
      </c>
    </row>
    <row r="42" spans="1:40" x14ac:dyDescent="0.2">
      <c r="A42" s="1">
        <v>2023</v>
      </c>
      <c r="B42" s="2" t="s">
        <v>62</v>
      </c>
      <c r="C42" s="2" t="s">
        <v>62</v>
      </c>
      <c r="D42" s="1" t="s">
        <v>2</v>
      </c>
      <c r="E42" s="3">
        <v>1688376</v>
      </c>
      <c r="F42" s="3">
        <v>216</v>
      </c>
      <c r="G42" s="3">
        <v>11076</v>
      </c>
      <c r="H42" s="1">
        <v>0</v>
      </c>
      <c r="I42" s="3">
        <v>1688160</v>
      </c>
      <c r="J42" s="3">
        <v>1677084</v>
      </c>
      <c r="K42" s="3">
        <v>1677084</v>
      </c>
      <c r="L42" s="3">
        <v>47969</v>
      </c>
      <c r="M42" s="3">
        <v>330773</v>
      </c>
      <c r="N42" s="3">
        <v>34500</v>
      </c>
      <c r="O42" s="3">
        <v>33576</v>
      </c>
      <c r="P42" s="3">
        <v>172510</v>
      </c>
      <c r="Q42" s="3">
        <v>1068832</v>
      </c>
      <c r="R42" s="3">
        <v>1057756</v>
      </c>
      <c r="S42" s="3">
        <v>1057756</v>
      </c>
      <c r="T42" s="3">
        <v>168816</v>
      </c>
      <c r="U42" s="3">
        <v>168816</v>
      </c>
      <c r="V42" s="3">
        <v>168816</v>
      </c>
      <c r="W42" s="3">
        <v>168816</v>
      </c>
      <c r="X42" s="3">
        <v>166970</v>
      </c>
      <c r="Y42" s="3">
        <v>166970</v>
      </c>
      <c r="Z42" s="4">
        <v>166970</v>
      </c>
      <c r="AA42" s="4">
        <v>166970</v>
      </c>
      <c r="AB42" s="4">
        <v>166970</v>
      </c>
      <c r="AC42" s="4">
        <v>166970</v>
      </c>
      <c r="AD42" s="4">
        <v>168816</v>
      </c>
      <c r="AE42" s="4">
        <v>337632</v>
      </c>
      <c r="AF42" s="4">
        <v>506448</v>
      </c>
      <c r="AG42" s="4">
        <v>675264</v>
      </c>
      <c r="AH42" s="4">
        <v>842234</v>
      </c>
      <c r="AI42" s="4">
        <v>1009204</v>
      </c>
      <c r="AJ42" s="4">
        <v>1176174</v>
      </c>
      <c r="AK42" s="4">
        <v>1343144</v>
      </c>
      <c r="AL42" s="4">
        <v>1510114</v>
      </c>
      <c r="AM42" s="4">
        <v>1677084</v>
      </c>
      <c r="AN42" s="150">
        <v>222993</v>
      </c>
    </row>
    <row r="43" spans="1:40" x14ac:dyDescent="0.2">
      <c r="A43" s="1">
        <v>2023</v>
      </c>
      <c r="B43" s="2" t="s">
        <v>63</v>
      </c>
      <c r="C43" s="2" t="s">
        <v>63</v>
      </c>
      <c r="D43" s="1" t="s">
        <v>3</v>
      </c>
      <c r="E43" s="3">
        <v>1780598</v>
      </c>
      <c r="F43" s="3">
        <v>299</v>
      </c>
      <c r="G43" s="3">
        <v>6404</v>
      </c>
      <c r="H43" s="1">
        <v>0</v>
      </c>
      <c r="I43" s="3">
        <v>1780299</v>
      </c>
      <c r="J43" s="3">
        <v>1773895</v>
      </c>
      <c r="K43" s="3">
        <v>1773895</v>
      </c>
      <c r="L43" s="3">
        <v>66418</v>
      </c>
      <c r="M43" s="3">
        <v>191837</v>
      </c>
      <c r="N43" s="3">
        <v>21805</v>
      </c>
      <c r="O43" s="3">
        <v>21180</v>
      </c>
      <c r="P43" s="3">
        <v>96463</v>
      </c>
      <c r="Q43" s="3">
        <v>1382596</v>
      </c>
      <c r="R43" s="3">
        <v>1376192</v>
      </c>
      <c r="S43" s="3">
        <v>1376192</v>
      </c>
      <c r="T43" s="3">
        <v>178030</v>
      </c>
      <c r="U43" s="3">
        <v>178030</v>
      </c>
      <c r="V43" s="3">
        <v>178030</v>
      </c>
      <c r="W43" s="3">
        <v>178030</v>
      </c>
      <c r="X43" s="3">
        <v>176963</v>
      </c>
      <c r="Y43" s="3">
        <v>176963</v>
      </c>
      <c r="Z43" s="4">
        <v>176962</v>
      </c>
      <c r="AA43" s="4">
        <v>176962</v>
      </c>
      <c r="AB43" s="4">
        <v>176962</v>
      </c>
      <c r="AC43" s="4">
        <v>176963</v>
      </c>
      <c r="AD43" s="4">
        <v>178030</v>
      </c>
      <c r="AE43" s="4">
        <v>356060</v>
      </c>
      <c r="AF43" s="4">
        <v>534090</v>
      </c>
      <c r="AG43" s="4">
        <v>712120</v>
      </c>
      <c r="AH43" s="4">
        <v>889083</v>
      </c>
      <c r="AI43" s="4">
        <v>1066046</v>
      </c>
      <c r="AJ43" s="4">
        <v>1243008</v>
      </c>
      <c r="AK43" s="4">
        <v>1419970</v>
      </c>
      <c r="AL43" s="4">
        <v>1596932</v>
      </c>
      <c r="AM43" s="4">
        <v>1773895</v>
      </c>
      <c r="AN43" s="150">
        <v>133084</v>
      </c>
    </row>
    <row r="44" spans="1:40" x14ac:dyDescent="0.2">
      <c r="A44" s="1">
        <v>2023</v>
      </c>
      <c r="B44" s="2" t="s">
        <v>64</v>
      </c>
      <c r="C44" s="2" t="s">
        <v>64</v>
      </c>
      <c r="D44" s="1" t="s">
        <v>417</v>
      </c>
      <c r="E44" s="3">
        <v>2494398</v>
      </c>
      <c r="F44" s="3">
        <v>431</v>
      </c>
      <c r="G44" s="3">
        <v>9128</v>
      </c>
      <c r="H44" s="1">
        <v>0</v>
      </c>
      <c r="I44" s="3">
        <v>2493967</v>
      </c>
      <c r="J44" s="3">
        <v>2484839</v>
      </c>
      <c r="K44" s="3">
        <v>2484839</v>
      </c>
      <c r="L44" s="3">
        <v>95938</v>
      </c>
      <c r="M44" s="3">
        <v>267742</v>
      </c>
      <c r="N44" s="3">
        <v>30944</v>
      </c>
      <c r="O44" s="3">
        <v>29361</v>
      </c>
      <c r="P44" s="3">
        <v>137503</v>
      </c>
      <c r="Q44" s="3">
        <v>1932479</v>
      </c>
      <c r="R44" s="3">
        <v>1923351</v>
      </c>
      <c r="S44" s="3">
        <v>1923351</v>
      </c>
      <c r="T44" s="3">
        <v>249397</v>
      </c>
      <c r="U44" s="3">
        <v>249397</v>
      </c>
      <c r="V44" s="3">
        <v>249397</v>
      </c>
      <c r="W44" s="3">
        <v>249397</v>
      </c>
      <c r="X44" s="3">
        <v>247875</v>
      </c>
      <c r="Y44" s="3">
        <v>247875</v>
      </c>
      <c r="Z44" s="4">
        <v>247875</v>
      </c>
      <c r="AA44" s="4">
        <v>247875</v>
      </c>
      <c r="AB44" s="4">
        <v>247875</v>
      </c>
      <c r="AC44" s="4">
        <v>247876</v>
      </c>
      <c r="AD44" s="4">
        <v>249397</v>
      </c>
      <c r="AE44" s="4">
        <v>498794</v>
      </c>
      <c r="AF44" s="4">
        <v>748191</v>
      </c>
      <c r="AG44" s="4">
        <v>997588</v>
      </c>
      <c r="AH44" s="4">
        <v>1245463</v>
      </c>
      <c r="AI44" s="4">
        <v>1493338</v>
      </c>
      <c r="AJ44" s="4">
        <v>1741213</v>
      </c>
      <c r="AK44" s="4">
        <v>1989088</v>
      </c>
      <c r="AL44" s="4">
        <v>2236963</v>
      </c>
      <c r="AM44" s="4">
        <v>2484839</v>
      </c>
      <c r="AN44" s="150">
        <v>193338</v>
      </c>
    </row>
    <row r="45" spans="1:40" x14ac:dyDescent="0.2">
      <c r="A45" s="1">
        <v>2023</v>
      </c>
      <c r="B45" s="2" t="s">
        <v>65</v>
      </c>
      <c r="C45" s="2" t="s">
        <v>65</v>
      </c>
      <c r="D45" s="1" t="s">
        <v>418</v>
      </c>
      <c r="E45" s="3">
        <v>5473036</v>
      </c>
      <c r="F45" s="3">
        <v>796</v>
      </c>
      <c r="G45" s="3">
        <v>20074</v>
      </c>
      <c r="H45" s="1">
        <v>0</v>
      </c>
      <c r="I45" s="3">
        <v>5472240</v>
      </c>
      <c r="J45" s="3">
        <v>5452166</v>
      </c>
      <c r="K45" s="3">
        <v>5452166</v>
      </c>
      <c r="L45" s="3">
        <v>177116</v>
      </c>
      <c r="M45" s="3">
        <v>547667</v>
      </c>
      <c r="N45" s="3">
        <v>68183</v>
      </c>
      <c r="O45" s="3">
        <v>57813</v>
      </c>
      <c r="P45" s="3">
        <v>302377</v>
      </c>
      <c r="Q45" s="3">
        <v>4319084</v>
      </c>
      <c r="R45" s="3">
        <v>4299010</v>
      </c>
      <c r="S45" s="3">
        <v>4299010</v>
      </c>
      <c r="T45" s="3">
        <v>547224</v>
      </c>
      <c r="U45" s="3">
        <v>547224</v>
      </c>
      <c r="V45" s="3">
        <v>547224</v>
      </c>
      <c r="W45" s="3">
        <v>547224</v>
      </c>
      <c r="X45" s="3">
        <v>543878</v>
      </c>
      <c r="Y45" s="3">
        <v>543878</v>
      </c>
      <c r="Z45" s="4">
        <v>543879</v>
      </c>
      <c r="AA45" s="4">
        <v>543879</v>
      </c>
      <c r="AB45" s="4">
        <v>543879</v>
      </c>
      <c r="AC45" s="4">
        <v>543877</v>
      </c>
      <c r="AD45" s="4">
        <v>547224</v>
      </c>
      <c r="AE45" s="4">
        <v>1094448</v>
      </c>
      <c r="AF45" s="4">
        <v>1641672</v>
      </c>
      <c r="AG45" s="4">
        <v>2188896</v>
      </c>
      <c r="AH45" s="4">
        <v>2732774</v>
      </c>
      <c r="AI45" s="4">
        <v>3276652</v>
      </c>
      <c r="AJ45" s="4">
        <v>3820531</v>
      </c>
      <c r="AK45" s="4">
        <v>4364410</v>
      </c>
      <c r="AL45" s="4">
        <v>4908289</v>
      </c>
      <c r="AM45" s="4">
        <v>5452166</v>
      </c>
      <c r="AN45" s="150">
        <v>400799</v>
      </c>
    </row>
    <row r="46" spans="1:40" x14ac:dyDescent="0.2">
      <c r="A46" s="1">
        <v>2023</v>
      </c>
      <c r="B46" s="2" t="s">
        <v>66</v>
      </c>
      <c r="C46" s="2" t="s">
        <v>66</v>
      </c>
      <c r="D46" s="1" t="s">
        <v>419</v>
      </c>
      <c r="E46" s="3">
        <v>4638710</v>
      </c>
      <c r="F46" s="3">
        <v>1028</v>
      </c>
      <c r="G46" s="3">
        <v>13803</v>
      </c>
      <c r="H46" s="3">
        <v>0</v>
      </c>
      <c r="I46" s="3">
        <v>4637682</v>
      </c>
      <c r="J46" s="3">
        <v>4623879</v>
      </c>
      <c r="K46" s="3">
        <v>4623879</v>
      </c>
      <c r="L46" s="3">
        <v>228775</v>
      </c>
      <c r="M46" s="3">
        <v>386246</v>
      </c>
      <c r="N46" s="3">
        <v>47981</v>
      </c>
      <c r="O46" s="3">
        <v>36644</v>
      </c>
      <c r="P46" s="3">
        <v>207918</v>
      </c>
      <c r="Q46" s="3">
        <v>3730118</v>
      </c>
      <c r="R46" s="3">
        <v>3716315</v>
      </c>
      <c r="S46" s="3">
        <v>3716315</v>
      </c>
      <c r="T46" s="3">
        <v>463768</v>
      </c>
      <c r="U46" s="3">
        <v>463768</v>
      </c>
      <c r="V46" s="3">
        <v>463768</v>
      </c>
      <c r="W46" s="3">
        <v>463768</v>
      </c>
      <c r="X46" s="3">
        <v>461468</v>
      </c>
      <c r="Y46" s="3">
        <v>461468</v>
      </c>
      <c r="Z46" s="4">
        <v>461468</v>
      </c>
      <c r="AA46" s="4">
        <v>461468</v>
      </c>
      <c r="AB46" s="4">
        <v>461468</v>
      </c>
      <c r="AC46" s="4">
        <v>461467</v>
      </c>
      <c r="AD46" s="4">
        <v>463768</v>
      </c>
      <c r="AE46" s="4">
        <v>927536</v>
      </c>
      <c r="AF46" s="4">
        <v>1391304</v>
      </c>
      <c r="AG46" s="4">
        <v>1855072</v>
      </c>
      <c r="AH46" s="4">
        <v>2316540</v>
      </c>
      <c r="AI46" s="4">
        <v>2778008</v>
      </c>
      <c r="AJ46" s="4">
        <v>3239476</v>
      </c>
      <c r="AK46" s="4">
        <v>3700944</v>
      </c>
      <c r="AL46" s="4">
        <v>4162412</v>
      </c>
      <c r="AM46" s="4">
        <v>4623879</v>
      </c>
      <c r="AN46" s="150">
        <v>284866</v>
      </c>
    </row>
    <row r="47" spans="1:40" x14ac:dyDescent="0.2">
      <c r="A47" s="1">
        <v>2023</v>
      </c>
      <c r="B47" s="2" t="s">
        <v>67</v>
      </c>
      <c r="C47" s="2" t="s">
        <v>67</v>
      </c>
      <c r="D47" s="1" t="s">
        <v>420</v>
      </c>
      <c r="E47" s="3">
        <v>15550962</v>
      </c>
      <c r="F47" s="3">
        <v>1775</v>
      </c>
      <c r="G47" s="3">
        <v>46989</v>
      </c>
      <c r="H47" s="1">
        <v>0</v>
      </c>
      <c r="I47" s="3">
        <v>15549187</v>
      </c>
      <c r="J47" s="3">
        <v>15502198</v>
      </c>
      <c r="K47" s="3">
        <v>15502198</v>
      </c>
      <c r="L47" s="3">
        <v>394821</v>
      </c>
      <c r="M47" s="3">
        <v>1222923</v>
      </c>
      <c r="N47" s="3">
        <v>149235</v>
      </c>
      <c r="O47" s="3">
        <v>126130</v>
      </c>
      <c r="P47" s="3">
        <v>707800</v>
      </c>
      <c r="Q47" s="3">
        <v>12948278</v>
      </c>
      <c r="R47" s="3">
        <v>12901289</v>
      </c>
      <c r="S47" s="3">
        <v>12901289</v>
      </c>
      <c r="T47" s="3">
        <v>1554919</v>
      </c>
      <c r="U47" s="3">
        <v>1554919</v>
      </c>
      <c r="V47" s="3">
        <v>1554919</v>
      </c>
      <c r="W47" s="3">
        <v>1554919</v>
      </c>
      <c r="X47" s="3">
        <v>1547087</v>
      </c>
      <c r="Y47" s="3">
        <v>1547087</v>
      </c>
      <c r="Z47" s="4">
        <v>1547087</v>
      </c>
      <c r="AA47" s="4">
        <v>1547087</v>
      </c>
      <c r="AB47" s="4">
        <v>1547087</v>
      </c>
      <c r="AC47" s="4">
        <v>1547087</v>
      </c>
      <c r="AD47" s="4">
        <v>1554919</v>
      </c>
      <c r="AE47" s="4">
        <v>3109838</v>
      </c>
      <c r="AF47" s="4">
        <v>4664757</v>
      </c>
      <c r="AG47" s="4">
        <v>6219676</v>
      </c>
      <c r="AH47" s="4">
        <v>7766763</v>
      </c>
      <c r="AI47" s="4">
        <v>9313850</v>
      </c>
      <c r="AJ47" s="4">
        <v>10860937</v>
      </c>
      <c r="AK47" s="4">
        <v>12408024</v>
      </c>
      <c r="AL47" s="4">
        <v>13955111</v>
      </c>
      <c r="AM47" s="4">
        <v>15502198</v>
      </c>
      <c r="AN47" s="150">
        <v>944224</v>
      </c>
    </row>
    <row r="48" spans="1:40" x14ac:dyDescent="0.2">
      <c r="A48" s="1">
        <v>2023</v>
      </c>
      <c r="B48" s="2" t="s">
        <v>68</v>
      </c>
      <c r="C48" s="2" t="s">
        <v>68</v>
      </c>
      <c r="D48" s="1" t="s">
        <v>421</v>
      </c>
      <c r="E48" s="3">
        <v>9603600</v>
      </c>
      <c r="F48" s="3">
        <v>3135</v>
      </c>
      <c r="G48" s="3">
        <v>39683</v>
      </c>
      <c r="H48" s="1">
        <v>0</v>
      </c>
      <c r="I48" s="3">
        <v>9600465</v>
      </c>
      <c r="J48" s="3">
        <v>9560782</v>
      </c>
      <c r="K48" s="3">
        <v>9560782</v>
      </c>
      <c r="L48" s="3">
        <v>697394</v>
      </c>
      <c r="M48" s="3">
        <v>1031913</v>
      </c>
      <c r="N48" s="3">
        <v>120266</v>
      </c>
      <c r="O48" s="3">
        <v>118562</v>
      </c>
      <c r="P48" s="3">
        <v>597741</v>
      </c>
      <c r="Q48" s="3">
        <v>7034589</v>
      </c>
      <c r="R48" s="3">
        <v>6994906</v>
      </c>
      <c r="S48" s="3">
        <v>6994906</v>
      </c>
      <c r="T48" s="3">
        <v>960047</v>
      </c>
      <c r="U48" s="3">
        <v>960047</v>
      </c>
      <c r="V48" s="3">
        <v>960047</v>
      </c>
      <c r="W48" s="3">
        <v>960047</v>
      </c>
      <c r="X48" s="3">
        <v>953432</v>
      </c>
      <c r="Y48" s="3">
        <v>953432</v>
      </c>
      <c r="Z48" s="4">
        <v>953433</v>
      </c>
      <c r="AA48" s="4">
        <v>953433</v>
      </c>
      <c r="AB48" s="4">
        <v>953433</v>
      </c>
      <c r="AC48" s="4">
        <v>953431</v>
      </c>
      <c r="AD48" s="4">
        <v>960047</v>
      </c>
      <c r="AE48" s="4">
        <v>1920094</v>
      </c>
      <c r="AF48" s="4">
        <v>2880141</v>
      </c>
      <c r="AG48" s="4">
        <v>3840188</v>
      </c>
      <c r="AH48" s="4">
        <v>4793620</v>
      </c>
      <c r="AI48" s="4">
        <v>5747052</v>
      </c>
      <c r="AJ48" s="4">
        <v>6700485</v>
      </c>
      <c r="AK48" s="4">
        <v>7653918</v>
      </c>
      <c r="AL48" s="4">
        <v>8607351</v>
      </c>
      <c r="AM48" s="4">
        <v>9560782</v>
      </c>
      <c r="AN48" s="150">
        <v>897499</v>
      </c>
    </row>
    <row r="49" spans="1:40" x14ac:dyDescent="0.2">
      <c r="A49" s="1">
        <v>2023</v>
      </c>
      <c r="B49" s="2" t="s">
        <v>69</v>
      </c>
      <c r="C49" s="2" t="s">
        <v>69</v>
      </c>
      <c r="D49" s="1" t="s">
        <v>422</v>
      </c>
      <c r="E49" s="3">
        <v>37580371</v>
      </c>
      <c r="F49" s="3">
        <v>2770</v>
      </c>
      <c r="G49" s="3">
        <v>132207</v>
      </c>
      <c r="H49" s="1">
        <v>0</v>
      </c>
      <c r="I49" s="3">
        <v>37577601</v>
      </c>
      <c r="J49" s="3">
        <v>37445394</v>
      </c>
      <c r="K49" s="3">
        <v>37445394</v>
      </c>
      <c r="L49" s="3">
        <v>616216</v>
      </c>
      <c r="M49" s="3">
        <v>3475007</v>
      </c>
      <c r="N49" s="3">
        <v>413261</v>
      </c>
      <c r="O49" s="3">
        <v>410923</v>
      </c>
      <c r="P49" s="3">
        <v>1991443</v>
      </c>
      <c r="Q49" s="3">
        <v>30670751</v>
      </c>
      <c r="R49" s="3">
        <v>30538544</v>
      </c>
      <c r="S49" s="3">
        <v>30538544</v>
      </c>
      <c r="T49" s="3">
        <v>3757760</v>
      </c>
      <c r="U49" s="3">
        <v>3757760</v>
      </c>
      <c r="V49" s="3">
        <v>3757760</v>
      </c>
      <c r="W49" s="3">
        <v>3757760</v>
      </c>
      <c r="X49" s="3">
        <v>3735726</v>
      </c>
      <c r="Y49" s="3">
        <v>3735726</v>
      </c>
      <c r="Z49" s="4">
        <v>3735726</v>
      </c>
      <c r="AA49" s="4">
        <v>3735726</v>
      </c>
      <c r="AB49" s="4">
        <v>3735726</v>
      </c>
      <c r="AC49" s="4">
        <v>3735724</v>
      </c>
      <c r="AD49" s="4">
        <v>3757760</v>
      </c>
      <c r="AE49" s="4">
        <v>7515520</v>
      </c>
      <c r="AF49" s="4">
        <v>11273280</v>
      </c>
      <c r="AG49" s="4">
        <v>15031040</v>
      </c>
      <c r="AH49" s="4">
        <v>18766766</v>
      </c>
      <c r="AI49" s="4">
        <v>22502492</v>
      </c>
      <c r="AJ49" s="4">
        <v>26238218</v>
      </c>
      <c r="AK49" s="4">
        <v>29973944</v>
      </c>
      <c r="AL49" s="4">
        <v>33709670</v>
      </c>
      <c r="AM49" s="4">
        <v>37445394</v>
      </c>
      <c r="AN49" s="150">
        <v>2904258</v>
      </c>
    </row>
    <row r="50" spans="1:40" x14ac:dyDescent="0.2">
      <c r="A50" s="1">
        <v>2023</v>
      </c>
      <c r="B50" s="2" t="s">
        <v>70</v>
      </c>
      <c r="C50" s="2" t="s">
        <v>70</v>
      </c>
      <c r="D50" s="1" t="s">
        <v>423</v>
      </c>
      <c r="E50" s="3">
        <v>113314829</v>
      </c>
      <c r="F50" s="3">
        <v>11510</v>
      </c>
      <c r="G50" s="3">
        <v>382104</v>
      </c>
      <c r="H50" s="1">
        <v>0</v>
      </c>
      <c r="I50" s="3">
        <v>113303319</v>
      </c>
      <c r="J50" s="3">
        <v>112921215</v>
      </c>
      <c r="K50" s="3">
        <v>112921215</v>
      </c>
      <c r="L50" s="3">
        <v>2560801</v>
      </c>
      <c r="M50" s="3">
        <v>10046797</v>
      </c>
      <c r="N50" s="3">
        <v>1288505</v>
      </c>
      <c r="O50" s="3">
        <v>1181049</v>
      </c>
      <c r="P50" s="3">
        <v>5755642</v>
      </c>
      <c r="Q50" s="3">
        <v>92470525</v>
      </c>
      <c r="R50" s="3">
        <v>92088421</v>
      </c>
      <c r="S50" s="3">
        <v>92088421</v>
      </c>
      <c r="T50" s="3">
        <v>11330332</v>
      </c>
      <c r="U50" s="3">
        <v>11330332</v>
      </c>
      <c r="V50" s="3">
        <v>11330332</v>
      </c>
      <c r="W50" s="3">
        <v>11330332</v>
      </c>
      <c r="X50" s="3">
        <v>11266648</v>
      </c>
      <c r="Y50" s="3">
        <v>11266648</v>
      </c>
      <c r="Z50" s="4">
        <v>11266648</v>
      </c>
      <c r="AA50" s="4">
        <v>11266648</v>
      </c>
      <c r="AB50" s="4">
        <v>11266648</v>
      </c>
      <c r="AC50" s="4">
        <v>11266647</v>
      </c>
      <c r="AD50" s="4">
        <v>11330332</v>
      </c>
      <c r="AE50" s="4">
        <v>22660664</v>
      </c>
      <c r="AF50" s="4">
        <v>33990996</v>
      </c>
      <c r="AG50" s="4">
        <v>45321328</v>
      </c>
      <c r="AH50" s="4">
        <v>56587976</v>
      </c>
      <c r="AI50" s="4">
        <v>67854624</v>
      </c>
      <c r="AJ50" s="4">
        <v>79121272</v>
      </c>
      <c r="AK50" s="4">
        <v>90387920</v>
      </c>
      <c r="AL50" s="4">
        <v>101654568</v>
      </c>
      <c r="AM50" s="4">
        <v>112921215</v>
      </c>
      <c r="AN50" s="150">
        <v>7985606</v>
      </c>
    </row>
    <row r="51" spans="1:40" x14ac:dyDescent="0.2">
      <c r="A51" s="1">
        <v>2023</v>
      </c>
      <c r="B51" s="2" t="s">
        <v>71</v>
      </c>
      <c r="C51" s="2" t="s">
        <v>71</v>
      </c>
      <c r="D51" s="1" t="s">
        <v>424</v>
      </c>
      <c r="E51" s="3">
        <v>9331639</v>
      </c>
      <c r="F51" s="3">
        <v>1343</v>
      </c>
      <c r="G51" s="3">
        <v>29808</v>
      </c>
      <c r="H51" s="1">
        <v>0</v>
      </c>
      <c r="I51" s="3">
        <v>9330296</v>
      </c>
      <c r="J51" s="3">
        <v>9300488</v>
      </c>
      <c r="K51" s="3">
        <v>9300488</v>
      </c>
      <c r="L51" s="3">
        <v>298884</v>
      </c>
      <c r="M51" s="3">
        <v>790851</v>
      </c>
      <c r="N51" s="3">
        <v>91093</v>
      </c>
      <c r="O51" s="3">
        <v>87906</v>
      </c>
      <c r="P51" s="3">
        <v>449003</v>
      </c>
      <c r="Q51" s="3">
        <v>7612559</v>
      </c>
      <c r="R51" s="3">
        <v>7582751</v>
      </c>
      <c r="S51" s="3">
        <v>7582751</v>
      </c>
      <c r="T51" s="3">
        <v>933030</v>
      </c>
      <c r="U51" s="3">
        <v>933030</v>
      </c>
      <c r="V51" s="3">
        <v>933030</v>
      </c>
      <c r="W51" s="3">
        <v>933030</v>
      </c>
      <c r="X51" s="3">
        <v>928061</v>
      </c>
      <c r="Y51" s="3">
        <v>928061</v>
      </c>
      <c r="Z51" s="4">
        <v>928062</v>
      </c>
      <c r="AA51" s="4">
        <v>928062</v>
      </c>
      <c r="AB51" s="4">
        <v>928062</v>
      </c>
      <c r="AC51" s="4">
        <v>928060</v>
      </c>
      <c r="AD51" s="4">
        <v>933030</v>
      </c>
      <c r="AE51" s="4">
        <v>1866060</v>
      </c>
      <c r="AF51" s="4">
        <v>2799090</v>
      </c>
      <c r="AG51" s="4">
        <v>3732120</v>
      </c>
      <c r="AH51" s="4">
        <v>4660181</v>
      </c>
      <c r="AI51" s="4">
        <v>5588242</v>
      </c>
      <c r="AJ51" s="4">
        <v>6516304</v>
      </c>
      <c r="AK51" s="4">
        <v>7444366</v>
      </c>
      <c r="AL51" s="4">
        <v>8372428</v>
      </c>
      <c r="AM51" s="4">
        <v>9300488</v>
      </c>
      <c r="AN51" s="150">
        <v>617774</v>
      </c>
    </row>
    <row r="52" spans="1:40" x14ac:dyDescent="0.2">
      <c r="A52" s="1">
        <v>2023</v>
      </c>
      <c r="B52" s="2" t="s">
        <v>72</v>
      </c>
      <c r="C52" s="2" t="s">
        <v>72</v>
      </c>
      <c r="D52" s="1" t="s">
        <v>425</v>
      </c>
      <c r="E52" s="3">
        <v>10525805</v>
      </c>
      <c r="F52" s="3">
        <v>1227</v>
      </c>
      <c r="G52" s="3">
        <v>31483</v>
      </c>
      <c r="H52" s="1">
        <v>0</v>
      </c>
      <c r="I52" s="3">
        <v>10524578</v>
      </c>
      <c r="J52" s="3">
        <v>10493095</v>
      </c>
      <c r="K52" s="3">
        <v>10493095</v>
      </c>
      <c r="L52" s="3">
        <v>273054</v>
      </c>
      <c r="M52" s="3">
        <v>842981</v>
      </c>
      <c r="N52" s="3">
        <v>102321</v>
      </c>
      <c r="O52" s="3">
        <v>96555</v>
      </c>
      <c r="P52" s="3">
        <v>474228</v>
      </c>
      <c r="Q52" s="3">
        <v>8735439</v>
      </c>
      <c r="R52" s="3">
        <v>8703956</v>
      </c>
      <c r="S52" s="3">
        <v>8703956</v>
      </c>
      <c r="T52" s="3">
        <v>1052458</v>
      </c>
      <c r="U52" s="3">
        <v>1052458</v>
      </c>
      <c r="V52" s="3">
        <v>1052458</v>
      </c>
      <c r="W52" s="3">
        <v>1052458</v>
      </c>
      <c r="X52" s="3">
        <v>1047211</v>
      </c>
      <c r="Y52" s="3">
        <v>1047211</v>
      </c>
      <c r="Z52" s="4">
        <v>1047210</v>
      </c>
      <c r="AA52" s="4">
        <v>1047210</v>
      </c>
      <c r="AB52" s="4">
        <v>1047210</v>
      </c>
      <c r="AC52" s="4">
        <v>1047211</v>
      </c>
      <c r="AD52" s="4">
        <v>1052458</v>
      </c>
      <c r="AE52" s="4">
        <v>2104916</v>
      </c>
      <c r="AF52" s="4">
        <v>3157374</v>
      </c>
      <c r="AG52" s="4">
        <v>4209832</v>
      </c>
      <c r="AH52" s="4">
        <v>5257043</v>
      </c>
      <c r="AI52" s="4">
        <v>6304254</v>
      </c>
      <c r="AJ52" s="4">
        <v>7351464</v>
      </c>
      <c r="AK52" s="4">
        <v>8398674</v>
      </c>
      <c r="AL52" s="4">
        <v>9445884</v>
      </c>
      <c r="AM52" s="4">
        <v>10493095</v>
      </c>
      <c r="AN52" s="150">
        <v>618883</v>
      </c>
    </row>
    <row r="53" spans="1:40" x14ac:dyDescent="0.2">
      <c r="A53" s="1">
        <v>2023</v>
      </c>
      <c r="B53" s="2" t="s">
        <v>73</v>
      </c>
      <c r="C53" s="2" t="s">
        <v>73</v>
      </c>
      <c r="D53" s="1" t="s">
        <v>426</v>
      </c>
      <c r="E53" s="3">
        <v>4878257</v>
      </c>
      <c r="F53" s="3">
        <v>1178</v>
      </c>
      <c r="G53" s="3">
        <v>18478</v>
      </c>
      <c r="H53" s="1">
        <v>0</v>
      </c>
      <c r="I53" s="3">
        <v>4877079</v>
      </c>
      <c r="J53" s="3">
        <v>4858601</v>
      </c>
      <c r="K53" s="3">
        <v>4858601</v>
      </c>
      <c r="L53" s="3">
        <v>261984</v>
      </c>
      <c r="M53" s="3">
        <v>515545</v>
      </c>
      <c r="N53" s="3">
        <v>56942</v>
      </c>
      <c r="O53" s="3">
        <v>65515</v>
      </c>
      <c r="P53" s="3">
        <v>278333</v>
      </c>
      <c r="Q53" s="3">
        <v>3698760</v>
      </c>
      <c r="R53" s="3">
        <v>3680282</v>
      </c>
      <c r="S53" s="3">
        <v>3680282</v>
      </c>
      <c r="T53" s="3">
        <v>487708</v>
      </c>
      <c r="U53" s="3">
        <v>487708</v>
      </c>
      <c r="V53" s="3">
        <v>487708</v>
      </c>
      <c r="W53" s="3">
        <v>487708</v>
      </c>
      <c r="X53" s="3">
        <v>484628</v>
      </c>
      <c r="Y53" s="3">
        <v>484628</v>
      </c>
      <c r="Z53" s="4">
        <v>484628</v>
      </c>
      <c r="AA53" s="4">
        <v>484628</v>
      </c>
      <c r="AB53" s="4">
        <v>484628</v>
      </c>
      <c r="AC53" s="4">
        <v>484629</v>
      </c>
      <c r="AD53" s="4">
        <v>487708</v>
      </c>
      <c r="AE53" s="4">
        <v>975416</v>
      </c>
      <c r="AF53" s="4">
        <v>1463124</v>
      </c>
      <c r="AG53" s="4">
        <v>1950832</v>
      </c>
      <c r="AH53" s="4">
        <v>2435460</v>
      </c>
      <c r="AI53" s="4">
        <v>2920088</v>
      </c>
      <c r="AJ53" s="4">
        <v>3404716</v>
      </c>
      <c r="AK53" s="4">
        <v>3889344</v>
      </c>
      <c r="AL53" s="4">
        <v>4373972</v>
      </c>
      <c r="AM53" s="4">
        <v>4858601</v>
      </c>
      <c r="AN53" s="150">
        <v>363682</v>
      </c>
    </row>
    <row r="54" spans="1:40" x14ac:dyDescent="0.2">
      <c r="A54" s="1">
        <v>2023</v>
      </c>
      <c r="B54" s="2" t="s">
        <v>74</v>
      </c>
      <c r="C54" s="2" t="s">
        <v>74</v>
      </c>
      <c r="D54" s="1" t="s">
        <v>427</v>
      </c>
      <c r="E54" s="3">
        <v>2774250</v>
      </c>
      <c r="F54" s="3">
        <v>381</v>
      </c>
      <c r="G54" s="3">
        <v>10387</v>
      </c>
      <c r="H54" s="1">
        <v>0</v>
      </c>
      <c r="I54" s="3">
        <v>2773869</v>
      </c>
      <c r="J54" s="3">
        <v>2763482</v>
      </c>
      <c r="K54" s="3">
        <v>2763482</v>
      </c>
      <c r="L54" s="3">
        <v>84869</v>
      </c>
      <c r="M54" s="3">
        <v>284818</v>
      </c>
      <c r="N54" s="3">
        <v>29618</v>
      </c>
      <c r="O54" s="3">
        <v>29723</v>
      </c>
      <c r="P54" s="3">
        <v>156466</v>
      </c>
      <c r="Q54" s="3">
        <v>2188375</v>
      </c>
      <c r="R54" s="3">
        <v>2177988</v>
      </c>
      <c r="S54" s="3">
        <v>2177988</v>
      </c>
      <c r="T54" s="3">
        <v>277387</v>
      </c>
      <c r="U54" s="3">
        <v>277387</v>
      </c>
      <c r="V54" s="3">
        <v>277387</v>
      </c>
      <c r="W54" s="3">
        <v>277387</v>
      </c>
      <c r="X54" s="3">
        <v>275656</v>
      </c>
      <c r="Y54" s="3">
        <v>275656</v>
      </c>
      <c r="Z54" s="4">
        <v>275656</v>
      </c>
      <c r="AA54" s="4">
        <v>275656</v>
      </c>
      <c r="AB54" s="4">
        <v>275656</v>
      </c>
      <c r="AC54" s="4">
        <v>275654</v>
      </c>
      <c r="AD54" s="4">
        <v>277387</v>
      </c>
      <c r="AE54" s="4">
        <v>554774</v>
      </c>
      <c r="AF54" s="4">
        <v>832161</v>
      </c>
      <c r="AG54" s="4">
        <v>1109548</v>
      </c>
      <c r="AH54" s="4">
        <v>1385204</v>
      </c>
      <c r="AI54" s="4">
        <v>1660860</v>
      </c>
      <c r="AJ54" s="4">
        <v>1936516</v>
      </c>
      <c r="AK54" s="4">
        <v>2212172</v>
      </c>
      <c r="AL54" s="4">
        <v>2487828</v>
      </c>
      <c r="AM54" s="4">
        <v>2763482</v>
      </c>
      <c r="AN54" s="150">
        <v>212037</v>
      </c>
    </row>
    <row r="55" spans="1:40" x14ac:dyDescent="0.2">
      <c r="A55" s="1">
        <v>2023</v>
      </c>
      <c r="B55" s="2" t="s">
        <v>75</v>
      </c>
      <c r="C55" s="2" t="s">
        <v>75</v>
      </c>
      <c r="D55" s="1" t="s">
        <v>428</v>
      </c>
      <c r="E55" s="3">
        <v>9979761</v>
      </c>
      <c r="F55" s="3">
        <v>1476</v>
      </c>
      <c r="G55" s="3">
        <v>34694</v>
      </c>
      <c r="H55" s="1">
        <v>0</v>
      </c>
      <c r="I55" s="3">
        <v>9978285</v>
      </c>
      <c r="J55" s="3">
        <v>9943591</v>
      </c>
      <c r="K55" s="3">
        <v>9943591</v>
      </c>
      <c r="L55" s="3">
        <v>328403</v>
      </c>
      <c r="M55" s="3">
        <v>949974</v>
      </c>
      <c r="N55" s="3">
        <v>98941</v>
      </c>
      <c r="O55" s="3">
        <v>103308</v>
      </c>
      <c r="P55" s="3">
        <v>522603</v>
      </c>
      <c r="Q55" s="3">
        <v>7975056</v>
      </c>
      <c r="R55" s="3">
        <v>7940362</v>
      </c>
      <c r="S55" s="3">
        <v>7940362</v>
      </c>
      <c r="T55" s="3">
        <v>997829</v>
      </c>
      <c r="U55" s="3">
        <v>997829</v>
      </c>
      <c r="V55" s="3">
        <v>997829</v>
      </c>
      <c r="W55" s="3">
        <v>997829</v>
      </c>
      <c r="X55" s="3">
        <v>992046</v>
      </c>
      <c r="Y55" s="3">
        <v>992046</v>
      </c>
      <c r="Z55" s="4">
        <v>992046</v>
      </c>
      <c r="AA55" s="4">
        <v>992046</v>
      </c>
      <c r="AB55" s="4">
        <v>992046</v>
      </c>
      <c r="AC55" s="4">
        <v>992045</v>
      </c>
      <c r="AD55" s="4">
        <v>997829</v>
      </c>
      <c r="AE55" s="4">
        <v>1995658</v>
      </c>
      <c r="AF55" s="4">
        <v>2993487</v>
      </c>
      <c r="AG55" s="4">
        <v>3991316</v>
      </c>
      <c r="AH55" s="4">
        <v>4983362</v>
      </c>
      <c r="AI55" s="4">
        <v>5975408</v>
      </c>
      <c r="AJ55" s="4">
        <v>6967454</v>
      </c>
      <c r="AK55" s="4">
        <v>7959500</v>
      </c>
      <c r="AL55" s="4">
        <v>8951546</v>
      </c>
      <c r="AM55" s="4">
        <v>9943591</v>
      </c>
      <c r="AN55" s="150">
        <v>711789</v>
      </c>
    </row>
    <row r="56" spans="1:40" x14ac:dyDescent="0.2">
      <c r="A56" s="1">
        <v>2023</v>
      </c>
      <c r="B56" s="2" t="s">
        <v>76</v>
      </c>
      <c r="C56" s="2" t="s">
        <v>76</v>
      </c>
      <c r="D56" s="1" t="s">
        <v>429</v>
      </c>
      <c r="E56" s="3">
        <v>3271544</v>
      </c>
      <c r="F56" s="1">
        <v>315</v>
      </c>
      <c r="G56" s="3">
        <v>11036</v>
      </c>
      <c r="H56" s="1">
        <v>0</v>
      </c>
      <c r="I56" s="3">
        <v>3271229</v>
      </c>
      <c r="J56" s="3">
        <v>3260193</v>
      </c>
      <c r="K56" s="3">
        <v>3260193</v>
      </c>
      <c r="L56" s="3">
        <v>70109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2645810</v>
      </c>
      <c r="R56" s="3">
        <v>2634774</v>
      </c>
      <c r="S56" s="3">
        <v>2634774</v>
      </c>
      <c r="T56" s="3">
        <v>327123</v>
      </c>
      <c r="U56" s="3">
        <v>327123</v>
      </c>
      <c r="V56" s="3">
        <v>327123</v>
      </c>
      <c r="W56" s="3">
        <v>327123</v>
      </c>
      <c r="X56" s="3">
        <v>325284</v>
      </c>
      <c r="Y56" s="3">
        <v>325284</v>
      </c>
      <c r="Z56" s="4">
        <v>325283</v>
      </c>
      <c r="AA56" s="4">
        <v>325283</v>
      </c>
      <c r="AB56" s="4">
        <v>325283</v>
      </c>
      <c r="AC56" s="4">
        <v>325284</v>
      </c>
      <c r="AD56" s="4">
        <v>327123</v>
      </c>
      <c r="AE56" s="4">
        <v>654246</v>
      </c>
      <c r="AF56" s="4">
        <v>981369</v>
      </c>
      <c r="AG56" s="4">
        <v>1308492</v>
      </c>
      <c r="AH56" s="4">
        <v>1633776</v>
      </c>
      <c r="AI56" s="4">
        <v>1959060</v>
      </c>
      <c r="AJ56" s="4">
        <v>2284343</v>
      </c>
      <c r="AK56" s="4">
        <v>2609626</v>
      </c>
      <c r="AL56" s="4">
        <v>2934909</v>
      </c>
      <c r="AM56" s="4">
        <v>3260193</v>
      </c>
      <c r="AN56" s="150">
        <v>216149</v>
      </c>
    </row>
    <row r="57" spans="1:40" x14ac:dyDescent="0.2">
      <c r="A57" s="1">
        <v>2023</v>
      </c>
      <c r="B57" s="2" t="s">
        <v>77</v>
      </c>
      <c r="C57" s="2" t="s">
        <v>77</v>
      </c>
      <c r="D57" s="1" t="s">
        <v>430</v>
      </c>
      <c r="E57" s="3">
        <v>5299099</v>
      </c>
      <c r="F57" s="3">
        <v>697</v>
      </c>
      <c r="G57" s="3">
        <v>15293</v>
      </c>
      <c r="H57" s="1">
        <v>0</v>
      </c>
      <c r="I57" s="3">
        <v>5298402</v>
      </c>
      <c r="J57" s="3">
        <v>5283109</v>
      </c>
      <c r="K57" s="3">
        <v>5283109</v>
      </c>
      <c r="L57" s="3">
        <v>154976</v>
      </c>
      <c r="M57" s="3">
        <v>424927</v>
      </c>
      <c r="N57" s="3">
        <v>56680</v>
      </c>
      <c r="O57" s="3">
        <v>44281</v>
      </c>
      <c r="P57" s="3">
        <v>230352</v>
      </c>
      <c r="Q57" s="3">
        <v>4387186</v>
      </c>
      <c r="R57" s="3">
        <v>4371893</v>
      </c>
      <c r="S57" s="3">
        <v>4371893</v>
      </c>
      <c r="T57" s="3">
        <v>529840</v>
      </c>
      <c r="U57" s="3">
        <v>529840</v>
      </c>
      <c r="V57" s="3">
        <v>529840</v>
      </c>
      <c r="W57" s="3">
        <v>529840</v>
      </c>
      <c r="X57" s="3">
        <v>527292</v>
      </c>
      <c r="Y57" s="3">
        <v>527292</v>
      </c>
      <c r="Z57" s="4">
        <v>527291</v>
      </c>
      <c r="AA57" s="4">
        <v>527291</v>
      </c>
      <c r="AB57" s="4">
        <v>527291</v>
      </c>
      <c r="AC57" s="4">
        <v>527292</v>
      </c>
      <c r="AD57" s="4">
        <v>529840</v>
      </c>
      <c r="AE57" s="4">
        <v>1059680</v>
      </c>
      <c r="AF57" s="4">
        <v>1589520</v>
      </c>
      <c r="AG57" s="4">
        <v>2119360</v>
      </c>
      <c r="AH57" s="4">
        <v>2646652</v>
      </c>
      <c r="AI57" s="4">
        <v>3173944</v>
      </c>
      <c r="AJ57" s="4">
        <v>3701235</v>
      </c>
      <c r="AK57" s="4">
        <v>4228526</v>
      </c>
      <c r="AL57" s="4">
        <v>4755817</v>
      </c>
      <c r="AM57" s="4">
        <v>5283109</v>
      </c>
      <c r="AN57" s="150">
        <v>313600</v>
      </c>
    </row>
    <row r="58" spans="1:40" x14ac:dyDescent="0.2">
      <c r="A58" s="1">
        <v>2023</v>
      </c>
      <c r="B58" s="2" t="s">
        <v>78</v>
      </c>
      <c r="C58" s="2" t="s">
        <v>78</v>
      </c>
      <c r="D58" s="1" t="s">
        <v>431</v>
      </c>
      <c r="E58" s="3">
        <v>4943534</v>
      </c>
      <c r="F58" s="1">
        <v>730</v>
      </c>
      <c r="G58" s="3">
        <v>18043</v>
      </c>
      <c r="H58" s="3">
        <v>0</v>
      </c>
      <c r="I58" s="3">
        <v>4942804</v>
      </c>
      <c r="J58" s="3">
        <v>4924761</v>
      </c>
      <c r="K58" s="3">
        <v>4924761</v>
      </c>
      <c r="L58" s="3">
        <v>162356</v>
      </c>
      <c r="M58" s="3">
        <v>470739</v>
      </c>
      <c r="N58" s="3">
        <v>50817</v>
      </c>
      <c r="O58" s="3">
        <v>54152</v>
      </c>
      <c r="P58" s="3">
        <v>271785</v>
      </c>
      <c r="Q58" s="3">
        <v>3932955</v>
      </c>
      <c r="R58" s="3">
        <v>3914912</v>
      </c>
      <c r="S58" s="3">
        <v>3914912</v>
      </c>
      <c r="T58" s="3">
        <v>494280</v>
      </c>
      <c r="U58" s="3">
        <v>494280</v>
      </c>
      <c r="V58" s="3">
        <v>494280</v>
      </c>
      <c r="W58" s="3">
        <v>494280</v>
      </c>
      <c r="X58" s="3">
        <v>491274</v>
      </c>
      <c r="Y58" s="3">
        <v>491274</v>
      </c>
      <c r="Z58" s="4">
        <v>491273</v>
      </c>
      <c r="AA58" s="4">
        <v>491273</v>
      </c>
      <c r="AB58" s="4">
        <v>491273</v>
      </c>
      <c r="AC58" s="4">
        <v>491274</v>
      </c>
      <c r="AD58" s="4">
        <v>494280</v>
      </c>
      <c r="AE58" s="4">
        <v>988560</v>
      </c>
      <c r="AF58" s="4">
        <v>1482840</v>
      </c>
      <c r="AG58" s="4">
        <v>1977120</v>
      </c>
      <c r="AH58" s="4">
        <v>2468394</v>
      </c>
      <c r="AI58" s="4">
        <v>2959668</v>
      </c>
      <c r="AJ58" s="4">
        <v>3450941</v>
      </c>
      <c r="AK58" s="4">
        <v>3942214</v>
      </c>
      <c r="AL58" s="4">
        <v>4433487</v>
      </c>
      <c r="AM58" s="4">
        <v>4924761</v>
      </c>
      <c r="AN58" s="150">
        <v>391438</v>
      </c>
    </row>
    <row r="59" spans="1:40" x14ac:dyDescent="0.2">
      <c r="A59" s="1">
        <v>2023</v>
      </c>
      <c r="B59" s="2" t="s">
        <v>79</v>
      </c>
      <c r="C59" s="2" t="s">
        <v>79</v>
      </c>
      <c r="D59" s="1" t="s">
        <v>432</v>
      </c>
      <c r="E59" s="3">
        <v>9275447</v>
      </c>
      <c r="F59" s="3">
        <v>1111</v>
      </c>
      <c r="G59" s="3">
        <v>29747</v>
      </c>
      <c r="H59" s="1">
        <v>0</v>
      </c>
      <c r="I59" s="3">
        <v>9274336</v>
      </c>
      <c r="J59" s="3">
        <v>9244589</v>
      </c>
      <c r="K59" s="3">
        <v>9244589</v>
      </c>
      <c r="L59" s="3">
        <v>247225</v>
      </c>
      <c r="M59" s="3">
        <v>784015</v>
      </c>
      <c r="N59" s="3">
        <v>107147</v>
      </c>
      <c r="O59" s="3">
        <v>84267</v>
      </c>
      <c r="P59" s="3">
        <v>448073</v>
      </c>
      <c r="Q59" s="3">
        <v>7603609</v>
      </c>
      <c r="R59" s="3">
        <v>7573862</v>
      </c>
      <c r="S59" s="3">
        <v>7573862</v>
      </c>
      <c r="T59" s="3">
        <v>927434</v>
      </c>
      <c r="U59" s="3">
        <v>927434</v>
      </c>
      <c r="V59" s="3">
        <v>927434</v>
      </c>
      <c r="W59" s="3">
        <v>927434</v>
      </c>
      <c r="X59" s="3">
        <v>922476</v>
      </c>
      <c r="Y59" s="3">
        <v>922476</v>
      </c>
      <c r="Z59" s="4">
        <v>922475</v>
      </c>
      <c r="AA59" s="4">
        <v>922475</v>
      </c>
      <c r="AB59" s="4">
        <v>922475</v>
      </c>
      <c r="AC59" s="4">
        <v>922476</v>
      </c>
      <c r="AD59" s="4">
        <v>927434</v>
      </c>
      <c r="AE59" s="4">
        <v>1854868</v>
      </c>
      <c r="AF59" s="4">
        <v>2782302</v>
      </c>
      <c r="AG59" s="4">
        <v>3709736</v>
      </c>
      <c r="AH59" s="4">
        <v>4632212</v>
      </c>
      <c r="AI59" s="4">
        <v>5554688</v>
      </c>
      <c r="AJ59" s="4">
        <v>6477163</v>
      </c>
      <c r="AK59" s="4">
        <v>7399638</v>
      </c>
      <c r="AL59" s="4">
        <v>8322113</v>
      </c>
      <c r="AM59" s="4">
        <v>9244589</v>
      </c>
      <c r="AN59" s="150">
        <v>585146</v>
      </c>
    </row>
    <row r="60" spans="1:40" x14ac:dyDescent="0.2">
      <c r="A60" s="1">
        <v>2023</v>
      </c>
      <c r="B60" s="2" t="s">
        <v>80</v>
      </c>
      <c r="C60" s="2" t="s">
        <v>80</v>
      </c>
      <c r="D60" s="1" t="s">
        <v>433</v>
      </c>
      <c r="E60" s="3">
        <v>10987252</v>
      </c>
      <c r="F60" s="3">
        <v>1211</v>
      </c>
      <c r="G60" s="3">
        <v>36925</v>
      </c>
      <c r="H60" s="1">
        <v>0</v>
      </c>
      <c r="I60" s="3">
        <v>10986041</v>
      </c>
      <c r="J60" s="3">
        <v>10949116</v>
      </c>
      <c r="K60" s="3">
        <v>10949116</v>
      </c>
      <c r="L60" s="3">
        <v>269364</v>
      </c>
      <c r="M60" s="3">
        <v>985569</v>
      </c>
      <c r="N60" s="3">
        <v>115468</v>
      </c>
      <c r="O60" s="3">
        <v>116028</v>
      </c>
      <c r="P60" s="3">
        <v>556200</v>
      </c>
      <c r="Q60" s="3">
        <v>8943412</v>
      </c>
      <c r="R60" s="3">
        <v>8906487</v>
      </c>
      <c r="S60" s="3">
        <v>8906487</v>
      </c>
      <c r="T60" s="3">
        <v>1098604</v>
      </c>
      <c r="U60" s="3">
        <v>1098604</v>
      </c>
      <c r="V60" s="3">
        <v>1098604</v>
      </c>
      <c r="W60" s="3">
        <v>1098604</v>
      </c>
      <c r="X60" s="3">
        <v>1092450</v>
      </c>
      <c r="Y60" s="3">
        <v>1092450</v>
      </c>
      <c r="Z60" s="4">
        <v>1092450</v>
      </c>
      <c r="AA60" s="4">
        <v>1092450</v>
      </c>
      <c r="AB60" s="4">
        <v>1092450</v>
      </c>
      <c r="AC60" s="4">
        <v>1092450</v>
      </c>
      <c r="AD60" s="4">
        <v>1098604</v>
      </c>
      <c r="AE60" s="4">
        <v>2197208</v>
      </c>
      <c r="AF60" s="4">
        <v>3295812</v>
      </c>
      <c r="AG60" s="4">
        <v>4394416</v>
      </c>
      <c r="AH60" s="4">
        <v>5486866</v>
      </c>
      <c r="AI60" s="4">
        <v>6579316</v>
      </c>
      <c r="AJ60" s="4">
        <v>7671766</v>
      </c>
      <c r="AK60" s="4">
        <v>8764216</v>
      </c>
      <c r="AL60" s="4">
        <v>9856666</v>
      </c>
      <c r="AM60" s="4">
        <v>10949116</v>
      </c>
      <c r="AN60" s="150">
        <v>813223</v>
      </c>
    </row>
    <row r="61" spans="1:40" x14ac:dyDescent="0.2">
      <c r="A61" s="1">
        <v>2023</v>
      </c>
      <c r="B61" s="2" t="s">
        <v>81</v>
      </c>
      <c r="C61" s="2" t="s">
        <v>81</v>
      </c>
      <c r="D61" s="1" t="s">
        <v>434</v>
      </c>
      <c r="E61" s="3">
        <v>1561751</v>
      </c>
      <c r="F61" s="1">
        <v>199</v>
      </c>
      <c r="G61" s="3">
        <v>6551</v>
      </c>
      <c r="H61" s="1">
        <v>0</v>
      </c>
      <c r="I61" s="3">
        <v>1561552</v>
      </c>
      <c r="J61" s="3">
        <v>1555001</v>
      </c>
      <c r="K61" s="3">
        <v>1555001</v>
      </c>
      <c r="L61" s="3">
        <v>44279</v>
      </c>
      <c r="M61" s="3">
        <v>193821</v>
      </c>
      <c r="N61" s="3">
        <v>22376</v>
      </c>
      <c r="O61" s="3">
        <v>20431</v>
      </c>
      <c r="P61" s="3">
        <v>98681</v>
      </c>
      <c r="Q61" s="3">
        <v>1181964</v>
      </c>
      <c r="R61" s="3">
        <v>1175413</v>
      </c>
      <c r="S61" s="3">
        <v>1175413</v>
      </c>
      <c r="T61" s="3">
        <v>156155</v>
      </c>
      <c r="U61" s="3">
        <v>156155</v>
      </c>
      <c r="V61" s="3">
        <v>156155</v>
      </c>
      <c r="W61" s="3">
        <v>156155</v>
      </c>
      <c r="X61" s="3">
        <v>155064</v>
      </c>
      <c r="Y61" s="3">
        <v>155064</v>
      </c>
      <c r="Z61" s="4">
        <v>155063</v>
      </c>
      <c r="AA61" s="4">
        <v>155063</v>
      </c>
      <c r="AB61" s="4">
        <v>155063</v>
      </c>
      <c r="AC61" s="4">
        <v>155064</v>
      </c>
      <c r="AD61" s="4">
        <v>156155</v>
      </c>
      <c r="AE61" s="4">
        <v>312310</v>
      </c>
      <c r="AF61" s="4">
        <v>468465</v>
      </c>
      <c r="AG61" s="4">
        <v>624620</v>
      </c>
      <c r="AH61" s="4">
        <v>779684</v>
      </c>
      <c r="AI61" s="4">
        <v>934748</v>
      </c>
      <c r="AJ61" s="4">
        <v>1089811</v>
      </c>
      <c r="AK61" s="4">
        <v>1244874</v>
      </c>
      <c r="AL61" s="4">
        <v>1399937</v>
      </c>
      <c r="AM61" s="4">
        <v>1555001</v>
      </c>
      <c r="AN61" s="150">
        <v>135605</v>
      </c>
    </row>
    <row r="62" spans="1:40" x14ac:dyDescent="0.2">
      <c r="A62" s="1">
        <v>2023</v>
      </c>
      <c r="B62" s="2" t="s">
        <v>82</v>
      </c>
      <c r="C62" s="2" t="s">
        <v>82</v>
      </c>
      <c r="D62" s="1" t="s">
        <v>435</v>
      </c>
      <c r="E62" s="3">
        <v>7462754</v>
      </c>
      <c r="F62" s="3">
        <v>498</v>
      </c>
      <c r="G62" s="3">
        <v>24635</v>
      </c>
      <c r="H62" s="1">
        <v>0</v>
      </c>
      <c r="I62" s="3">
        <v>7462256</v>
      </c>
      <c r="J62" s="3">
        <v>7437621</v>
      </c>
      <c r="K62" s="3">
        <v>7437621</v>
      </c>
      <c r="L62" s="3">
        <v>110697</v>
      </c>
      <c r="M62" s="3">
        <v>672705</v>
      </c>
      <c r="N62" s="3">
        <v>81060</v>
      </c>
      <c r="O62" s="3">
        <v>75708</v>
      </c>
      <c r="P62" s="3">
        <v>371074</v>
      </c>
      <c r="Q62" s="3">
        <v>6151012</v>
      </c>
      <c r="R62" s="3">
        <v>6126377</v>
      </c>
      <c r="S62" s="3">
        <v>6126377</v>
      </c>
      <c r="T62" s="3">
        <v>746226</v>
      </c>
      <c r="U62" s="3">
        <v>746226</v>
      </c>
      <c r="V62" s="3">
        <v>746226</v>
      </c>
      <c r="W62" s="3">
        <v>746226</v>
      </c>
      <c r="X62" s="3">
        <v>742120</v>
      </c>
      <c r="Y62" s="3">
        <v>742120</v>
      </c>
      <c r="Z62" s="4">
        <v>742119</v>
      </c>
      <c r="AA62" s="4">
        <v>742119</v>
      </c>
      <c r="AB62" s="4">
        <v>742119</v>
      </c>
      <c r="AC62" s="4">
        <v>742120</v>
      </c>
      <c r="AD62" s="4">
        <v>746226</v>
      </c>
      <c r="AE62" s="4">
        <v>1492452</v>
      </c>
      <c r="AF62" s="4">
        <v>2238678</v>
      </c>
      <c r="AG62" s="4">
        <v>2984904</v>
      </c>
      <c r="AH62" s="4">
        <v>3727024</v>
      </c>
      <c r="AI62" s="4">
        <v>4469144</v>
      </c>
      <c r="AJ62" s="4">
        <v>5211263</v>
      </c>
      <c r="AK62" s="4">
        <v>5953382</v>
      </c>
      <c r="AL62" s="4">
        <v>6695501</v>
      </c>
      <c r="AM62" s="4">
        <v>7437621</v>
      </c>
      <c r="AN62" s="150">
        <v>512417</v>
      </c>
    </row>
    <row r="63" spans="1:40" x14ac:dyDescent="0.2">
      <c r="A63" s="1">
        <v>2023</v>
      </c>
      <c r="B63" s="2" t="s">
        <v>83</v>
      </c>
      <c r="C63" s="2" t="s">
        <v>83</v>
      </c>
      <c r="D63" s="1" t="s">
        <v>436</v>
      </c>
      <c r="E63" s="3">
        <v>6703804</v>
      </c>
      <c r="F63" s="1">
        <v>564</v>
      </c>
      <c r="G63" s="3">
        <v>22998</v>
      </c>
      <c r="H63" s="1">
        <v>0</v>
      </c>
      <c r="I63" s="3">
        <v>6703240</v>
      </c>
      <c r="J63" s="3">
        <v>6680242</v>
      </c>
      <c r="K63" s="3">
        <v>6680242</v>
      </c>
      <c r="L63" s="3">
        <v>125457</v>
      </c>
      <c r="M63" s="3">
        <v>596334</v>
      </c>
      <c r="N63" s="3">
        <v>66457</v>
      </c>
      <c r="O63" s="3">
        <v>57279</v>
      </c>
      <c r="P63" s="3">
        <v>346422</v>
      </c>
      <c r="Q63" s="3">
        <v>5511291</v>
      </c>
      <c r="R63" s="3">
        <v>5488293</v>
      </c>
      <c r="S63" s="3">
        <v>5488293</v>
      </c>
      <c r="T63" s="3">
        <v>670324</v>
      </c>
      <c r="U63" s="3">
        <v>670324</v>
      </c>
      <c r="V63" s="3">
        <v>670324</v>
      </c>
      <c r="W63" s="3">
        <v>670324</v>
      </c>
      <c r="X63" s="3">
        <v>666491</v>
      </c>
      <c r="Y63" s="3">
        <v>666491</v>
      </c>
      <c r="Z63" s="4">
        <v>666491</v>
      </c>
      <c r="AA63" s="4">
        <v>666491</v>
      </c>
      <c r="AB63" s="4">
        <v>666491</v>
      </c>
      <c r="AC63" s="4">
        <v>666491</v>
      </c>
      <c r="AD63" s="4">
        <v>670324</v>
      </c>
      <c r="AE63" s="4">
        <v>1340648</v>
      </c>
      <c r="AF63" s="4">
        <v>2010972</v>
      </c>
      <c r="AG63" s="4">
        <v>2681296</v>
      </c>
      <c r="AH63" s="4">
        <v>3347787</v>
      </c>
      <c r="AI63" s="4">
        <v>4014278</v>
      </c>
      <c r="AJ63" s="4">
        <v>4680769</v>
      </c>
      <c r="AK63" s="4">
        <v>5347260</v>
      </c>
      <c r="AL63" s="4">
        <v>6013751</v>
      </c>
      <c r="AM63" s="4">
        <v>6680242</v>
      </c>
      <c r="AN63" s="150">
        <v>472708</v>
      </c>
    </row>
    <row r="64" spans="1:40" x14ac:dyDescent="0.2">
      <c r="A64" s="1">
        <v>2023</v>
      </c>
      <c r="B64" s="2" t="s">
        <v>84</v>
      </c>
      <c r="C64" s="2" t="s">
        <v>84</v>
      </c>
      <c r="D64" s="1" t="s">
        <v>437</v>
      </c>
      <c r="E64" s="3">
        <v>6102173</v>
      </c>
      <c r="F64" s="3">
        <v>1028</v>
      </c>
      <c r="G64" s="3">
        <v>23397</v>
      </c>
      <c r="H64" s="1">
        <v>0</v>
      </c>
      <c r="I64" s="3">
        <v>6101145</v>
      </c>
      <c r="J64" s="3">
        <v>6077748</v>
      </c>
      <c r="K64" s="3">
        <v>6077748</v>
      </c>
      <c r="L64" s="3">
        <v>228775</v>
      </c>
      <c r="M64" s="3">
        <v>636123</v>
      </c>
      <c r="N64" s="3">
        <v>78189</v>
      </c>
      <c r="O64" s="3">
        <v>71708</v>
      </c>
      <c r="P64" s="3">
        <v>352433</v>
      </c>
      <c r="Q64" s="3">
        <v>4733917</v>
      </c>
      <c r="R64" s="3">
        <v>4710520</v>
      </c>
      <c r="S64" s="3">
        <v>4710520</v>
      </c>
      <c r="T64" s="3">
        <v>610115</v>
      </c>
      <c r="U64" s="3">
        <v>610115</v>
      </c>
      <c r="V64" s="3">
        <v>610115</v>
      </c>
      <c r="W64" s="3">
        <v>610115</v>
      </c>
      <c r="X64" s="3">
        <v>606215</v>
      </c>
      <c r="Y64" s="3">
        <v>606215</v>
      </c>
      <c r="Z64" s="4">
        <v>606215</v>
      </c>
      <c r="AA64" s="4">
        <v>606215</v>
      </c>
      <c r="AB64" s="4">
        <v>606215</v>
      </c>
      <c r="AC64" s="4">
        <v>606213</v>
      </c>
      <c r="AD64" s="4">
        <v>610115</v>
      </c>
      <c r="AE64" s="4">
        <v>1220230</v>
      </c>
      <c r="AF64" s="4">
        <v>1830345</v>
      </c>
      <c r="AG64" s="4">
        <v>2440460</v>
      </c>
      <c r="AH64" s="4">
        <v>3046675</v>
      </c>
      <c r="AI64" s="4">
        <v>3652890</v>
      </c>
      <c r="AJ64" s="4">
        <v>4259105</v>
      </c>
      <c r="AK64" s="4">
        <v>4865320</v>
      </c>
      <c r="AL64" s="4">
        <v>5471535</v>
      </c>
      <c r="AM64" s="4">
        <v>6077748</v>
      </c>
      <c r="AN64" s="150">
        <v>485845</v>
      </c>
    </row>
    <row r="65" spans="1:40" x14ac:dyDescent="0.2">
      <c r="A65" s="1">
        <v>2023</v>
      </c>
      <c r="B65" s="2" t="s">
        <v>85</v>
      </c>
      <c r="C65" s="2" t="s">
        <v>85</v>
      </c>
      <c r="D65" s="1" t="s">
        <v>438</v>
      </c>
      <c r="E65" s="3">
        <v>10743150</v>
      </c>
      <c r="F65" s="3">
        <v>1028</v>
      </c>
      <c r="G65" s="3">
        <v>33433</v>
      </c>
      <c r="H65" s="1">
        <v>0</v>
      </c>
      <c r="I65" s="3">
        <v>10742122</v>
      </c>
      <c r="J65" s="3">
        <v>10708689</v>
      </c>
      <c r="K65" s="3">
        <v>10708689</v>
      </c>
      <c r="L65" s="3">
        <v>228775</v>
      </c>
      <c r="M65" s="3">
        <v>894213</v>
      </c>
      <c r="N65" s="3">
        <v>116724</v>
      </c>
      <c r="O65" s="3">
        <v>93162</v>
      </c>
      <c r="P65" s="3">
        <v>503604</v>
      </c>
      <c r="Q65" s="3">
        <v>8905644</v>
      </c>
      <c r="R65" s="3">
        <v>8872211</v>
      </c>
      <c r="S65" s="3">
        <v>8872211</v>
      </c>
      <c r="T65" s="3">
        <v>1074212</v>
      </c>
      <c r="U65" s="3">
        <v>1074212</v>
      </c>
      <c r="V65" s="3">
        <v>1074212</v>
      </c>
      <c r="W65" s="3">
        <v>1074212</v>
      </c>
      <c r="X65" s="3">
        <v>1068640</v>
      </c>
      <c r="Y65" s="3">
        <v>1068640</v>
      </c>
      <c r="Z65" s="4">
        <v>1068640</v>
      </c>
      <c r="AA65" s="4">
        <v>1068640</v>
      </c>
      <c r="AB65" s="4">
        <v>1068640</v>
      </c>
      <c r="AC65" s="4">
        <v>1068641</v>
      </c>
      <c r="AD65" s="4">
        <v>1074212</v>
      </c>
      <c r="AE65" s="4">
        <v>2148424</v>
      </c>
      <c r="AF65" s="4">
        <v>3222636</v>
      </c>
      <c r="AG65" s="4">
        <v>4296848</v>
      </c>
      <c r="AH65" s="4">
        <v>5365488</v>
      </c>
      <c r="AI65" s="4">
        <v>6434128</v>
      </c>
      <c r="AJ65" s="4">
        <v>7502768</v>
      </c>
      <c r="AK65" s="4">
        <v>8571408</v>
      </c>
      <c r="AL65" s="4">
        <v>9640048</v>
      </c>
      <c r="AM65" s="4">
        <v>10708689</v>
      </c>
      <c r="AN65" s="150">
        <v>683609</v>
      </c>
    </row>
    <row r="66" spans="1:40" x14ac:dyDescent="0.2">
      <c r="A66" s="1">
        <v>2023</v>
      </c>
      <c r="B66" s="2" t="s">
        <v>86</v>
      </c>
      <c r="C66" s="2" t="s">
        <v>86</v>
      </c>
      <c r="D66" s="1" t="s">
        <v>439</v>
      </c>
      <c r="E66" s="3">
        <v>2050753</v>
      </c>
      <c r="F66" s="3">
        <v>166</v>
      </c>
      <c r="G66" s="3">
        <v>6798</v>
      </c>
      <c r="H66" s="1">
        <v>0</v>
      </c>
      <c r="I66" s="3">
        <v>2050587</v>
      </c>
      <c r="J66" s="3">
        <v>2043789</v>
      </c>
      <c r="K66" s="3">
        <v>2043789</v>
      </c>
      <c r="L66" s="3">
        <v>36899</v>
      </c>
      <c r="M66" s="3">
        <v>212434</v>
      </c>
      <c r="N66" s="3">
        <v>23507</v>
      </c>
      <c r="O66" s="3">
        <v>22800</v>
      </c>
      <c r="P66" s="3">
        <v>104581</v>
      </c>
      <c r="Q66" s="3">
        <v>1650366</v>
      </c>
      <c r="R66" s="3">
        <v>1643568</v>
      </c>
      <c r="S66" s="3">
        <v>1643568</v>
      </c>
      <c r="T66" s="3">
        <v>205059</v>
      </c>
      <c r="U66" s="3">
        <v>205059</v>
      </c>
      <c r="V66" s="3">
        <v>205059</v>
      </c>
      <c r="W66" s="3">
        <v>205059</v>
      </c>
      <c r="X66" s="3">
        <v>203926</v>
      </c>
      <c r="Y66" s="3">
        <v>203926</v>
      </c>
      <c r="Z66" s="4">
        <v>203925</v>
      </c>
      <c r="AA66" s="4">
        <v>203925</v>
      </c>
      <c r="AB66" s="4">
        <v>203925</v>
      </c>
      <c r="AC66" s="4">
        <v>203926</v>
      </c>
      <c r="AD66" s="4">
        <v>205059</v>
      </c>
      <c r="AE66" s="4">
        <v>410118</v>
      </c>
      <c r="AF66" s="4">
        <v>615177</v>
      </c>
      <c r="AG66" s="4">
        <v>820236</v>
      </c>
      <c r="AH66" s="4">
        <v>1024162</v>
      </c>
      <c r="AI66" s="4">
        <v>1228088</v>
      </c>
      <c r="AJ66" s="4">
        <v>1432013</v>
      </c>
      <c r="AK66" s="4">
        <v>1635938</v>
      </c>
      <c r="AL66" s="4">
        <v>1839863</v>
      </c>
      <c r="AM66" s="4">
        <v>2043789</v>
      </c>
      <c r="AN66" s="150">
        <v>149773</v>
      </c>
    </row>
    <row r="67" spans="1:40" x14ac:dyDescent="0.2">
      <c r="A67" s="1">
        <v>2023</v>
      </c>
      <c r="B67" s="2" t="s">
        <v>87</v>
      </c>
      <c r="C67" s="2" t="s">
        <v>87</v>
      </c>
      <c r="D67" s="1" t="s">
        <v>440</v>
      </c>
      <c r="E67" s="3">
        <v>1175645</v>
      </c>
      <c r="F67" s="3">
        <v>182</v>
      </c>
      <c r="G67" s="3">
        <v>6984</v>
      </c>
      <c r="H67" s="1">
        <v>0</v>
      </c>
      <c r="I67" s="3">
        <v>1175463</v>
      </c>
      <c r="J67" s="3">
        <v>1168479</v>
      </c>
      <c r="K67" s="3">
        <v>1168479</v>
      </c>
      <c r="L67" s="3">
        <v>40590</v>
      </c>
      <c r="M67" s="3">
        <v>212606</v>
      </c>
      <c r="N67" s="3">
        <v>21625</v>
      </c>
      <c r="O67" s="3">
        <v>23418</v>
      </c>
      <c r="P67" s="3">
        <v>109608</v>
      </c>
      <c r="Q67" s="3">
        <v>767616</v>
      </c>
      <c r="R67" s="3">
        <v>760632</v>
      </c>
      <c r="S67" s="3">
        <v>760632</v>
      </c>
      <c r="T67" s="3">
        <v>117546</v>
      </c>
      <c r="U67" s="3">
        <v>117546</v>
      </c>
      <c r="V67" s="3">
        <v>117546</v>
      </c>
      <c r="W67" s="3">
        <v>117546</v>
      </c>
      <c r="X67" s="3">
        <v>116383</v>
      </c>
      <c r="Y67" s="3">
        <v>116383</v>
      </c>
      <c r="Z67" s="4">
        <v>116382</v>
      </c>
      <c r="AA67" s="4">
        <v>116382</v>
      </c>
      <c r="AB67" s="4">
        <v>116382</v>
      </c>
      <c r="AC67" s="4">
        <v>116383</v>
      </c>
      <c r="AD67" s="4">
        <v>117546</v>
      </c>
      <c r="AE67" s="4">
        <v>235092</v>
      </c>
      <c r="AF67" s="4">
        <v>352638</v>
      </c>
      <c r="AG67" s="4">
        <v>470184</v>
      </c>
      <c r="AH67" s="4">
        <v>586567</v>
      </c>
      <c r="AI67" s="4">
        <v>702950</v>
      </c>
      <c r="AJ67" s="4">
        <v>819332</v>
      </c>
      <c r="AK67" s="4">
        <v>935714</v>
      </c>
      <c r="AL67" s="4">
        <v>1052096</v>
      </c>
      <c r="AM67" s="4">
        <v>1168479</v>
      </c>
      <c r="AN67" s="150">
        <v>155128</v>
      </c>
    </row>
    <row r="68" spans="1:40" x14ac:dyDescent="0.2">
      <c r="A68" s="1">
        <v>2023</v>
      </c>
      <c r="B68" s="2" t="s">
        <v>88</v>
      </c>
      <c r="C68" s="2" t="s">
        <v>88</v>
      </c>
      <c r="D68" s="1" t="s">
        <v>441</v>
      </c>
      <c r="E68" s="3">
        <v>17851435</v>
      </c>
      <c r="F68" s="3">
        <v>2969</v>
      </c>
      <c r="G68" s="3">
        <v>66458</v>
      </c>
      <c r="H68" s="1">
        <v>0</v>
      </c>
      <c r="I68" s="3">
        <v>17848466</v>
      </c>
      <c r="J68" s="3">
        <v>17782008</v>
      </c>
      <c r="K68" s="3">
        <v>17782008</v>
      </c>
      <c r="L68" s="3">
        <v>660495</v>
      </c>
      <c r="M68" s="3">
        <v>1785276</v>
      </c>
      <c r="N68" s="3">
        <v>179563</v>
      </c>
      <c r="O68" s="3">
        <v>194811</v>
      </c>
      <c r="P68" s="3">
        <v>1001053</v>
      </c>
      <c r="Q68" s="3">
        <v>14027268</v>
      </c>
      <c r="R68" s="3">
        <v>13960810</v>
      </c>
      <c r="S68" s="3">
        <v>13960810</v>
      </c>
      <c r="T68" s="3">
        <v>1784847</v>
      </c>
      <c r="U68" s="3">
        <v>1784847</v>
      </c>
      <c r="V68" s="3">
        <v>1784847</v>
      </c>
      <c r="W68" s="3">
        <v>1784847</v>
      </c>
      <c r="X68" s="3">
        <v>1773770</v>
      </c>
      <c r="Y68" s="3">
        <v>1773770</v>
      </c>
      <c r="Z68" s="4">
        <v>1773770</v>
      </c>
      <c r="AA68" s="4">
        <v>1773770</v>
      </c>
      <c r="AB68" s="4">
        <v>1773770</v>
      </c>
      <c r="AC68" s="4">
        <v>1773770</v>
      </c>
      <c r="AD68" s="4">
        <v>1784847</v>
      </c>
      <c r="AE68" s="4">
        <v>3569694</v>
      </c>
      <c r="AF68" s="4">
        <v>5354541</v>
      </c>
      <c r="AG68" s="4">
        <v>7139388</v>
      </c>
      <c r="AH68" s="4">
        <v>8913158</v>
      </c>
      <c r="AI68" s="4">
        <v>10686928</v>
      </c>
      <c r="AJ68" s="4">
        <v>12460698</v>
      </c>
      <c r="AK68" s="4">
        <v>14234468</v>
      </c>
      <c r="AL68" s="4">
        <v>16008238</v>
      </c>
      <c r="AM68" s="4">
        <v>17782008</v>
      </c>
      <c r="AN68" s="150">
        <v>1410952</v>
      </c>
    </row>
    <row r="69" spans="1:40" x14ac:dyDescent="0.2">
      <c r="A69" s="1">
        <v>2023</v>
      </c>
      <c r="B69" s="2" t="s">
        <v>89</v>
      </c>
      <c r="C69" s="2" t="s">
        <v>89</v>
      </c>
      <c r="D69" s="1" t="s">
        <v>442</v>
      </c>
      <c r="E69" s="3">
        <v>5587021</v>
      </c>
      <c r="F69" s="3">
        <v>1045</v>
      </c>
      <c r="G69" s="3">
        <v>28198</v>
      </c>
      <c r="H69" s="1">
        <v>0</v>
      </c>
      <c r="I69" s="3">
        <v>5585976</v>
      </c>
      <c r="J69" s="3">
        <v>5557778</v>
      </c>
      <c r="K69" s="3">
        <v>5557778</v>
      </c>
      <c r="L69" s="3">
        <v>232465</v>
      </c>
      <c r="M69" s="3">
        <v>729176</v>
      </c>
      <c r="N69" s="3">
        <v>84142</v>
      </c>
      <c r="O69" s="3">
        <v>80319</v>
      </c>
      <c r="P69" s="3">
        <v>424744</v>
      </c>
      <c r="Q69" s="3">
        <v>4035130</v>
      </c>
      <c r="R69" s="3">
        <v>4006932</v>
      </c>
      <c r="S69" s="3">
        <v>4006932</v>
      </c>
      <c r="T69" s="3">
        <v>558598</v>
      </c>
      <c r="U69" s="3">
        <v>558598</v>
      </c>
      <c r="V69" s="3">
        <v>558598</v>
      </c>
      <c r="W69" s="3">
        <v>558598</v>
      </c>
      <c r="X69" s="3">
        <v>553898</v>
      </c>
      <c r="Y69" s="3">
        <v>553898</v>
      </c>
      <c r="Z69" s="4">
        <v>553898</v>
      </c>
      <c r="AA69" s="4">
        <v>553898</v>
      </c>
      <c r="AB69" s="4">
        <v>553898</v>
      </c>
      <c r="AC69" s="4">
        <v>553896</v>
      </c>
      <c r="AD69" s="4">
        <v>558598</v>
      </c>
      <c r="AE69" s="4">
        <v>1117196</v>
      </c>
      <c r="AF69" s="4">
        <v>1675794</v>
      </c>
      <c r="AG69" s="4">
        <v>2234392</v>
      </c>
      <c r="AH69" s="4">
        <v>2788290</v>
      </c>
      <c r="AI69" s="4">
        <v>3342188</v>
      </c>
      <c r="AJ69" s="4">
        <v>3896086</v>
      </c>
      <c r="AK69" s="4">
        <v>4449984</v>
      </c>
      <c r="AL69" s="4">
        <v>5003882</v>
      </c>
      <c r="AM69" s="4">
        <v>5557778</v>
      </c>
      <c r="AN69" s="150">
        <v>603016</v>
      </c>
    </row>
    <row r="70" spans="1:40" x14ac:dyDescent="0.2">
      <c r="A70" s="1">
        <v>2023</v>
      </c>
      <c r="B70" s="2" t="s">
        <v>90</v>
      </c>
      <c r="C70" s="2" t="s">
        <v>90</v>
      </c>
      <c r="D70" s="1" t="s">
        <v>443</v>
      </c>
      <c r="E70" s="3">
        <v>30156315</v>
      </c>
      <c r="F70" s="3">
        <v>3018</v>
      </c>
      <c r="G70" s="3">
        <v>85807</v>
      </c>
      <c r="H70" s="1">
        <v>0</v>
      </c>
      <c r="I70" s="3">
        <v>30153297</v>
      </c>
      <c r="J70" s="3">
        <v>30067490</v>
      </c>
      <c r="K70" s="3">
        <v>30067490</v>
      </c>
      <c r="L70" s="3">
        <v>671565</v>
      </c>
      <c r="M70" s="3">
        <v>2301063</v>
      </c>
      <c r="N70" s="3">
        <v>306801</v>
      </c>
      <c r="O70" s="3">
        <v>264789</v>
      </c>
      <c r="P70" s="3">
        <v>1292517</v>
      </c>
      <c r="Q70" s="3">
        <v>25316562</v>
      </c>
      <c r="R70" s="3">
        <v>25230755</v>
      </c>
      <c r="S70" s="3">
        <v>25230755</v>
      </c>
      <c r="T70" s="3">
        <v>3015330</v>
      </c>
      <c r="U70" s="3">
        <v>3015330</v>
      </c>
      <c r="V70" s="3">
        <v>3015330</v>
      </c>
      <c r="W70" s="3">
        <v>3015330</v>
      </c>
      <c r="X70" s="3">
        <v>3001028</v>
      </c>
      <c r="Y70" s="3">
        <v>3001028</v>
      </c>
      <c r="Z70" s="4">
        <v>3001029</v>
      </c>
      <c r="AA70" s="4">
        <v>3001029</v>
      </c>
      <c r="AB70" s="4">
        <v>3001029</v>
      </c>
      <c r="AC70" s="4">
        <v>3001027</v>
      </c>
      <c r="AD70" s="4">
        <v>3015330</v>
      </c>
      <c r="AE70" s="4">
        <v>6030660</v>
      </c>
      <c r="AF70" s="4">
        <v>9045990</v>
      </c>
      <c r="AG70" s="4">
        <v>12061320</v>
      </c>
      <c r="AH70" s="4">
        <v>15062348</v>
      </c>
      <c r="AI70" s="4">
        <v>18063376</v>
      </c>
      <c r="AJ70" s="4">
        <v>21064405</v>
      </c>
      <c r="AK70" s="4">
        <v>24065434</v>
      </c>
      <c r="AL70" s="4">
        <v>27066463</v>
      </c>
      <c r="AM70" s="4">
        <v>30067490</v>
      </c>
      <c r="AN70" s="150">
        <v>1819093</v>
      </c>
    </row>
    <row r="71" spans="1:40" x14ac:dyDescent="0.2">
      <c r="A71" s="1">
        <v>2023</v>
      </c>
      <c r="B71" s="2" t="s">
        <v>91</v>
      </c>
      <c r="C71" s="2" t="s">
        <v>91</v>
      </c>
      <c r="D71" s="1" t="s">
        <v>444</v>
      </c>
      <c r="E71" s="3">
        <v>5056718</v>
      </c>
      <c r="F71" s="3">
        <v>779</v>
      </c>
      <c r="G71" s="3">
        <v>17257</v>
      </c>
      <c r="H71" s="1">
        <v>0</v>
      </c>
      <c r="I71" s="3">
        <v>5055939</v>
      </c>
      <c r="J71" s="3">
        <v>5038682</v>
      </c>
      <c r="K71" s="3">
        <v>5038682</v>
      </c>
      <c r="L71" s="3">
        <v>173427</v>
      </c>
      <c r="M71" s="3">
        <v>461480</v>
      </c>
      <c r="N71" s="3">
        <v>53361</v>
      </c>
      <c r="O71" s="3">
        <v>45806</v>
      </c>
      <c r="P71" s="3">
        <v>259942</v>
      </c>
      <c r="Q71" s="3">
        <v>4061923</v>
      </c>
      <c r="R71" s="3">
        <v>4044666</v>
      </c>
      <c r="S71" s="3">
        <v>4044666</v>
      </c>
      <c r="T71" s="3">
        <v>505594</v>
      </c>
      <c r="U71" s="3">
        <v>505594</v>
      </c>
      <c r="V71" s="3">
        <v>505594</v>
      </c>
      <c r="W71" s="3">
        <v>505594</v>
      </c>
      <c r="X71" s="3">
        <v>502718</v>
      </c>
      <c r="Y71" s="3">
        <v>502718</v>
      </c>
      <c r="Z71" s="4">
        <v>502718</v>
      </c>
      <c r="AA71" s="4">
        <v>502718</v>
      </c>
      <c r="AB71" s="4">
        <v>502718</v>
      </c>
      <c r="AC71" s="4">
        <v>502716</v>
      </c>
      <c r="AD71" s="4">
        <v>505594</v>
      </c>
      <c r="AE71" s="4">
        <v>1011188</v>
      </c>
      <c r="AF71" s="4">
        <v>1516782</v>
      </c>
      <c r="AG71" s="4">
        <v>2022376</v>
      </c>
      <c r="AH71" s="4">
        <v>2525094</v>
      </c>
      <c r="AI71" s="4">
        <v>3027812</v>
      </c>
      <c r="AJ71" s="4">
        <v>3530530</v>
      </c>
      <c r="AK71" s="4">
        <v>4033248</v>
      </c>
      <c r="AL71" s="4">
        <v>4535966</v>
      </c>
      <c r="AM71" s="4">
        <v>5038682</v>
      </c>
      <c r="AN71" s="150">
        <v>335875</v>
      </c>
    </row>
    <row r="72" spans="1:40" x14ac:dyDescent="0.2">
      <c r="A72" s="1">
        <v>2023</v>
      </c>
      <c r="B72" s="2" t="s">
        <v>92</v>
      </c>
      <c r="C72" s="2" t="s">
        <v>92</v>
      </c>
      <c r="D72" s="1" t="s">
        <v>445</v>
      </c>
      <c r="E72" s="3">
        <v>32310604</v>
      </c>
      <c r="F72" s="3">
        <v>4544</v>
      </c>
      <c r="G72" s="3">
        <v>121877</v>
      </c>
      <c r="H72" s="1">
        <v>0</v>
      </c>
      <c r="I72" s="3">
        <v>32306060</v>
      </c>
      <c r="J72" s="3">
        <v>32184183</v>
      </c>
      <c r="K72" s="3">
        <v>32184183</v>
      </c>
      <c r="L72" s="3">
        <v>1011037</v>
      </c>
      <c r="M72" s="3">
        <v>3112917</v>
      </c>
      <c r="N72" s="3">
        <v>400775</v>
      </c>
      <c r="O72" s="3">
        <v>381739</v>
      </c>
      <c r="P72" s="3">
        <v>1835836</v>
      </c>
      <c r="Q72" s="3">
        <v>25563756</v>
      </c>
      <c r="R72" s="3">
        <v>25441879</v>
      </c>
      <c r="S72" s="3">
        <v>25441879</v>
      </c>
      <c r="T72" s="3">
        <v>3230606</v>
      </c>
      <c r="U72" s="3">
        <v>3230606</v>
      </c>
      <c r="V72" s="3">
        <v>3230606</v>
      </c>
      <c r="W72" s="3">
        <v>3230606</v>
      </c>
      <c r="X72" s="3">
        <v>3210293</v>
      </c>
      <c r="Y72" s="3">
        <v>3210293</v>
      </c>
      <c r="Z72" s="4">
        <v>3210293</v>
      </c>
      <c r="AA72" s="4">
        <v>3210293</v>
      </c>
      <c r="AB72" s="4">
        <v>3210293</v>
      </c>
      <c r="AC72" s="4">
        <v>3210294</v>
      </c>
      <c r="AD72" s="4">
        <v>3230606</v>
      </c>
      <c r="AE72" s="4">
        <v>6461212</v>
      </c>
      <c r="AF72" s="4">
        <v>9691818</v>
      </c>
      <c r="AG72" s="4">
        <v>12922424</v>
      </c>
      <c r="AH72" s="4">
        <v>16132717</v>
      </c>
      <c r="AI72" s="4">
        <v>19343010</v>
      </c>
      <c r="AJ72" s="4">
        <v>22553303</v>
      </c>
      <c r="AK72" s="4">
        <v>25763596</v>
      </c>
      <c r="AL72" s="4">
        <v>28973889</v>
      </c>
      <c r="AM72" s="4">
        <v>32184183</v>
      </c>
      <c r="AN72" s="150">
        <v>2567605</v>
      </c>
    </row>
    <row r="73" spans="1:40" x14ac:dyDescent="0.2">
      <c r="A73" s="1">
        <v>2023</v>
      </c>
      <c r="B73" s="2" t="s">
        <v>93</v>
      </c>
      <c r="C73" s="2" t="s">
        <v>93</v>
      </c>
      <c r="D73" s="1" t="s">
        <v>446</v>
      </c>
      <c r="E73" s="3">
        <v>3072827</v>
      </c>
      <c r="F73" s="1">
        <v>232</v>
      </c>
      <c r="G73" s="3">
        <v>11069</v>
      </c>
      <c r="H73" s="1">
        <v>0</v>
      </c>
      <c r="I73" s="3">
        <v>3072595</v>
      </c>
      <c r="J73" s="3">
        <v>3061526</v>
      </c>
      <c r="K73" s="3">
        <v>3061526</v>
      </c>
      <c r="L73" s="3">
        <v>51659</v>
      </c>
      <c r="M73" s="3">
        <v>304908</v>
      </c>
      <c r="N73" s="3">
        <v>34326</v>
      </c>
      <c r="O73" s="3">
        <v>31432</v>
      </c>
      <c r="P73" s="3">
        <v>166735</v>
      </c>
      <c r="Q73" s="3">
        <v>2483535</v>
      </c>
      <c r="R73" s="3">
        <v>2472466</v>
      </c>
      <c r="S73" s="3">
        <v>2472466</v>
      </c>
      <c r="T73" s="3">
        <v>307260</v>
      </c>
      <c r="U73" s="3">
        <v>307260</v>
      </c>
      <c r="V73" s="3">
        <v>307260</v>
      </c>
      <c r="W73" s="3">
        <v>307260</v>
      </c>
      <c r="X73" s="3">
        <v>305414</v>
      </c>
      <c r="Y73" s="3">
        <v>305414</v>
      </c>
      <c r="Z73" s="4">
        <v>305415</v>
      </c>
      <c r="AA73" s="4">
        <v>305415</v>
      </c>
      <c r="AB73" s="4">
        <v>305415</v>
      </c>
      <c r="AC73" s="4">
        <v>305413</v>
      </c>
      <c r="AD73" s="4">
        <v>307260</v>
      </c>
      <c r="AE73" s="4">
        <v>614520</v>
      </c>
      <c r="AF73" s="4">
        <v>921780</v>
      </c>
      <c r="AG73" s="4">
        <v>1229040</v>
      </c>
      <c r="AH73" s="4">
        <v>1534454</v>
      </c>
      <c r="AI73" s="4">
        <v>1839868</v>
      </c>
      <c r="AJ73" s="4">
        <v>2145283</v>
      </c>
      <c r="AK73" s="4">
        <v>2450698</v>
      </c>
      <c r="AL73" s="4">
        <v>2756113</v>
      </c>
      <c r="AM73" s="4">
        <v>3061526</v>
      </c>
      <c r="AN73" s="150">
        <v>218455</v>
      </c>
    </row>
    <row r="74" spans="1:40" x14ac:dyDescent="0.2">
      <c r="A74" s="1">
        <v>2023</v>
      </c>
      <c r="B74" s="2" t="s">
        <v>94</v>
      </c>
      <c r="C74" s="2" t="s">
        <v>94</v>
      </c>
      <c r="D74" s="1" t="s">
        <v>447</v>
      </c>
      <c r="E74" s="3">
        <v>2494930</v>
      </c>
      <c r="F74" s="3">
        <v>381</v>
      </c>
      <c r="G74" s="3">
        <v>11449</v>
      </c>
      <c r="H74" s="1">
        <v>0</v>
      </c>
      <c r="I74" s="3">
        <v>2494549</v>
      </c>
      <c r="J74" s="3">
        <v>2483100</v>
      </c>
      <c r="K74" s="3">
        <v>2483100</v>
      </c>
      <c r="L74" s="3">
        <v>84869</v>
      </c>
      <c r="M74" s="3">
        <v>330025</v>
      </c>
      <c r="N74" s="3">
        <v>35485</v>
      </c>
      <c r="O74" s="3">
        <v>33359</v>
      </c>
      <c r="P74" s="3">
        <v>172460</v>
      </c>
      <c r="Q74" s="3">
        <v>1838351</v>
      </c>
      <c r="R74" s="3">
        <v>1826902</v>
      </c>
      <c r="S74" s="3">
        <v>1826902</v>
      </c>
      <c r="T74" s="3">
        <v>249455</v>
      </c>
      <c r="U74" s="3">
        <v>249455</v>
      </c>
      <c r="V74" s="3">
        <v>249455</v>
      </c>
      <c r="W74" s="3">
        <v>249455</v>
      </c>
      <c r="X74" s="3">
        <v>247547</v>
      </c>
      <c r="Y74" s="3">
        <v>247547</v>
      </c>
      <c r="Z74" s="4">
        <v>247547</v>
      </c>
      <c r="AA74" s="4">
        <v>247547</v>
      </c>
      <c r="AB74" s="4">
        <v>247547</v>
      </c>
      <c r="AC74" s="4">
        <v>247545</v>
      </c>
      <c r="AD74" s="4">
        <v>249455</v>
      </c>
      <c r="AE74" s="4">
        <v>498910</v>
      </c>
      <c r="AF74" s="4">
        <v>748365</v>
      </c>
      <c r="AG74" s="4">
        <v>997820</v>
      </c>
      <c r="AH74" s="4">
        <v>1245367</v>
      </c>
      <c r="AI74" s="4">
        <v>1492914</v>
      </c>
      <c r="AJ74" s="4">
        <v>1740461</v>
      </c>
      <c r="AK74" s="4">
        <v>1988008</v>
      </c>
      <c r="AL74" s="4">
        <v>2235555</v>
      </c>
      <c r="AM74" s="4">
        <v>2483100</v>
      </c>
      <c r="AN74" s="150">
        <v>214995</v>
      </c>
    </row>
    <row r="75" spans="1:40" x14ac:dyDescent="0.2">
      <c r="A75" s="1">
        <v>2023</v>
      </c>
      <c r="B75" s="2" t="s">
        <v>95</v>
      </c>
      <c r="C75" s="2" t="s">
        <v>95</v>
      </c>
      <c r="D75" s="1" t="s">
        <v>448</v>
      </c>
      <c r="E75" s="3">
        <v>5612795</v>
      </c>
      <c r="F75" s="1">
        <v>531</v>
      </c>
      <c r="G75" s="3">
        <v>17977</v>
      </c>
      <c r="H75" s="1">
        <v>0</v>
      </c>
      <c r="I75" s="3">
        <v>5612264</v>
      </c>
      <c r="J75" s="3">
        <v>5594287</v>
      </c>
      <c r="K75" s="3">
        <v>5594287</v>
      </c>
      <c r="L75" s="3">
        <v>118077</v>
      </c>
      <c r="M75" s="3">
        <v>507639</v>
      </c>
      <c r="N75" s="3">
        <v>62671</v>
      </c>
      <c r="O75" s="3">
        <v>60203</v>
      </c>
      <c r="P75" s="3">
        <v>270783</v>
      </c>
      <c r="Q75" s="3">
        <v>4592891</v>
      </c>
      <c r="R75" s="3">
        <v>4574914</v>
      </c>
      <c r="S75" s="3">
        <v>4574914</v>
      </c>
      <c r="T75" s="3">
        <v>561226</v>
      </c>
      <c r="U75" s="3">
        <v>561226</v>
      </c>
      <c r="V75" s="3">
        <v>561226</v>
      </c>
      <c r="W75" s="3">
        <v>561226</v>
      </c>
      <c r="X75" s="3">
        <v>558231</v>
      </c>
      <c r="Y75" s="3">
        <v>558231</v>
      </c>
      <c r="Z75" s="4">
        <v>558230</v>
      </c>
      <c r="AA75" s="4">
        <v>558230</v>
      </c>
      <c r="AB75" s="4">
        <v>558230</v>
      </c>
      <c r="AC75" s="4">
        <v>558231</v>
      </c>
      <c r="AD75" s="4">
        <v>561226</v>
      </c>
      <c r="AE75" s="4">
        <v>1122452</v>
      </c>
      <c r="AF75" s="4">
        <v>1683678</v>
      </c>
      <c r="AG75" s="4">
        <v>2244904</v>
      </c>
      <c r="AH75" s="4">
        <v>2803135</v>
      </c>
      <c r="AI75" s="4">
        <v>3361366</v>
      </c>
      <c r="AJ75" s="4">
        <v>3919596</v>
      </c>
      <c r="AK75" s="4">
        <v>4477826</v>
      </c>
      <c r="AL75" s="4">
        <v>5036056</v>
      </c>
      <c r="AM75" s="4">
        <v>5594287</v>
      </c>
      <c r="AN75" s="150">
        <v>372651</v>
      </c>
    </row>
    <row r="76" spans="1:40" x14ac:dyDescent="0.2">
      <c r="A76" s="1">
        <v>2023</v>
      </c>
      <c r="B76" s="2" t="s">
        <v>96</v>
      </c>
      <c r="C76" s="2" t="s">
        <v>96</v>
      </c>
      <c r="D76" s="1" t="s">
        <v>449</v>
      </c>
      <c r="E76" s="3">
        <v>2795596</v>
      </c>
      <c r="F76" s="3">
        <v>448</v>
      </c>
      <c r="G76" s="3">
        <v>10143</v>
      </c>
      <c r="H76" s="3">
        <v>0</v>
      </c>
      <c r="I76" s="3">
        <v>2795148</v>
      </c>
      <c r="J76" s="3">
        <v>2785005</v>
      </c>
      <c r="K76" s="3">
        <v>2785005</v>
      </c>
      <c r="L76" s="3">
        <v>99628</v>
      </c>
      <c r="M76" s="3">
        <v>304122</v>
      </c>
      <c r="N76" s="3">
        <v>35116</v>
      </c>
      <c r="O76" s="3">
        <v>32670</v>
      </c>
      <c r="P76" s="3">
        <v>152781</v>
      </c>
      <c r="Q76" s="3">
        <v>2170831</v>
      </c>
      <c r="R76" s="3">
        <v>2160688</v>
      </c>
      <c r="S76" s="3">
        <v>2160688</v>
      </c>
      <c r="T76" s="3">
        <v>279515</v>
      </c>
      <c r="U76" s="3">
        <v>279515</v>
      </c>
      <c r="V76" s="3">
        <v>279515</v>
      </c>
      <c r="W76" s="3">
        <v>279515</v>
      </c>
      <c r="X76" s="3">
        <v>277824</v>
      </c>
      <c r="Y76" s="3">
        <v>277824</v>
      </c>
      <c r="Z76" s="4">
        <v>277824</v>
      </c>
      <c r="AA76" s="4">
        <v>277824</v>
      </c>
      <c r="AB76" s="4">
        <v>277824</v>
      </c>
      <c r="AC76" s="4">
        <v>277825</v>
      </c>
      <c r="AD76" s="4">
        <v>279515</v>
      </c>
      <c r="AE76" s="4">
        <v>559030</v>
      </c>
      <c r="AF76" s="4">
        <v>838545</v>
      </c>
      <c r="AG76" s="4">
        <v>1118060</v>
      </c>
      <c r="AH76" s="4">
        <v>1395884</v>
      </c>
      <c r="AI76" s="4">
        <v>1673708</v>
      </c>
      <c r="AJ76" s="4">
        <v>1951532</v>
      </c>
      <c r="AK76" s="4">
        <v>2229356</v>
      </c>
      <c r="AL76" s="4">
        <v>2507180</v>
      </c>
      <c r="AM76" s="4">
        <v>2785005</v>
      </c>
      <c r="AN76" s="150">
        <v>199839</v>
      </c>
    </row>
    <row r="77" spans="1:40" x14ac:dyDescent="0.2">
      <c r="A77" s="1">
        <v>2023</v>
      </c>
      <c r="B77" s="2" t="s">
        <v>97</v>
      </c>
      <c r="C77" s="2" t="s">
        <v>97</v>
      </c>
      <c r="D77" s="1" t="s">
        <v>450</v>
      </c>
      <c r="E77" s="3">
        <v>2185260</v>
      </c>
      <c r="F77" s="3">
        <v>597</v>
      </c>
      <c r="G77" s="3">
        <v>9796</v>
      </c>
      <c r="H77" s="1">
        <v>0</v>
      </c>
      <c r="I77" s="3">
        <v>2184663</v>
      </c>
      <c r="J77" s="3">
        <v>2174867</v>
      </c>
      <c r="K77" s="3">
        <v>2174867</v>
      </c>
      <c r="L77" s="3">
        <v>132837</v>
      </c>
      <c r="M77" s="3">
        <v>296359</v>
      </c>
      <c r="N77" s="3">
        <v>35479</v>
      </c>
      <c r="O77" s="3">
        <v>30192</v>
      </c>
      <c r="P77" s="3">
        <v>147557</v>
      </c>
      <c r="Q77" s="3">
        <v>1542239</v>
      </c>
      <c r="R77" s="3">
        <v>1532443</v>
      </c>
      <c r="S77" s="3">
        <v>1532443</v>
      </c>
      <c r="T77" s="3">
        <v>218466</v>
      </c>
      <c r="U77" s="3">
        <v>218466</v>
      </c>
      <c r="V77" s="3">
        <v>218466</v>
      </c>
      <c r="W77" s="3">
        <v>218466</v>
      </c>
      <c r="X77" s="3">
        <v>216834</v>
      </c>
      <c r="Y77" s="3">
        <v>216834</v>
      </c>
      <c r="Z77" s="4">
        <v>216834</v>
      </c>
      <c r="AA77" s="4">
        <v>216834</v>
      </c>
      <c r="AB77" s="4">
        <v>216834</v>
      </c>
      <c r="AC77" s="4">
        <v>216833</v>
      </c>
      <c r="AD77" s="4">
        <v>218466</v>
      </c>
      <c r="AE77" s="4">
        <v>436932</v>
      </c>
      <c r="AF77" s="4">
        <v>655398</v>
      </c>
      <c r="AG77" s="4">
        <v>873864</v>
      </c>
      <c r="AH77" s="4">
        <v>1090698</v>
      </c>
      <c r="AI77" s="4">
        <v>1307532</v>
      </c>
      <c r="AJ77" s="4">
        <v>1524366</v>
      </c>
      <c r="AK77" s="4">
        <v>1741200</v>
      </c>
      <c r="AL77" s="4">
        <v>1958034</v>
      </c>
      <c r="AM77" s="4">
        <v>2174867</v>
      </c>
      <c r="AN77" s="150">
        <v>190787</v>
      </c>
    </row>
    <row r="78" spans="1:40" x14ac:dyDescent="0.2">
      <c r="A78" s="1">
        <v>2023</v>
      </c>
      <c r="B78" s="2" t="s">
        <v>98</v>
      </c>
      <c r="C78" s="2" t="s">
        <v>98</v>
      </c>
      <c r="D78" s="1" t="s">
        <v>451</v>
      </c>
      <c r="E78" s="3">
        <v>72116017</v>
      </c>
      <c r="F78" s="3">
        <v>6402</v>
      </c>
      <c r="G78" s="3">
        <v>206373</v>
      </c>
      <c r="H78" s="1">
        <v>0</v>
      </c>
      <c r="I78" s="3">
        <v>72109615</v>
      </c>
      <c r="J78" s="3">
        <v>71903242</v>
      </c>
      <c r="K78" s="3">
        <v>71903242</v>
      </c>
      <c r="L78" s="3">
        <v>1424307</v>
      </c>
      <c r="M78" s="3">
        <v>5323981</v>
      </c>
      <c r="N78" s="3">
        <v>779375</v>
      </c>
      <c r="O78" s="3">
        <v>616681</v>
      </c>
      <c r="P78" s="3">
        <v>3108602</v>
      </c>
      <c r="Q78" s="3">
        <v>60856669</v>
      </c>
      <c r="R78" s="3">
        <v>60650296</v>
      </c>
      <c r="S78" s="3">
        <v>60650296</v>
      </c>
      <c r="T78" s="3">
        <v>7210962</v>
      </c>
      <c r="U78" s="3">
        <v>7210962</v>
      </c>
      <c r="V78" s="3">
        <v>7210962</v>
      </c>
      <c r="W78" s="3">
        <v>7210962</v>
      </c>
      <c r="X78" s="3">
        <v>7176566</v>
      </c>
      <c r="Y78" s="3">
        <v>7176566</v>
      </c>
      <c r="Z78" s="4">
        <v>7176566</v>
      </c>
      <c r="AA78" s="4">
        <v>7176566</v>
      </c>
      <c r="AB78" s="4">
        <v>7176566</v>
      </c>
      <c r="AC78" s="4">
        <v>7176564</v>
      </c>
      <c r="AD78" s="4">
        <v>7210962</v>
      </c>
      <c r="AE78" s="4">
        <v>14421924</v>
      </c>
      <c r="AF78" s="4">
        <v>21632886</v>
      </c>
      <c r="AG78" s="4">
        <v>28843848</v>
      </c>
      <c r="AH78" s="4">
        <v>36020414</v>
      </c>
      <c r="AI78" s="4">
        <v>43196980</v>
      </c>
      <c r="AJ78" s="4">
        <v>50373546</v>
      </c>
      <c r="AK78" s="4">
        <v>57550112</v>
      </c>
      <c r="AL78" s="4">
        <v>64726678</v>
      </c>
      <c r="AM78" s="4">
        <v>71903242</v>
      </c>
      <c r="AN78" s="150">
        <v>4566720</v>
      </c>
    </row>
    <row r="79" spans="1:40" x14ac:dyDescent="0.2">
      <c r="A79" s="1">
        <v>2023</v>
      </c>
      <c r="B79" s="2" t="s">
        <v>99</v>
      </c>
      <c r="C79" s="2" t="s">
        <v>99</v>
      </c>
      <c r="D79" s="1" t="s">
        <v>452</v>
      </c>
      <c r="E79" s="3">
        <v>9977914</v>
      </c>
      <c r="F79" s="3">
        <v>1327</v>
      </c>
      <c r="G79" s="3">
        <v>33302</v>
      </c>
      <c r="H79" s="1">
        <v>0</v>
      </c>
      <c r="I79" s="3">
        <v>9976587</v>
      </c>
      <c r="J79" s="3">
        <v>9943285</v>
      </c>
      <c r="K79" s="3">
        <v>9943285</v>
      </c>
      <c r="L79" s="3">
        <v>295193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8027565</v>
      </c>
      <c r="R79" s="3">
        <v>7994263</v>
      </c>
      <c r="S79" s="3">
        <v>7994263</v>
      </c>
      <c r="T79" s="3">
        <v>997659</v>
      </c>
      <c r="U79" s="3">
        <v>997659</v>
      </c>
      <c r="V79" s="3">
        <v>997659</v>
      </c>
      <c r="W79" s="3">
        <v>997659</v>
      </c>
      <c r="X79" s="3">
        <v>992108</v>
      </c>
      <c r="Y79" s="3">
        <v>992108</v>
      </c>
      <c r="Z79" s="4">
        <v>992108</v>
      </c>
      <c r="AA79" s="4">
        <v>992108</v>
      </c>
      <c r="AB79" s="4">
        <v>992108</v>
      </c>
      <c r="AC79" s="4">
        <v>992109</v>
      </c>
      <c r="AD79" s="4">
        <v>997659</v>
      </c>
      <c r="AE79" s="4">
        <v>1995318</v>
      </c>
      <c r="AF79" s="4">
        <v>2992977</v>
      </c>
      <c r="AG79" s="4">
        <v>3990636</v>
      </c>
      <c r="AH79" s="4">
        <v>4982744</v>
      </c>
      <c r="AI79" s="4">
        <v>5974852</v>
      </c>
      <c r="AJ79" s="4">
        <v>6966960</v>
      </c>
      <c r="AK79" s="4">
        <v>7959068</v>
      </c>
      <c r="AL79" s="4">
        <v>8951176</v>
      </c>
      <c r="AM79" s="4">
        <v>9943285</v>
      </c>
      <c r="AN79" s="150">
        <v>699013</v>
      </c>
    </row>
    <row r="80" spans="1:40" x14ac:dyDescent="0.2">
      <c r="A80" s="1">
        <v>2023</v>
      </c>
      <c r="B80" s="2" t="s">
        <v>100</v>
      </c>
      <c r="C80" s="2" t="s">
        <v>100</v>
      </c>
      <c r="D80" s="1" t="s">
        <v>453</v>
      </c>
      <c r="E80" s="3">
        <v>22612690</v>
      </c>
      <c r="F80" s="3">
        <v>2687</v>
      </c>
      <c r="G80" s="3">
        <v>80622</v>
      </c>
      <c r="H80" s="1">
        <v>0</v>
      </c>
      <c r="I80" s="3">
        <v>22610003</v>
      </c>
      <c r="J80" s="3">
        <v>22529381</v>
      </c>
      <c r="K80" s="3">
        <v>22529381</v>
      </c>
      <c r="L80" s="3">
        <v>597766</v>
      </c>
      <c r="M80" s="3">
        <v>2068161</v>
      </c>
      <c r="N80" s="3">
        <v>246310</v>
      </c>
      <c r="O80" s="3">
        <v>219530</v>
      </c>
      <c r="P80" s="3">
        <v>1214409</v>
      </c>
      <c r="Q80" s="3">
        <v>18263827</v>
      </c>
      <c r="R80" s="3">
        <v>18183205</v>
      </c>
      <c r="S80" s="3">
        <v>18183205</v>
      </c>
      <c r="T80" s="3">
        <v>2261000</v>
      </c>
      <c r="U80" s="3">
        <v>2261000</v>
      </c>
      <c r="V80" s="3">
        <v>2261000</v>
      </c>
      <c r="W80" s="3">
        <v>2261000</v>
      </c>
      <c r="X80" s="3">
        <v>2247564</v>
      </c>
      <c r="Y80" s="3">
        <v>2247564</v>
      </c>
      <c r="Z80" s="4">
        <v>2247563</v>
      </c>
      <c r="AA80" s="4">
        <v>2247563</v>
      </c>
      <c r="AB80" s="4">
        <v>2247563</v>
      </c>
      <c r="AC80" s="4">
        <v>2247564</v>
      </c>
      <c r="AD80" s="4">
        <v>2261000</v>
      </c>
      <c r="AE80" s="4">
        <v>4522000</v>
      </c>
      <c r="AF80" s="4">
        <v>6783000</v>
      </c>
      <c r="AG80" s="4">
        <v>9044000</v>
      </c>
      <c r="AH80" s="4">
        <v>11291564</v>
      </c>
      <c r="AI80" s="4">
        <v>13539128</v>
      </c>
      <c r="AJ80" s="4">
        <v>15786691</v>
      </c>
      <c r="AK80" s="4">
        <v>18034254</v>
      </c>
      <c r="AL80" s="4">
        <v>20281817</v>
      </c>
      <c r="AM80" s="4">
        <v>22529381</v>
      </c>
      <c r="AN80" s="150">
        <v>1659201</v>
      </c>
    </row>
    <row r="81" spans="1:40" x14ac:dyDescent="0.2">
      <c r="A81" s="1">
        <v>2023</v>
      </c>
      <c r="B81" s="2" t="s">
        <v>101</v>
      </c>
      <c r="C81" s="2" t="s">
        <v>101</v>
      </c>
      <c r="D81" s="1" t="s">
        <v>454</v>
      </c>
      <c r="E81" s="3">
        <v>3212890</v>
      </c>
      <c r="F81" s="3">
        <v>332</v>
      </c>
      <c r="G81" s="3">
        <v>11138</v>
      </c>
      <c r="H81" s="1">
        <v>0</v>
      </c>
      <c r="I81" s="3">
        <v>3212558</v>
      </c>
      <c r="J81" s="3">
        <v>3201420</v>
      </c>
      <c r="K81" s="3">
        <v>3201420</v>
      </c>
      <c r="L81" s="3">
        <v>73798</v>
      </c>
      <c r="M81" s="3">
        <v>307306</v>
      </c>
      <c r="N81" s="3">
        <v>37231</v>
      </c>
      <c r="O81" s="3">
        <v>33447</v>
      </c>
      <c r="P81" s="3">
        <v>168915</v>
      </c>
      <c r="Q81" s="3">
        <v>2591861</v>
      </c>
      <c r="R81" s="3">
        <v>2580723</v>
      </c>
      <c r="S81" s="3">
        <v>2580723</v>
      </c>
      <c r="T81" s="3">
        <v>321256</v>
      </c>
      <c r="U81" s="3">
        <v>321256</v>
      </c>
      <c r="V81" s="3">
        <v>321256</v>
      </c>
      <c r="W81" s="3">
        <v>321256</v>
      </c>
      <c r="X81" s="3">
        <v>319399</v>
      </c>
      <c r="Y81" s="3">
        <v>319399</v>
      </c>
      <c r="Z81" s="4">
        <v>319400</v>
      </c>
      <c r="AA81" s="4">
        <v>319400</v>
      </c>
      <c r="AB81" s="4">
        <v>319400</v>
      </c>
      <c r="AC81" s="4">
        <v>319398</v>
      </c>
      <c r="AD81" s="4">
        <v>321256</v>
      </c>
      <c r="AE81" s="4">
        <v>642512</v>
      </c>
      <c r="AF81" s="4">
        <v>963768</v>
      </c>
      <c r="AG81" s="4">
        <v>1285024</v>
      </c>
      <c r="AH81" s="4">
        <v>1604423</v>
      </c>
      <c r="AI81" s="4">
        <v>1923822</v>
      </c>
      <c r="AJ81" s="4">
        <v>2243222</v>
      </c>
      <c r="AK81" s="4">
        <v>2562622</v>
      </c>
      <c r="AL81" s="4">
        <v>2882022</v>
      </c>
      <c r="AM81" s="4">
        <v>3201420</v>
      </c>
      <c r="AN81" s="150">
        <v>229506</v>
      </c>
    </row>
    <row r="82" spans="1:40" x14ac:dyDescent="0.2">
      <c r="A82" s="1">
        <v>2023</v>
      </c>
      <c r="B82" s="2" t="s">
        <v>102</v>
      </c>
      <c r="C82" s="2" t="s">
        <v>102</v>
      </c>
      <c r="D82" s="1" t="s">
        <v>455</v>
      </c>
      <c r="E82" s="3">
        <v>105611547</v>
      </c>
      <c r="F82" s="3">
        <v>11162</v>
      </c>
      <c r="G82" s="3">
        <v>342350</v>
      </c>
      <c r="H82" s="1">
        <v>0</v>
      </c>
      <c r="I82" s="3">
        <v>105600385</v>
      </c>
      <c r="J82" s="3">
        <v>105258035</v>
      </c>
      <c r="K82" s="3">
        <v>105258035</v>
      </c>
      <c r="L82" s="3">
        <v>2461632</v>
      </c>
      <c r="M82" s="3">
        <v>8981644</v>
      </c>
      <c r="N82" s="3">
        <v>1286180</v>
      </c>
      <c r="O82" s="3">
        <v>1098961</v>
      </c>
      <c r="P82" s="3">
        <v>5156828</v>
      </c>
      <c r="Q82" s="3">
        <v>86615140</v>
      </c>
      <c r="R82" s="3">
        <v>86272790</v>
      </c>
      <c r="S82" s="3">
        <v>86272790</v>
      </c>
      <c r="T82" s="3">
        <v>10560039</v>
      </c>
      <c r="U82" s="3">
        <v>10560039</v>
      </c>
      <c r="V82" s="3">
        <v>10560039</v>
      </c>
      <c r="W82" s="3">
        <v>10560039</v>
      </c>
      <c r="X82" s="3">
        <v>10502980</v>
      </c>
      <c r="Y82" s="3">
        <v>10502980</v>
      </c>
      <c r="Z82" s="4">
        <v>10502980</v>
      </c>
      <c r="AA82" s="4">
        <v>10502980</v>
      </c>
      <c r="AB82" s="4">
        <v>10502980</v>
      </c>
      <c r="AC82" s="4">
        <v>10502979</v>
      </c>
      <c r="AD82" s="4">
        <v>10560039</v>
      </c>
      <c r="AE82" s="4">
        <v>21120078</v>
      </c>
      <c r="AF82" s="4">
        <v>31680117</v>
      </c>
      <c r="AG82" s="4">
        <v>42240156</v>
      </c>
      <c r="AH82" s="4">
        <v>52743136</v>
      </c>
      <c r="AI82" s="4">
        <v>63246116</v>
      </c>
      <c r="AJ82" s="4">
        <v>73749096</v>
      </c>
      <c r="AK82" s="4">
        <v>84252076</v>
      </c>
      <c r="AL82" s="4">
        <v>94755056</v>
      </c>
      <c r="AM82" s="4">
        <v>105258035</v>
      </c>
      <c r="AN82" s="150">
        <v>7351527</v>
      </c>
    </row>
    <row r="83" spans="1:40" x14ac:dyDescent="0.2">
      <c r="A83" s="1">
        <v>2023</v>
      </c>
      <c r="B83" s="2" t="s">
        <v>103</v>
      </c>
      <c r="C83" s="2" t="s">
        <v>103</v>
      </c>
      <c r="D83" s="1" t="s">
        <v>456</v>
      </c>
      <c r="E83" s="3">
        <v>7896142</v>
      </c>
      <c r="F83" s="3">
        <v>929</v>
      </c>
      <c r="G83" s="3">
        <v>28089</v>
      </c>
      <c r="H83" s="1">
        <v>0</v>
      </c>
      <c r="I83" s="3">
        <v>7895213</v>
      </c>
      <c r="J83" s="3">
        <v>7867124</v>
      </c>
      <c r="K83" s="3">
        <v>7867124</v>
      </c>
      <c r="L83" s="3">
        <v>206635</v>
      </c>
      <c r="M83" s="3">
        <v>756575</v>
      </c>
      <c r="N83" s="3">
        <v>84904</v>
      </c>
      <c r="O83" s="3">
        <v>83544</v>
      </c>
      <c r="P83" s="3">
        <v>423099</v>
      </c>
      <c r="Q83" s="3">
        <v>6340456</v>
      </c>
      <c r="R83" s="3">
        <v>6312367</v>
      </c>
      <c r="S83" s="3">
        <v>6312367</v>
      </c>
      <c r="T83" s="3">
        <v>789521</v>
      </c>
      <c r="U83" s="3">
        <v>789521</v>
      </c>
      <c r="V83" s="3">
        <v>789521</v>
      </c>
      <c r="W83" s="3">
        <v>789521</v>
      </c>
      <c r="X83" s="3">
        <v>784840</v>
      </c>
      <c r="Y83" s="3">
        <v>784840</v>
      </c>
      <c r="Z83" s="4">
        <v>784840</v>
      </c>
      <c r="AA83" s="4">
        <v>784840</v>
      </c>
      <c r="AB83" s="4">
        <v>784840</v>
      </c>
      <c r="AC83" s="4">
        <v>784840</v>
      </c>
      <c r="AD83" s="4">
        <v>789521</v>
      </c>
      <c r="AE83" s="4">
        <v>1579042</v>
      </c>
      <c r="AF83" s="4">
        <v>2368563</v>
      </c>
      <c r="AG83" s="4">
        <v>3158084</v>
      </c>
      <c r="AH83" s="4">
        <v>3942924</v>
      </c>
      <c r="AI83" s="4">
        <v>4727764</v>
      </c>
      <c r="AJ83" s="4">
        <v>5512604</v>
      </c>
      <c r="AK83" s="4">
        <v>6297444</v>
      </c>
      <c r="AL83" s="4">
        <v>7082284</v>
      </c>
      <c r="AM83" s="4">
        <v>7867124</v>
      </c>
      <c r="AN83" s="150">
        <v>549981</v>
      </c>
    </row>
    <row r="84" spans="1:40" x14ac:dyDescent="0.2">
      <c r="A84" s="1">
        <v>2023</v>
      </c>
      <c r="B84" s="2" t="s">
        <v>104</v>
      </c>
      <c r="C84" s="2" t="s">
        <v>104</v>
      </c>
      <c r="D84" s="1" t="s">
        <v>457</v>
      </c>
      <c r="E84" s="3">
        <v>8958475</v>
      </c>
      <c r="F84" s="3">
        <v>1443</v>
      </c>
      <c r="G84" s="3">
        <v>36355</v>
      </c>
      <c r="H84" s="1">
        <v>0</v>
      </c>
      <c r="I84" s="3">
        <v>8957032</v>
      </c>
      <c r="J84" s="3">
        <v>8920677</v>
      </c>
      <c r="K84" s="3">
        <v>8920677</v>
      </c>
      <c r="L84" s="3">
        <v>321023</v>
      </c>
      <c r="M84" s="3">
        <v>973536</v>
      </c>
      <c r="N84" s="3">
        <v>110808</v>
      </c>
      <c r="O84" s="3">
        <v>113425</v>
      </c>
      <c r="P84" s="3">
        <v>547613</v>
      </c>
      <c r="Q84" s="3">
        <v>6890627</v>
      </c>
      <c r="R84" s="3">
        <v>6854272</v>
      </c>
      <c r="S84" s="3">
        <v>6854272</v>
      </c>
      <c r="T84" s="3">
        <v>895703</v>
      </c>
      <c r="U84" s="3">
        <v>895703</v>
      </c>
      <c r="V84" s="3">
        <v>895703</v>
      </c>
      <c r="W84" s="3">
        <v>895703</v>
      </c>
      <c r="X84" s="3">
        <v>889644</v>
      </c>
      <c r="Y84" s="3">
        <v>889644</v>
      </c>
      <c r="Z84" s="4">
        <v>889644</v>
      </c>
      <c r="AA84" s="4">
        <v>889644</v>
      </c>
      <c r="AB84" s="4">
        <v>889644</v>
      </c>
      <c r="AC84" s="4">
        <v>889645</v>
      </c>
      <c r="AD84" s="4">
        <v>895703</v>
      </c>
      <c r="AE84" s="4">
        <v>1791406</v>
      </c>
      <c r="AF84" s="4">
        <v>2687109</v>
      </c>
      <c r="AG84" s="4">
        <v>3582812</v>
      </c>
      <c r="AH84" s="4">
        <v>4472456</v>
      </c>
      <c r="AI84" s="4">
        <v>5362100</v>
      </c>
      <c r="AJ84" s="4">
        <v>6251744</v>
      </c>
      <c r="AK84" s="4">
        <v>7141388</v>
      </c>
      <c r="AL84" s="4">
        <v>8031032</v>
      </c>
      <c r="AM84" s="4">
        <v>8920677</v>
      </c>
      <c r="AN84" s="150">
        <v>761541</v>
      </c>
    </row>
    <row r="85" spans="1:40" x14ac:dyDescent="0.2">
      <c r="A85" s="1">
        <v>2023</v>
      </c>
      <c r="B85" s="2" t="s">
        <v>105</v>
      </c>
      <c r="C85" s="2" t="s">
        <v>105</v>
      </c>
      <c r="D85" s="1" t="s">
        <v>458</v>
      </c>
      <c r="E85" s="3">
        <v>1294456</v>
      </c>
      <c r="F85" s="3">
        <v>332</v>
      </c>
      <c r="G85" s="3">
        <v>4513</v>
      </c>
      <c r="H85" s="3">
        <v>0</v>
      </c>
      <c r="I85" s="3">
        <v>1294124</v>
      </c>
      <c r="J85" s="3">
        <v>1289611</v>
      </c>
      <c r="K85" s="3">
        <v>1289611</v>
      </c>
      <c r="L85" s="3">
        <v>73798</v>
      </c>
      <c r="M85" s="3">
        <v>117428</v>
      </c>
      <c r="N85" s="3">
        <v>15446</v>
      </c>
      <c r="O85" s="3">
        <v>9884</v>
      </c>
      <c r="P85" s="3">
        <v>73898</v>
      </c>
      <c r="Q85" s="3">
        <v>1003670</v>
      </c>
      <c r="R85" s="3">
        <v>999157</v>
      </c>
      <c r="S85" s="3">
        <v>999157</v>
      </c>
      <c r="T85" s="3">
        <v>129412</v>
      </c>
      <c r="U85" s="3">
        <v>129412</v>
      </c>
      <c r="V85" s="3">
        <v>129412</v>
      </c>
      <c r="W85" s="3">
        <v>129412</v>
      </c>
      <c r="X85" s="3">
        <v>128661</v>
      </c>
      <c r="Y85" s="3">
        <v>128661</v>
      </c>
      <c r="Z85" s="4">
        <v>128660</v>
      </c>
      <c r="AA85" s="4">
        <v>128660</v>
      </c>
      <c r="AB85" s="4">
        <v>128660</v>
      </c>
      <c r="AC85" s="4">
        <v>128661</v>
      </c>
      <c r="AD85" s="4">
        <v>129412</v>
      </c>
      <c r="AE85" s="4">
        <v>258824</v>
      </c>
      <c r="AF85" s="4">
        <v>388236</v>
      </c>
      <c r="AG85" s="4">
        <v>517648</v>
      </c>
      <c r="AH85" s="4">
        <v>646309</v>
      </c>
      <c r="AI85" s="4">
        <v>774970</v>
      </c>
      <c r="AJ85" s="4">
        <v>903630</v>
      </c>
      <c r="AK85" s="4">
        <v>1032290</v>
      </c>
      <c r="AL85" s="4">
        <v>1160950</v>
      </c>
      <c r="AM85" s="4">
        <v>1289611</v>
      </c>
      <c r="AN85" s="150">
        <v>93727</v>
      </c>
    </row>
    <row r="86" spans="1:40" x14ac:dyDescent="0.2">
      <c r="A86" s="1">
        <v>2023</v>
      </c>
      <c r="B86" s="2" t="s">
        <v>106</v>
      </c>
      <c r="C86" s="2" t="s">
        <v>106</v>
      </c>
      <c r="D86" s="1" t="s">
        <v>459</v>
      </c>
      <c r="E86" s="3">
        <v>17182453</v>
      </c>
      <c r="F86" s="3">
        <v>2023</v>
      </c>
      <c r="G86" s="3">
        <v>48571</v>
      </c>
      <c r="H86" s="3">
        <v>0</v>
      </c>
      <c r="I86" s="3">
        <v>17180430</v>
      </c>
      <c r="J86" s="3">
        <v>17131859</v>
      </c>
      <c r="K86" s="3">
        <v>17131859</v>
      </c>
      <c r="L86" s="3">
        <v>450170</v>
      </c>
      <c r="M86" s="3">
        <v>1226982</v>
      </c>
      <c r="N86" s="3">
        <v>180290</v>
      </c>
      <c r="O86" s="3">
        <v>148964</v>
      </c>
      <c r="P86" s="3">
        <v>731629</v>
      </c>
      <c r="Q86" s="3">
        <v>14442395</v>
      </c>
      <c r="R86" s="3">
        <v>14393824</v>
      </c>
      <c r="S86" s="3">
        <v>14393824</v>
      </c>
      <c r="T86" s="3">
        <v>1718043</v>
      </c>
      <c r="U86" s="3">
        <v>1718043</v>
      </c>
      <c r="V86" s="3">
        <v>1718043</v>
      </c>
      <c r="W86" s="3">
        <v>1718043</v>
      </c>
      <c r="X86" s="3">
        <v>1709948</v>
      </c>
      <c r="Y86" s="3">
        <v>1709948</v>
      </c>
      <c r="Z86" s="4">
        <v>1709948</v>
      </c>
      <c r="AA86" s="4">
        <v>1709948</v>
      </c>
      <c r="AB86" s="4">
        <v>1709948</v>
      </c>
      <c r="AC86" s="4">
        <v>1709947</v>
      </c>
      <c r="AD86" s="4">
        <v>1718043</v>
      </c>
      <c r="AE86" s="4">
        <v>3436086</v>
      </c>
      <c r="AF86" s="4">
        <v>5154129</v>
      </c>
      <c r="AG86" s="4">
        <v>6872172</v>
      </c>
      <c r="AH86" s="4">
        <v>8582120</v>
      </c>
      <c r="AI86" s="4">
        <v>10292068</v>
      </c>
      <c r="AJ86" s="4">
        <v>12002016</v>
      </c>
      <c r="AK86" s="4">
        <v>13711964</v>
      </c>
      <c r="AL86" s="4">
        <v>15421912</v>
      </c>
      <c r="AM86" s="4">
        <v>17131859</v>
      </c>
      <c r="AN86" s="150">
        <v>1057251</v>
      </c>
    </row>
    <row r="87" spans="1:40" x14ac:dyDescent="0.2">
      <c r="A87" s="1">
        <v>2023</v>
      </c>
      <c r="B87" s="2" t="s">
        <v>107</v>
      </c>
      <c r="C87" s="2" t="s">
        <v>107</v>
      </c>
      <c r="D87" s="1" t="s">
        <v>460</v>
      </c>
      <c r="E87" s="3">
        <v>6262761</v>
      </c>
      <c r="F87" s="1">
        <v>846</v>
      </c>
      <c r="G87" s="3">
        <v>20514</v>
      </c>
      <c r="H87" s="3">
        <v>0</v>
      </c>
      <c r="I87" s="3">
        <v>6261915</v>
      </c>
      <c r="J87" s="3">
        <v>6241401</v>
      </c>
      <c r="K87" s="3">
        <v>6241401</v>
      </c>
      <c r="L87" s="3">
        <v>188186</v>
      </c>
      <c r="M87" s="3">
        <v>552324</v>
      </c>
      <c r="N87" s="3">
        <v>53189</v>
      </c>
      <c r="O87" s="3">
        <v>53353</v>
      </c>
      <c r="P87" s="3">
        <v>308996</v>
      </c>
      <c r="Q87" s="3">
        <v>5105867</v>
      </c>
      <c r="R87" s="3">
        <v>5085353</v>
      </c>
      <c r="S87" s="3">
        <v>5085353</v>
      </c>
      <c r="T87" s="3">
        <v>626192</v>
      </c>
      <c r="U87" s="3">
        <v>626192</v>
      </c>
      <c r="V87" s="3">
        <v>626192</v>
      </c>
      <c r="W87" s="3">
        <v>626192</v>
      </c>
      <c r="X87" s="3">
        <v>622772</v>
      </c>
      <c r="Y87" s="3">
        <v>622772</v>
      </c>
      <c r="Z87" s="4">
        <v>622772</v>
      </c>
      <c r="AA87" s="4">
        <v>622772</v>
      </c>
      <c r="AB87" s="4">
        <v>622772</v>
      </c>
      <c r="AC87" s="4">
        <v>622773</v>
      </c>
      <c r="AD87" s="4">
        <v>626192</v>
      </c>
      <c r="AE87" s="4">
        <v>1252384</v>
      </c>
      <c r="AF87" s="4">
        <v>1878576</v>
      </c>
      <c r="AG87" s="4">
        <v>2504768</v>
      </c>
      <c r="AH87" s="4">
        <v>3127540</v>
      </c>
      <c r="AI87" s="4">
        <v>3750312</v>
      </c>
      <c r="AJ87" s="4">
        <v>4373084</v>
      </c>
      <c r="AK87" s="4">
        <v>4995856</v>
      </c>
      <c r="AL87" s="4">
        <v>5618628</v>
      </c>
      <c r="AM87" s="4">
        <v>6241401</v>
      </c>
      <c r="AN87" s="150">
        <v>429532</v>
      </c>
    </row>
    <row r="88" spans="1:40" x14ac:dyDescent="0.2">
      <c r="A88" s="1">
        <v>2023</v>
      </c>
      <c r="B88" s="2" t="s">
        <v>108</v>
      </c>
      <c r="C88" s="2" t="s">
        <v>108</v>
      </c>
      <c r="D88" s="1" t="s">
        <v>461</v>
      </c>
      <c r="E88" s="3">
        <v>254538271</v>
      </c>
      <c r="F88" s="3">
        <v>24181</v>
      </c>
      <c r="G88" s="3">
        <v>736924</v>
      </c>
      <c r="H88" s="3">
        <v>0</v>
      </c>
      <c r="I88" s="3">
        <v>254514090</v>
      </c>
      <c r="J88" s="3">
        <v>253777166</v>
      </c>
      <c r="K88" s="3">
        <v>253777166</v>
      </c>
      <c r="L88" s="3">
        <v>5376282</v>
      </c>
      <c r="M88" s="3">
        <v>20592047</v>
      </c>
      <c r="N88" s="3">
        <v>3044676</v>
      </c>
      <c r="O88" s="3">
        <v>2545193</v>
      </c>
      <c r="P88" s="3">
        <v>11100316</v>
      </c>
      <c r="Q88" s="3">
        <v>211855576</v>
      </c>
      <c r="R88" s="3">
        <v>211118652</v>
      </c>
      <c r="S88" s="3">
        <v>211118652</v>
      </c>
      <c r="T88" s="3">
        <v>25451409</v>
      </c>
      <c r="U88" s="3">
        <v>25451409</v>
      </c>
      <c r="V88" s="3">
        <v>25451409</v>
      </c>
      <c r="W88" s="3">
        <v>25451409</v>
      </c>
      <c r="X88" s="3">
        <v>25328588</v>
      </c>
      <c r="Y88" s="3">
        <v>25328588</v>
      </c>
      <c r="Z88" s="4">
        <v>25328589</v>
      </c>
      <c r="AA88" s="4">
        <v>25328589</v>
      </c>
      <c r="AB88" s="4">
        <v>25328589</v>
      </c>
      <c r="AC88" s="4">
        <v>25328587</v>
      </c>
      <c r="AD88" s="4">
        <v>25451409</v>
      </c>
      <c r="AE88" s="4">
        <v>50902818</v>
      </c>
      <c r="AF88" s="4">
        <v>76354227</v>
      </c>
      <c r="AG88" s="4">
        <v>101805636</v>
      </c>
      <c r="AH88" s="4">
        <v>127134224</v>
      </c>
      <c r="AI88" s="4">
        <v>152462812</v>
      </c>
      <c r="AJ88" s="4">
        <v>177791401</v>
      </c>
      <c r="AK88" s="4">
        <v>203119990</v>
      </c>
      <c r="AL88" s="4">
        <v>228448579</v>
      </c>
      <c r="AM88" s="4">
        <v>253777166</v>
      </c>
      <c r="AN88" s="150">
        <v>15350173</v>
      </c>
    </row>
    <row r="89" spans="1:40" x14ac:dyDescent="0.2">
      <c r="A89" s="1">
        <v>2023</v>
      </c>
      <c r="B89" s="2" t="s">
        <v>109</v>
      </c>
      <c r="C89" s="2" t="s">
        <v>109</v>
      </c>
      <c r="D89" s="1" t="s">
        <v>462</v>
      </c>
      <c r="E89" s="3">
        <v>879266</v>
      </c>
      <c r="F89" s="3">
        <v>166</v>
      </c>
      <c r="G89" s="3">
        <v>2589</v>
      </c>
      <c r="H89" s="1">
        <v>0</v>
      </c>
      <c r="I89" s="3">
        <v>879100</v>
      </c>
      <c r="J89" s="3">
        <v>876511</v>
      </c>
      <c r="K89" s="3">
        <v>876511</v>
      </c>
      <c r="L89" s="3">
        <v>36899</v>
      </c>
      <c r="M89" s="3">
        <v>97963</v>
      </c>
      <c r="N89" s="3">
        <v>12083</v>
      </c>
      <c r="O89" s="3">
        <v>10975</v>
      </c>
      <c r="P89" s="3">
        <v>39000</v>
      </c>
      <c r="Q89" s="3">
        <v>682180</v>
      </c>
      <c r="R89" s="3">
        <v>679591</v>
      </c>
      <c r="S89" s="3">
        <v>679591</v>
      </c>
      <c r="T89" s="3">
        <v>87910</v>
      </c>
      <c r="U89" s="3">
        <v>87910</v>
      </c>
      <c r="V89" s="3">
        <v>87910</v>
      </c>
      <c r="W89" s="3">
        <v>87910</v>
      </c>
      <c r="X89" s="3">
        <v>87479</v>
      </c>
      <c r="Y89" s="3">
        <v>87479</v>
      </c>
      <c r="Z89" s="4">
        <v>87478</v>
      </c>
      <c r="AA89" s="4">
        <v>87478</v>
      </c>
      <c r="AB89" s="4">
        <v>87478</v>
      </c>
      <c r="AC89" s="4">
        <v>87479</v>
      </c>
      <c r="AD89" s="4">
        <v>87910</v>
      </c>
      <c r="AE89" s="4">
        <v>175820</v>
      </c>
      <c r="AF89" s="4">
        <v>263730</v>
      </c>
      <c r="AG89" s="4">
        <v>351640</v>
      </c>
      <c r="AH89" s="4">
        <v>439119</v>
      </c>
      <c r="AI89" s="4">
        <v>526598</v>
      </c>
      <c r="AJ89" s="4">
        <v>614076</v>
      </c>
      <c r="AK89" s="4">
        <v>701554</v>
      </c>
      <c r="AL89" s="4">
        <v>789032</v>
      </c>
      <c r="AM89" s="4">
        <v>876511</v>
      </c>
      <c r="AN89" s="150">
        <v>51476</v>
      </c>
    </row>
    <row r="90" spans="1:40" x14ac:dyDescent="0.2">
      <c r="A90" s="1">
        <v>2023</v>
      </c>
      <c r="B90" s="2" t="s">
        <v>110</v>
      </c>
      <c r="C90" s="2" t="s">
        <v>110</v>
      </c>
      <c r="D90" s="1" t="s">
        <v>463</v>
      </c>
      <c r="E90" s="3">
        <v>6085493</v>
      </c>
      <c r="F90" s="3">
        <v>813</v>
      </c>
      <c r="G90" s="3">
        <v>20801</v>
      </c>
      <c r="H90" s="3">
        <v>0</v>
      </c>
      <c r="I90" s="3">
        <v>6084680</v>
      </c>
      <c r="J90" s="3">
        <v>6063879</v>
      </c>
      <c r="K90" s="3">
        <v>6063879</v>
      </c>
      <c r="L90" s="3">
        <v>180806</v>
      </c>
      <c r="M90" s="3">
        <v>576272</v>
      </c>
      <c r="N90" s="3">
        <v>58777</v>
      </c>
      <c r="O90" s="3">
        <v>61185</v>
      </c>
      <c r="P90" s="3">
        <v>313325</v>
      </c>
      <c r="Q90" s="3">
        <v>4894315</v>
      </c>
      <c r="R90" s="3">
        <v>4873514</v>
      </c>
      <c r="S90" s="3">
        <v>4873514</v>
      </c>
      <c r="T90" s="3">
        <v>608468</v>
      </c>
      <c r="U90" s="3">
        <v>608468</v>
      </c>
      <c r="V90" s="3">
        <v>608468</v>
      </c>
      <c r="W90" s="3">
        <v>608468</v>
      </c>
      <c r="X90" s="3">
        <v>605001</v>
      </c>
      <c r="Y90" s="3">
        <v>605001</v>
      </c>
      <c r="Z90" s="4">
        <v>605001</v>
      </c>
      <c r="AA90" s="4">
        <v>605001</v>
      </c>
      <c r="AB90" s="4">
        <v>605001</v>
      </c>
      <c r="AC90" s="4">
        <v>605002</v>
      </c>
      <c r="AD90" s="4">
        <v>608468</v>
      </c>
      <c r="AE90" s="4">
        <v>1216936</v>
      </c>
      <c r="AF90" s="4">
        <v>1825404</v>
      </c>
      <c r="AG90" s="4">
        <v>2433872</v>
      </c>
      <c r="AH90" s="4">
        <v>3038873</v>
      </c>
      <c r="AI90" s="4">
        <v>3643874</v>
      </c>
      <c r="AJ90" s="4">
        <v>4248875</v>
      </c>
      <c r="AK90" s="4">
        <v>4853876</v>
      </c>
      <c r="AL90" s="4">
        <v>5458877</v>
      </c>
      <c r="AM90" s="4">
        <v>6063879</v>
      </c>
      <c r="AN90" s="150">
        <v>441783</v>
      </c>
    </row>
    <row r="91" spans="1:40" x14ac:dyDescent="0.2">
      <c r="A91" s="1">
        <v>2023</v>
      </c>
      <c r="B91" s="2" t="s">
        <v>111</v>
      </c>
      <c r="C91" s="2" t="s">
        <v>111</v>
      </c>
      <c r="D91" s="1" t="s">
        <v>464</v>
      </c>
      <c r="E91" s="3">
        <v>72480768</v>
      </c>
      <c r="F91" s="3">
        <v>10465</v>
      </c>
      <c r="G91" s="3">
        <v>240393</v>
      </c>
      <c r="H91" s="1">
        <v>0</v>
      </c>
      <c r="I91" s="3">
        <v>72470303</v>
      </c>
      <c r="J91" s="3">
        <v>72229910</v>
      </c>
      <c r="K91" s="3">
        <v>72229910</v>
      </c>
      <c r="L91" s="3">
        <v>2328337</v>
      </c>
      <c r="M91" s="3">
        <v>6634160</v>
      </c>
      <c r="N91" s="3">
        <v>796366</v>
      </c>
      <c r="O91" s="3">
        <v>784020</v>
      </c>
      <c r="P91" s="3">
        <v>3621043</v>
      </c>
      <c r="Q91" s="3">
        <v>58306377</v>
      </c>
      <c r="R91" s="3">
        <v>58065984</v>
      </c>
      <c r="S91" s="3">
        <v>58065984</v>
      </c>
      <c r="T91" s="3">
        <v>7247030</v>
      </c>
      <c r="U91" s="3">
        <v>7247030</v>
      </c>
      <c r="V91" s="3">
        <v>7247030</v>
      </c>
      <c r="W91" s="3">
        <v>7247030</v>
      </c>
      <c r="X91" s="3">
        <v>7206965</v>
      </c>
      <c r="Y91" s="3">
        <v>7206965</v>
      </c>
      <c r="Z91" s="4">
        <v>7206965</v>
      </c>
      <c r="AA91" s="4">
        <v>7206965</v>
      </c>
      <c r="AB91" s="4">
        <v>7206965</v>
      </c>
      <c r="AC91" s="4">
        <v>7206965</v>
      </c>
      <c r="AD91" s="4">
        <v>7247030</v>
      </c>
      <c r="AE91" s="4">
        <v>14494060</v>
      </c>
      <c r="AF91" s="4">
        <v>21741090</v>
      </c>
      <c r="AG91" s="4">
        <v>28988120</v>
      </c>
      <c r="AH91" s="4">
        <v>36195085</v>
      </c>
      <c r="AI91" s="4">
        <v>43402050</v>
      </c>
      <c r="AJ91" s="4">
        <v>50609015</v>
      </c>
      <c r="AK91" s="4">
        <v>57815980</v>
      </c>
      <c r="AL91" s="4">
        <v>65022945</v>
      </c>
      <c r="AM91" s="4">
        <v>72229910</v>
      </c>
      <c r="AN91" s="150">
        <v>5500076</v>
      </c>
    </row>
    <row r="92" spans="1:40" x14ac:dyDescent="0.2">
      <c r="A92" s="1">
        <v>2023</v>
      </c>
      <c r="B92" s="2" t="s">
        <v>112</v>
      </c>
      <c r="C92" s="2" t="s">
        <v>112</v>
      </c>
      <c r="D92" s="1" t="s">
        <v>465</v>
      </c>
      <c r="E92" s="3">
        <v>2520296</v>
      </c>
      <c r="F92" s="1">
        <v>415</v>
      </c>
      <c r="G92" s="3">
        <v>9052</v>
      </c>
      <c r="H92" s="1">
        <v>0</v>
      </c>
      <c r="I92" s="3">
        <v>2519881</v>
      </c>
      <c r="J92" s="3">
        <v>2510829</v>
      </c>
      <c r="K92" s="3">
        <v>2510829</v>
      </c>
      <c r="L92" s="3">
        <v>92248</v>
      </c>
      <c r="M92" s="3">
        <v>253462</v>
      </c>
      <c r="N92" s="3">
        <v>28659</v>
      </c>
      <c r="O92" s="3">
        <v>26624</v>
      </c>
      <c r="P92" s="3">
        <v>136358</v>
      </c>
      <c r="Q92" s="3">
        <v>1982530</v>
      </c>
      <c r="R92" s="3">
        <v>1973478</v>
      </c>
      <c r="S92" s="3">
        <v>1973478</v>
      </c>
      <c r="T92" s="3">
        <v>251988</v>
      </c>
      <c r="U92" s="3">
        <v>251988</v>
      </c>
      <c r="V92" s="3">
        <v>251988</v>
      </c>
      <c r="W92" s="3">
        <v>251988</v>
      </c>
      <c r="X92" s="3">
        <v>250480</v>
      </c>
      <c r="Y92" s="3">
        <v>250480</v>
      </c>
      <c r="Z92" s="4">
        <v>250479</v>
      </c>
      <c r="AA92" s="4">
        <v>250479</v>
      </c>
      <c r="AB92" s="4">
        <v>250479</v>
      </c>
      <c r="AC92" s="4">
        <v>250480</v>
      </c>
      <c r="AD92" s="4">
        <v>251988</v>
      </c>
      <c r="AE92" s="4">
        <v>503976</v>
      </c>
      <c r="AF92" s="4">
        <v>755964</v>
      </c>
      <c r="AG92" s="4">
        <v>1007952</v>
      </c>
      <c r="AH92" s="4">
        <v>1258432</v>
      </c>
      <c r="AI92" s="4">
        <v>1508912</v>
      </c>
      <c r="AJ92" s="4">
        <v>1759391</v>
      </c>
      <c r="AK92" s="4">
        <v>2009870</v>
      </c>
      <c r="AL92" s="4">
        <v>2260349</v>
      </c>
      <c r="AM92" s="4">
        <v>2510829</v>
      </c>
      <c r="AN92" s="150">
        <v>199122</v>
      </c>
    </row>
    <row r="93" spans="1:40" x14ac:dyDescent="0.2">
      <c r="A93" s="1">
        <v>2023</v>
      </c>
      <c r="B93" s="2" t="s">
        <v>113</v>
      </c>
      <c r="C93" s="2" t="s">
        <v>113</v>
      </c>
      <c r="D93" s="1" t="s">
        <v>466</v>
      </c>
      <c r="E93" s="3">
        <v>2253674</v>
      </c>
      <c r="F93" s="3">
        <v>365</v>
      </c>
      <c r="G93" s="3">
        <v>9423</v>
      </c>
      <c r="H93" s="3">
        <v>0</v>
      </c>
      <c r="I93" s="3">
        <v>2253309</v>
      </c>
      <c r="J93" s="3">
        <v>2243886</v>
      </c>
      <c r="K93" s="3">
        <v>2243886</v>
      </c>
      <c r="L93" s="3">
        <v>81178</v>
      </c>
      <c r="M93" s="3">
        <v>280979</v>
      </c>
      <c r="N93" s="3">
        <v>32125</v>
      </c>
      <c r="O93" s="3">
        <v>33501</v>
      </c>
      <c r="P93" s="3">
        <v>141939</v>
      </c>
      <c r="Q93" s="3">
        <v>1683587</v>
      </c>
      <c r="R93" s="3">
        <v>1674164</v>
      </c>
      <c r="S93" s="3">
        <v>1674164</v>
      </c>
      <c r="T93" s="3">
        <v>225331</v>
      </c>
      <c r="U93" s="3">
        <v>225331</v>
      </c>
      <c r="V93" s="3">
        <v>225331</v>
      </c>
      <c r="W93" s="3">
        <v>225331</v>
      </c>
      <c r="X93" s="3">
        <v>223760</v>
      </c>
      <c r="Y93" s="3">
        <v>223760</v>
      </c>
      <c r="Z93" s="4">
        <v>223761</v>
      </c>
      <c r="AA93" s="4">
        <v>223761</v>
      </c>
      <c r="AB93" s="4">
        <v>223761</v>
      </c>
      <c r="AC93" s="4">
        <v>223759</v>
      </c>
      <c r="AD93" s="4">
        <v>225331</v>
      </c>
      <c r="AE93" s="4">
        <v>450662</v>
      </c>
      <c r="AF93" s="4">
        <v>675993</v>
      </c>
      <c r="AG93" s="4">
        <v>901324</v>
      </c>
      <c r="AH93" s="4">
        <v>1125084</v>
      </c>
      <c r="AI93" s="4">
        <v>1348844</v>
      </c>
      <c r="AJ93" s="4">
        <v>1572605</v>
      </c>
      <c r="AK93" s="4">
        <v>1796366</v>
      </c>
      <c r="AL93" s="4">
        <v>2020127</v>
      </c>
      <c r="AM93" s="4">
        <v>2243886</v>
      </c>
      <c r="AN93" s="150">
        <v>183726</v>
      </c>
    </row>
    <row r="94" spans="1:40" x14ac:dyDescent="0.2">
      <c r="A94" s="1">
        <v>2023</v>
      </c>
      <c r="B94" s="2" t="s">
        <v>114</v>
      </c>
      <c r="C94" s="2" t="s">
        <v>114</v>
      </c>
      <c r="D94" s="1" t="s">
        <v>467</v>
      </c>
      <c r="E94" s="3">
        <v>3286757</v>
      </c>
      <c r="F94" s="1">
        <v>299</v>
      </c>
      <c r="G94" s="3">
        <v>12613</v>
      </c>
      <c r="H94" s="1">
        <v>0</v>
      </c>
      <c r="I94" s="3">
        <v>3286458</v>
      </c>
      <c r="J94" s="3">
        <v>3273845</v>
      </c>
      <c r="K94" s="3">
        <v>3273845</v>
      </c>
      <c r="L94" s="3">
        <v>66418</v>
      </c>
      <c r="M94" s="3">
        <v>392197</v>
      </c>
      <c r="N94" s="3">
        <v>36703</v>
      </c>
      <c r="O94" s="3">
        <v>44381</v>
      </c>
      <c r="P94" s="3">
        <v>189992</v>
      </c>
      <c r="Q94" s="3">
        <v>2556767</v>
      </c>
      <c r="R94" s="3">
        <v>2544154</v>
      </c>
      <c r="S94" s="3">
        <v>2544154</v>
      </c>
      <c r="T94" s="3">
        <v>328646</v>
      </c>
      <c r="U94" s="3">
        <v>328646</v>
      </c>
      <c r="V94" s="3">
        <v>328646</v>
      </c>
      <c r="W94" s="3">
        <v>328646</v>
      </c>
      <c r="X94" s="3">
        <v>326544</v>
      </c>
      <c r="Y94" s="3">
        <v>326544</v>
      </c>
      <c r="Z94" s="4">
        <v>326543</v>
      </c>
      <c r="AA94" s="4">
        <v>326543</v>
      </c>
      <c r="AB94" s="4">
        <v>326543</v>
      </c>
      <c r="AC94" s="4">
        <v>326544</v>
      </c>
      <c r="AD94" s="4">
        <v>328646</v>
      </c>
      <c r="AE94" s="4">
        <v>657292</v>
      </c>
      <c r="AF94" s="4">
        <v>985938</v>
      </c>
      <c r="AG94" s="4">
        <v>1314584</v>
      </c>
      <c r="AH94" s="4">
        <v>1641128</v>
      </c>
      <c r="AI94" s="4">
        <v>1967672</v>
      </c>
      <c r="AJ94" s="4">
        <v>2294215</v>
      </c>
      <c r="AK94" s="4">
        <v>2620758</v>
      </c>
      <c r="AL94" s="4">
        <v>2947301</v>
      </c>
      <c r="AM94" s="4">
        <v>3273845</v>
      </c>
      <c r="AN94" s="150">
        <v>250530</v>
      </c>
    </row>
    <row r="95" spans="1:40" x14ac:dyDescent="0.2">
      <c r="A95" s="1">
        <v>2023</v>
      </c>
      <c r="B95" s="2" t="s">
        <v>115</v>
      </c>
      <c r="C95" s="2" t="s">
        <v>696</v>
      </c>
      <c r="D95" s="1" t="s">
        <v>468</v>
      </c>
      <c r="E95" s="3">
        <v>6366276</v>
      </c>
      <c r="F95" s="3">
        <v>763</v>
      </c>
      <c r="G95" s="3">
        <v>23597</v>
      </c>
      <c r="H95" s="1">
        <v>0</v>
      </c>
      <c r="I95" s="3">
        <v>6365513</v>
      </c>
      <c r="J95" s="3">
        <v>6341916</v>
      </c>
      <c r="K95" s="3">
        <v>6341916</v>
      </c>
      <c r="L95" s="3">
        <v>169736</v>
      </c>
      <c r="M95" s="3">
        <v>649882</v>
      </c>
      <c r="N95" s="3">
        <v>69697</v>
      </c>
      <c r="O95" s="3">
        <v>58223</v>
      </c>
      <c r="P95" s="3">
        <v>355439</v>
      </c>
      <c r="Q95" s="3">
        <v>5062536</v>
      </c>
      <c r="R95" s="3">
        <v>5038939</v>
      </c>
      <c r="S95" s="3">
        <v>5038939</v>
      </c>
      <c r="T95" s="3">
        <v>636551</v>
      </c>
      <c r="U95" s="3">
        <v>636551</v>
      </c>
      <c r="V95" s="3">
        <v>636551</v>
      </c>
      <c r="W95" s="3">
        <v>636551</v>
      </c>
      <c r="X95" s="3">
        <v>632619</v>
      </c>
      <c r="Y95" s="3">
        <v>632619</v>
      </c>
      <c r="Z95" s="4">
        <v>632619</v>
      </c>
      <c r="AA95" s="4">
        <v>632619</v>
      </c>
      <c r="AB95" s="4">
        <v>632619</v>
      </c>
      <c r="AC95" s="4">
        <v>632617</v>
      </c>
      <c r="AD95" s="4">
        <v>636551</v>
      </c>
      <c r="AE95" s="4">
        <v>1273102</v>
      </c>
      <c r="AF95" s="4">
        <v>1909653</v>
      </c>
      <c r="AG95" s="4">
        <v>2546204</v>
      </c>
      <c r="AH95" s="4">
        <v>3178823</v>
      </c>
      <c r="AI95" s="4">
        <v>3811442</v>
      </c>
      <c r="AJ95" s="4">
        <v>4444061</v>
      </c>
      <c r="AK95" s="4">
        <v>5076680</v>
      </c>
      <c r="AL95" s="4">
        <v>5709299</v>
      </c>
      <c r="AM95" s="4">
        <v>6341916</v>
      </c>
      <c r="AN95" s="150">
        <v>513029</v>
      </c>
    </row>
    <row r="96" spans="1:40" x14ac:dyDescent="0.2">
      <c r="A96" s="1">
        <v>2023</v>
      </c>
      <c r="B96" s="2" t="s">
        <v>116</v>
      </c>
      <c r="C96" s="2" t="s">
        <v>116</v>
      </c>
      <c r="D96" s="1" t="s">
        <v>469</v>
      </c>
      <c r="E96" s="3">
        <v>7477202</v>
      </c>
      <c r="F96" s="3">
        <v>1045</v>
      </c>
      <c r="G96" s="3">
        <v>23088</v>
      </c>
      <c r="H96" s="1">
        <v>0</v>
      </c>
      <c r="I96" s="3">
        <v>7476157</v>
      </c>
      <c r="J96" s="3">
        <v>7453069</v>
      </c>
      <c r="K96" s="3">
        <v>7453069</v>
      </c>
      <c r="L96" s="3">
        <v>232465</v>
      </c>
      <c r="M96" s="3">
        <v>632257</v>
      </c>
      <c r="N96" s="3">
        <v>77974</v>
      </c>
      <c r="O96" s="3">
        <v>69420</v>
      </c>
      <c r="P96" s="3">
        <v>347782</v>
      </c>
      <c r="Q96" s="3">
        <v>6116259</v>
      </c>
      <c r="R96" s="3">
        <v>6093171</v>
      </c>
      <c r="S96" s="3">
        <v>6093171</v>
      </c>
      <c r="T96" s="3">
        <v>747616</v>
      </c>
      <c r="U96" s="3">
        <v>747616</v>
      </c>
      <c r="V96" s="3">
        <v>747616</v>
      </c>
      <c r="W96" s="3">
        <v>747616</v>
      </c>
      <c r="X96" s="3">
        <v>743768</v>
      </c>
      <c r="Y96" s="3">
        <v>743768</v>
      </c>
      <c r="Z96" s="4">
        <v>743767</v>
      </c>
      <c r="AA96" s="4">
        <v>743767</v>
      </c>
      <c r="AB96" s="4">
        <v>743767</v>
      </c>
      <c r="AC96" s="4">
        <v>743768</v>
      </c>
      <c r="AD96" s="4">
        <v>747616</v>
      </c>
      <c r="AE96" s="4">
        <v>1495232</v>
      </c>
      <c r="AF96" s="4">
        <v>2242848</v>
      </c>
      <c r="AG96" s="4">
        <v>2990464</v>
      </c>
      <c r="AH96" s="4">
        <v>3734232</v>
      </c>
      <c r="AI96" s="4">
        <v>4478000</v>
      </c>
      <c r="AJ96" s="4">
        <v>5221767</v>
      </c>
      <c r="AK96" s="4">
        <v>5965534</v>
      </c>
      <c r="AL96" s="4">
        <v>6709301</v>
      </c>
      <c r="AM96" s="4">
        <v>7453069</v>
      </c>
      <c r="AN96" s="150">
        <v>490336</v>
      </c>
    </row>
    <row r="97" spans="1:40" x14ac:dyDescent="0.2">
      <c r="A97" s="1">
        <v>2023</v>
      </c>
      <c r="B97" s="2" t="s">
        <v>117</v>
      </c>
      <c r="C97" s="2" t="s">
        <v>117</v>
      </c>
      <c r="D97" s="1" t="s">
        <v>470</v>
      </c>
      <c r="E97" s="3">
        <v>3819690</v>
      </c>
      <c r="F97" s="1">
        <v>514</v>
      </c>
      <c r="G97" s="3">
        <v>13796</v>
      </c>
      <c r="H97" s="1">
        <v>0</v>
      </c>
      <c r="I97" s="3">
        <v>3819176</v>
      </c>
      <c r="J97" s="3">
        <v>3805380</v>
      </c>
      <c r="K97" s="3">
        <v>3805380</v>
      </c>
      <c r="L97" s="3">
        <v>114388</v>
      </c>
      <c r="M97" s="3">
        <v>389159</v>
      </c>
      <c r="N97" s="3">
        <v>44995</v>
      </c>
      <c r="O97" s="3">
        <v>39762</v>
      </c>
      <c r="P97" s="3">
        <v>207810</v>
      </c>
      <c r="Q97" s="3">
        <v>3023062</v>
      </c>
      <c r="R97" s="3">
        <v>3009266</v>
      </c>
      <c r="S97" s="3">
        <v>3009266</v>
      </c>
      <c r="T97" s="3">
        <v>381918</v>
      </c>
      <c r="U97" s="3">
        <v>381918</v>
      </c>
      <c r="V97" s="3">
        <v>381918</v>
      </c>
      <c r="W97" s="3">
        <v>381918</v>
      </c>
      <c r="X97" s="3">
        <v>379618</v>
      </c>
      <c r="Y97" s="3">
        <v>379618</v>
      </c>
      <c r="Z97" s="4">
        <v>379618</v>
      </c>
      <c r="AA97" s="4">
        <v>379618</v>
      </c>
      <c r="AB97" s="4">
        <v>379618</v>
      </c>
      <c r="AC97" s="4">
        <v>379618</v>
      </c>
      <c r="AD97" s="4">
        <v>381918</v>
      </c>
      <c r="AE97" s="4">
        <v>763836</v>
      </c>
      <c r="AF97" s="4">
        <v>1145754</v>
      </c>
      <c r="AG97" s="4">
        <v>1527672</v>
      </c>
      <c r="AH97" s="4">
        <v>1907290</v>
      </c>
      <c r="AI97" s="4">
        <v>2286908</v>
      </c>
      <c r="AJ97" s="4">
        <v>2666526</v>
      </c>
      <c r="AK97" s="4">
        <v>3046144</v>
      </c>
      <c r="AL97" s="4">
        <v>3425762</v>
      </c>
      <c r="AM97" s="4">
        <v>3805380</v>
      </c>
      <c r="AN97" s="150">
        <v>264673</v>
      </c>
    </row>
    <row r="98" spans="1:40" x14ac:dyDescent="0.2">
      <c r="A98" s="1">
        <v>2023</v>
      </c>
      <c r="B98" s="2" t="s">
        <v>118</v>
      </c>
      <c r="C98" s="2" t="s">
        <v>118</v>
      </c>
      <c r="D98" s="1" t="s">
        <v>471</v>
      </c>
      <c r="E98" s="3">
        <v>3829322</v>
      </c>
      <c r="F98" s="1">
        <v>498</v>
      </c>
      <c r="G98" s="3">
        <v>13124</v>
      </c>
      <c r="H98" s="1">
        <v>0</v>
      </c>
      <c r="I98" s="3">
        <v>3828824</v>
      </c>
      <c r="J98" s="3">
        <v>3815700</v>
      </c>
      <c r="K98" s="3">
        <v>3815700</v>
      </c>
      <c r="L98" s="3">
        <v>110697</v>
      </c>
      <c r="M98" s="3">
        <v>383700</v>
      </c>
      <c r="N98" s="3">
        <v>40968</v>
      </c>
      <c r="O98" s="3">
        <v>38857</v>
      </c>
      <c r="P98" s="3">
        <v>197685</v>
      </c>
      <c r="Q98" s="3">
        <v>3056917</v>
      </c>
      <c r="R98" s="3">
        <v>3043793</v>
      </c>
      <c r="S98" s="3">
        <v>3043793</v>
      </c>
      <c r="T98" s="3">
        <v>382882</v>
      </c>
      <c r="U98" s="3">
        <v>382882</v>
      </c>
      <c r="V98" s="3">
        <v>382882</v>
      </c>
      <c r="W98" s="3">
        <v>382882</v>
      </c>
      <c r="X98" s="3">
        <v>380695</v>
      </c>
      <c r="Y98" s="3">
        <v>380695</v>
      </c>
      <c r="Z98" s="4">
        <v>380696</v>
      </c>
      <c r="AA98" s="4">
        <v>380696</v>
      </c>
      <c r="AB98" s="4">
        <v>380696</v>
      </c>
      <c r="AC98" s="4">
        <v>380694</v>
      </c>
      <c r="AD98" s="4">
        <v>382882</v>
      </c>
      <c r="AE98" s="4">
        <v>765764</v>
      </c>
      <c r="AF98" s="4">
        <v>1148646</v>
      </c>
      <c r="AG98" s="4">
        <v>1531528</v>
      </c>
      <c r="AH98" s="4">
        <v>1912223</v>
      </c>
      <c r="AI98" s="4">
        <v>2292918</v>
      </c>
      <c r="AJ98" s="4">
        <v>2673614</v>
      </c>
      <c r="AK98" s="4">
        <v>3054310</v>
      </c>
      <c r="AL98" s="4">
        <v>3435006</v>
      </c>
      <c r="AM98" s="4">
        <v>3815700</v>
      </c>
      <c r="AN98" s="150">
        <v>280439</v>
      </c>
    </row>
    <row r="99" spans="1:40" x14ac:dyDescent="0.2">
      <c r="A99" s="1">
        <v>2023</v>
      </c>
      <c r="B99" s="2" t="s">
        <v>119</v>
      </c>
      <c r="C99" s="2" t="s">
        <v>119</v>
      </c>
      <c r="D99" s="1" t="s">
        <v>472</v>
      </c>
      <c r="E99" s="3">
        <v>3761215</v>
      </c>
      <c r="F99" s="1">
        <v>365</v>
      </c>
      <c r="G99" s="3">
        <v>13276</v>
      </c>
      <c r="H99" s="1">
        <v>0</v>
      </c>
      <c r="I99" s="3">
        <v>3760850</v>
      </c>
      <c r="J99" s="3">
        <v>3747574</v>
      </c>
      <c r="K99" s="3">
        <v>3747574</v>
      </c>
      <c r="L99" s="3">
        <v>81178</v>
      </c>
      <c r="M99" s="3">
        <v>361647</v>
      </c>
      <c r="N99" s="3">
        <v>37469</v>
      </c>
      <c r="O99" s="3">
        <v>39794</v>
      </c>
      <c r="P99" s="3">
        <v>199974</v>
      </c>
      <c r="Q99" s="3">
        <v>3040788</v>
      </c>
      <c r="R99" s="3">
        <v>3027512</v>
      </c>
      <c r="S99" s="3">
        <v>3027512</v>
      </c>
      <c r="T99" s="3">
        <v>376085</v>
      </c>
      <c r="U99" s="3">
        <v>376085</v>
      </c>
      <c r="V99" s="3">
        <v>376085</v>
      </c>
      <c r="W99" s="3">
        <v>376085</v>
      </c>
      <c r="X99" s="3">
        <v>373872</v>
      </c>
      <c r="Y99" s="3">
        <v>373872</v>
      </c>
      <c r="Z99" s="4">
        <v>373873</v>
      </c>
      <c r="AA99" s="4">
        <v>373873</v>
      </c>
      <c r="AB99" s="4">
        <v>373873</v>
      </c>
      <c r="AC99" s="4">
        <v>373871</v>
      </c>
      <c r="AD99" s="4">
        <v>376085</v>
      </c>
      <c r="AE99" s="4">
        <v>752170</v>
      </c>
      <c r="AF99" s="4">
        <v>1128255</v>
      </c>
      <c r="AG99" s="4">
        <v>1504340</v>
      </c>
      <c r="AH99" s="4">
        <v>1878212</v>
      </c>
      <c r="AI99" s="4">
        <v>2252084</v>
      </c>
      <c r="AJ99" s="4">
        <v>2625957</v>
      </c>
      <c r="AK99" s="4">
        <v>2999830</v>
      </c>
      <c r="AL99" s="4">
        <v>3373703</v>
      </c>
      <c r="AM99" s="4">
        <v>3747574</v>
      </c>
      <c r="AN99" s="150">
        <v>274895</v>
      </c>
    </row>
    <row r="100" spans="1:40" x14ac:dyDescent="0.2">
      <c r="A100" s="1">
        <v>2023</v>
      </c>
      <c r="B100" s="2" t="s">
        <v>120</v>
      </c>
      <c r="C100" s="2" t="s">
        <v>120</v>
      </c>
      <c r="D100" s="1" t="s">
        <v>473</v>
      </c>
      <c r="E100" s="3">
        <v>3587447</v>
      </c>
      <c r="F100" s="1">
        <v>381</v>
      </c>
      <c r="G100" s="3">
        <v>11449</v>
      </c>
      <c r="H100" s="1">
        <v>0</v>
      </c>
      <c r="I100" s="3">
        <v>3587066</v>
      </c>
      <c r="J100" s="3">
        <v>3575617</v>
      </c>
      <c r="K100" s="3">
        <v>3575617</v>
      </c>
      <c r="L100" s="3">
        <v>84869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2931058</v>
      </c>
      <c r="R100" s="3">
        <v>2919609</v>
      </c>
      <c r="S100" s="3">
        <v>2919609</v>
      </c>
      <c r="T100" s="3">
        <v>358707</v>
      </c>
      <c r="U100" s="3">
        <v>358707</v>
      </c>
      <c r="V100" s="3">
        <v>358707</v>
      </c>
      <c r="W100" s="3">
        <v>358707</v>
      </c>
      <c r="X100" s="3">
        <v>356798</v>
      </c>
      <c r="Y100" s="3">
        <v>356798</v>
      </c>
      <c r="Z100" s="4">
        <v>356798</v>
      </c>
      <c r="AA100" s="4">
        <v>356798</v>
      </c>
      <c r="AB100" s="4">
        <v>356798</v>
      </c>
      <c r="AC100" s="4">
        <v>356799</v>
      </c>
      <c r="AD100" s="4">
        <v>358707</v>
      </c>
      <c r="AE100" s="4">
        <v>717414</v>
      </c>
      <c r="AF100" s="4">
        <v>1076121</v>
      </c>
      <c r="AG100" s="4">
        <v>1434828</v>
      </c>
      <c r="AH100" s="4">
        <v>1791626</v>
      </c>
      <c r="AI100" s="4">
        <v>2148424</v>
      </c>
      <c r="AJ100" s="4">
        <v>2505222</v>
      </c>
      <c r="AK100" s="4">
        <v>2862020</v>
      </c>
      <c r="AL100" s="4">
        <v>3218818</v>
      </c>
      <c r="AM100" s="4">
        <v>3575617</v>
      </c>
      <c r="AN100" s="150">
        <v>232096</v>
      </c>
    </row>
    <row r="101" spans="1:40" x14ac:dyDescent="0.2">
      <c r="A101" s="1">
        <v>2023</v>
      </c>
      <c r="B101" s="2" t="s">
        <v>121</v>
      </c>
      <c r="C101" s="2" t="s">
        <v>121</v>
      </c>
      <c r="D101" s="1" t="s">
        <v>474</v>
      </c>
      <c r="E101" s="3">
        <v>1921672</v>
      </c>
      <c r="F101" s="3">
        <v>531</v>
      </c>
      <c r="G101" s="3">
        <v>7846</v>
      </c>
      <c r="H101" s="1">
        <v>0</v>
      </c>
      <c r="I101" s="3">
        <v>1921141</v>
      </c>
      <c r="J101" s="3">
        <v>1913295</v>
      </c>
      <c r="K101" s="3">
        <v>1913295</v>
      </c>
      <c r="L101" s="3">
        <v>118077</v>
      </c>
      <c r="M101" s="3">
        <v>234378</v>
      </c>
      <c r="N101" s="3">
        <v>27227</v>
      </c>
      <c r="O101" s="3">
        <v>22616</v>
      </c>
      <c r="P101" s="3">
        <v>118181</v>
      </c>
      <c r="Q101" s="3">
        <v>1400662</v>
      </c>
      <c r="R101" s="3">
        <v>1392816</v>
      </c>
      <c r="S101" s="3">
        <v>1392816</v>
      </c>
      <c r="T101" s="3">
        <v>192114</v>
      </c>
      <c r="U101" s="3">
        <v>192114</v>
      </c>
      <c r="V101" s="3">
        <v>192114</v>
      </c>
      <c r="W101" s="3">
        <v>192114</v>
      </c>
      <c r="X101" s="3">
        <v>190807</v>
      </c>
      <c r="Y101" s="3">
        <v>190807</v>
      </c>
      <c r="Z101" s="4">
        <v>190806</v>
      </c>
      <c r="AA101" s="4">
        <v>190806</v>
      </c>
      <c r="AB101" s="4">
        <v>190806</v>
      </c>
      <c r="AC101" s="4">
        <v>190807</v>
      </c>
      <c r="AD101" s="4">
        <v>192114</v>
      </c>
      <c r="AE101" s="4">
        <v>384228</v>
      </c>
      <c r="AF101" s="4">
        <v>576342</v>
      </c>
      <c r="AG101" s="4">
        <v>768456</v>
      </c>
      <c r="AH101" s="4">
        <v>959263</v>
      </c>
      <c r="AI101" s="4">
        <v>1150070</v>
      </c>
      <c r="AJ101" s="4">
        <v>1340876</v>
      </c>
      <c r="AK101" s="4">
        <v>1531682</v>
      </c>
      <c r="AL101" s="4">
        <v>1722488</v>
      </c>
      <c r="AM101" s="4">
        <v>1913295</v>
      </c>
      <c r="AN101" s="150">
        <v>160492</v>
      </c>
    </row>
    <row r="102" spans="1:40" x14ac:dyDescent="0.2">
      <c r="A102" s="1">
        <v>2023</v>
      </c>
      <c r="B102" s="2" t="s">
        <v>122</v>
      </c>
      <c r="C102" s="2" t="s">
        <v>122</v>
      </c>
      <c r="D102" s="1" t="s">
        <v>475</v>
      </c>
      <c r="E102" s="3">
        <v>2068211</v>
      </c>
      <c r="F102" s="1">
        <v>282</v>
      </c>
      <c r="G102" s="3">
        <v>8817</v>
      </c>
      <c r="H102" s="3">
        <v>0</v>
      </c>
      <c r="I102" s="3">
        <v>2067929</v>
      </c>
      <c r="J102" s="3">
        <v>2059112</v>
      </c>
      <c r="K102" s="3">
        <v>2059112</v>
      </c>
      <c r="L102" s="3">
        <v>62729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1526382</v>
      </c>
      <c r="R102" s="3">
        <v>1517565</v>
      </c>
      <c r="S102" s="3">
        <v>1517565</v>
      </c>
      <c r="T102" s="3">
        <v>206793</v>
      </c>
      <c r="U102" s="3">
        <v>206793</v>
      </c>
      <c r="V102" s="3">
        <v>206793</v>
      </c>
      <c r="W102" s="3">
        <v>206793</v>
      </c>
      <c r="X102" s="3">
        <v>205323</v>
      </c>
      <c r="Y102" s="3">
        <v>205323</v>
      </c>
      <c r="Z102" s="4">
        <v>205324</v>
      </c>
      <c r="AA102" s="4">
        <v>205324</v>
      </c>
      <c r="AB102" s="4">
        <v>205324</v>
      </c>
      <c r="AC102" s="4">
        <v>205322</v>
      </c>
      <c r="AD102" s="4">
        <v>206793</v>
      </c>
      <c r="AE102" s="4">
        <v>413586</v>
      </c>
      <c r="AF102" s="4">
        <v>620379</v>
      </c>
      <c r="AG102" s="4">
        <v>827172</v>
      </c>
      <c r="AH102" s="4">
        <v>1032495</v>
      </c>
      <c r="AI102" s="4">
        <v>1237818</v>
      </c>
      <c r="AJ102" s="4">
        <v>1443142</v>
      </c>
      <c r="AK102" s="4">
        <v>1648466</v>
      </c>
      <c r="AL102" s="4">
        <v>1853790</v>
      </c>
      <c r="AM102" s="4">
        <v>2059112</v>
      </c>
      <c r="AN102" s="150">
        <v>187417</v>
      </c>
    </row>
    <row r="103" spans="1:40" x14ac:dyDescent="0.2">
      <c r="A103" s="1">
        <v>2023</v>
      </c>
      <c r="B103" s="2" t="s">
        <v>123</v>
      </c>
      <c r="C103" s="2" t="s">
        <v>123</v>
      </c>
      <c r="D103" s="1" t="s">
        <v>476</v>
      </c>
      <c r="E103" s="3">
        <v>2545438</v>
      </c>
      <c r="F103" s="1">
        <v>547</v>
      </c>
      <c r="G103" s="3">
        <v>9478</v>
      </c>
      <c r="H103" s="1">
        <v>0</v>
      </c>
      <c r="I103" s="3">
        <v>2544891</v>
      </c>
      <c r="J103" s="3">
        <v>2535413</v>
      </c>
      <c r="K103" s="3">
        <v>2535413</v>
      </c>
      <c r="L103" s="3">
        <v>121768</v>
      </c>
      <c r="M103" s="3">
        <v>276076</v>
      </c>
      <c r="N103" s="3">
        <v>33149</v>
      </c>
      <c r="O103" s="3">
        <v>30847</v>
      </c>
      <c r="P103" s="3">
        <v>142762</v>
      </c>
      <c r="Q103" s="3">
        <v>1940289</v>
      </c>
      <c r="R103" s="3">
        <v>1930811</v>
      </c>
      <c r="S103" s="3">
        <v>1930811</v>
      </c>
      <c r="T103" s="3">
        <v>254489</v>
      </c>
      <c r="U103" s="3">
        <v>254489</v>
      </c>
      <c r="V103" s="3">
        <v>254489</v>
      </c>
      <c r="W103" s="3">
        <v>254489</v>
      </c>
      <c r="X103" s="3">
        <v>252910</v>
      </c>
      <c r="Y103" s="3">
        <v>252910</v>
      </c>
      <c r="Z103" s="4">
        <v>252909</v>
      </c>
      <c r="AA103" s="4">
        <v>252909</v>
      </c>
      <c r="AB103" s="4">
        <v>252909</v>
      </c>
      <c r="AC103" s="4">
        <v>252910</v>
      </c>
      <c r="AD103" s="4">
        <v>254489</v>
      </c>
      <c r="AE103" s="4">
        <v>508978</v>
      </c>
      <c r="AF103" s="4">
        <v>763467</v>
      </c>
      <c r="AG103" s="4">
        <v>1017956</v>
      </c>
      <c r="AH103" s="4">
        <v>1270866</v>
      </c>
      <c r="AI103" s="4">
        <v>1523776</v>
      </c>
      <c r="AJ103" s="4">
        <v>1776685</v>
      </c>
      <c r="AK103" s="4">
        <v>2029594</v>
      </c>
      <c r="AL103" s="4">
        <v>2282503</v>
      </c>
      <c r="AM103" s="4">
        <v>2535413</v>
      </c>
      <c r="AN103" s="150">
        <v>189054</v>
      </c>
    </row>
    <row r="104" spans="1:40" x14ac:dyDescent="0.2">
      <c r="A104" s="1">
        <v>2023</v>
      </c>
      <c r="B104" s="2" t="s">
        <v>124</v>
      </c>
      <c r="C104" s="2" t="s">
        <v>124</v>
      </c>
      <c r="D104" s="1" t="s">
        <v>477</v>
      </c>
      <c r="E104" s="3">
        <v>3885224</v>
      </c>
      <c r="F104" s="1">
        <v>630</v>
      </c>
      <c r="G104" s="3">
        <v>12639</v>
      </c>
      <c r="H104" s="1">
        <v>0</v>
      </c>
      <c r="I104" s="3">
        <v>3884594</v>
      </c>
      <c r="J104" s="3">
        <v>3871955</v>
      </c>
      <c r="K104" s="3">
        <v>3871955</v>
      </c>
      <c r="L104" s="3">
        <v>140217</v>
      </c>
      <c r="M104" s="3">
        <v>371705</v>
      </c>
      <c r="N104" s="3">
        <v>43170</v>
      </c>
      <c r="O104" s="3">
        <v>43204</v>
      </c>
      <c r="P104" s="3">
        <v>199912</v>
      </c>
      <c r="Q104" s="3">
        <v>3086386</v>
      </c>
      <c r="R104" s="3">
        <v>3073747</v>
      </c>
      <c r="S104" s="3">
        <v>3073747</v>
      </c>
      <c r="T104" s="3">
        <v>388459</v>
      </c>
      <c r="U104" s="3">
        <v>388459</v>
      </c>
      <c r="V104" s="3">
        <v>388459</v>
      </c>
      <c r="W104" s="3">
        <v>388459</v>
      </c>
      <c r="X104" s="3">
        <v>386353</v>
      </c>
      <c r="Y104" s="3">
        <v>386353</v>
      </c>
      <c r="Z104" s="4">
        <v>386353</v>
      </c>
      <c r="AA104" s="4">
        <v>386353</v>
      </c>
      <c r="AB104" s="4">
        <v>386353</v>
      </c>
      <c r="AC104" s="4">
        <v>386354</v>
      </c>
      <c r="AD104" s="4">
        <v>388459</v>
      </c>
      <c r="AE104" s="4">
        <v>776918</v>
      </c>
      <c r="AF104" s="4">
        <v>1165377</v>
      </c>
      <c r="AG104" s="4">
        <v>1553836</v>
      </c>
      <c r="AH104" s="4">
        <v>1940189</v>
      </c>
      <c r="AI104" s="4">
        <v>2326542</v>
      </c>
      <c r="AJ104" s="4">
        <v>2712895</v>
      </c>
      <c r="AK104" s="4">
        <v>3099248</v>
      </c>
      <c r="AL104" s="4">
        <v>3485601</v>
      </c>
      <c r="AM104" s="4">
        <v>3871955</v>
      </c>
      <c r="AN104" s="150">
        <v>300421</v>
      </c>
    </row>
    <row r="105" spans="1:40" x14ac:dyDescent="0.2">
      <c r="A105" s="1">
        <v>2023</v>
      </c>
      <c r="B105" s="2" t="s">
        <v>125</v>
      </c>
      <c r="C105" s="2" t="s">
        <v>125</v>
      </c>
      <c r="D105" s="1" t="s">
        <v>478</v>
      </c>
      <c r="E105" s="3">
        <v>3966178</v>
      </c>
      <c r="F105" s="3">
        <v>962</v>
      </c>
      <c r="G105" s="3">
        <v>15426</v>
      </c>
      <c r="H105" s="1">
        <v>0</v>
      </c>
      <c r="I105" s="3">
        <v>3965216</v>
      </c>
      <c r="J105" s="3">
        <v>3949790</v>
      </c>
      <c r="K105" s="3">
        <v>3949790</v>
      </c>
      <c r="L105" s="3">
        <v>214015</v>
      </c>
      <c r="M105" s="3">
        <v>413181</v>
      </c>
      <c r="N105" s="3">
        <v>49640</v>
      </c>
      <c r="O105" s="3">
        <v>48179</v>
      </c>
      <c r="P105" s="3">
        <v>232355</v>
      </c>
      <c r="Q105" s="3">
        <v>3007846</v>
      </c>
      <c r="R105" s="3">
        <v>2992420</v>
      </c>
      <c r="S105" s="3">
        <v>2992420</v>
      </c>
      <c r="T105" s="3">
        <v>396522</v>
      </c>
      <c r="U105" s="3">
        <v>396522</v>
      </c>
      <c r="V105" s="3">
        <v>396522</v>
      </c>
      <c r="W105" s="3">
        <v>396522</v>
      </c>
      <c r="X105" s="3">
        <v>393950</v>
      </c>
      <c r="Y105" s="3">
        <v>393950</v>
      </c>
      <c r="Z105" s="4">
        <v>393951</v>
      </c>
      <c r="AA105" s="4">
        <v>393951</v>
      </c>
      <c r="AB105" s="4">
        <v>393951</v>
      </c>
      <c r="AC105" s="4">
        <v>393949</v>
      </c>
      <c r="AD105" s="4">
        <v>396522</v>
      </c>
      <c r="AE105" s="4">
        <v>793044</v>
      </c>
      <c r="AF105" s="4">
        <v>1189566</v>
      </c>
      <c r="AG105" s="4">
        <v>1586088</v>
      </c>
      <c r="AH105" s="4">
        <v>1980038</v>
      </c>
      <c r="AI105" s="4">
        <v>2373988</v>
      </c>
      <c r="AJ105" s="4">
        <v>2767939</v>
      </c>
      <c r="AK105" s="4">
        <v>3161890</v>
      </c>
      <c r="AL105" s="4">
        <v>3555841</v>
      </c>
      <c r="AM105" s="4">
        <v>3949790</v>
      </c>
      <c r="AN105" s="150">
        <v>337193</v>
      </c>
    </row>
    <row r="106" spans="1:40" x14ac:dyDescent="0.2">
      <c r="A106" s="1">
        <v>2023</v>
      </c>
      <c r="B106" s="2" t="s">
        <v>126</v>
      </c>
      <c r="C106" s="2" t="s">
        <v>126</v>
      </c>
      <c r="D106" s="1" t="s">
        <v>479</v>
      </c>
      <c r="E106" s="3">
        <v>3191363</v>
      </c>
      <c r="F106" s="1">
        <v>514</v>
      </c>
      <c r="G106" s="3">
        <v>11435</v>
      </c>
      <c r="H106" s="1">
        <v>0</v>
      </c>
      <c r="I106" s="3">
        <v>3190849</v>
      </c>
      <c r="J106" s="3">
        <v>3179414</v>
      </c>
      <c r="K106" s="3">
        <v>3179414</v>
      </c>
      <c r="L106" s="3">
        <v>121615</v>
      </c>
      <c r="M106" s="3">
        <v>354176</v>
      </c>
      <c r="N106" s="3">
        <v>38733</v>
      </c>
      <c r="O106" s="3">
        <v>37573</v>
      </c>
      <c r="P106" s="3">
        <v>172245</v>
      </c>
      <c r="Q106" s="3">
        <v>2466507</v>
      </c>
      <c r="R106" s="3">
        <v>2455072</v>
      </c>
      <c r="S106" s="3">
        <v>2455072</v>
      </c>
      <c r="T106" s="3">
        <v>319085</v>
      </c>
      <c r="U106" s="3">
        <v>319085</v>
      </c>
      <c r="V106" s="3">
        <v>319085</v>
      </c>
      <c r="W106" s="3">
        <v>319085</v>
      </c>
      <c r="X106" s="3">
        <v>317179</v>
      </c>
      <c r="Y106" s="3">
        <v>317179</v>
      </c>
      <c r="Z106" s="4">
        <v>317179</v>
      </c>
      <c r="AA106" s="4">
        <v>317179</v>
      </c>
      <c r="AB106" s="4">
        <v>317179</v>
      </c>
      <c r="AC106" s="4">
        <v>317179</v>
      </c>
      <c r="AD106" s="4">
        <v>319085</v>
      </c>
      <c r="AE106" s="4">
        <v>638170</v>
      </c>
      <c r="AF106" s="4">
        <v>957255</v>
      </c>
      <c r="AG106" s="4">
        <v>1276340</v>
      </c>
      <c r="AH106" s="4">
        <v>1593519</v>
      </c>
      <c r="AI106" s="4">
        <v>1910698</v>
      </c>
      <c r="AJ106" s="4">
        <v>2227877</v>
      </c>
      <c r="AK106" s="4">
        <v>2545056</v>
      </c>
      <c r="AL106" s="4">
        <v>2862235</v>
      </c>
      <c r="AM106" s="4">
        <v>3179414</v>
      </c>
      <c r="AN106" s="150">
        <v>222077</v>
      </c>
    </row>
    <row r="107" spans="1:40" x14ac:dyDescent="0.2">
      <c r="A107" s="1">
        <v>2023</v>
      </c>
      <c r="B107" s="2" t="s">
        <v>127</v>
      </c>
      <c r="C107" s="2" t="s">
        <v>127</v>
      </c>
      <c r="D107" s="1" t="s">
        <v>480</v>
      </c>
      <c r="E107" s="3">
        <v>1258084</v>
      </c>
      <c r="F107" s="3">
        <v>282</v>
      </c>
      <c r="G107" s="3">
        <v>4356</v>
      </c>
      <c r="H107" s="1">
        <v>0</v>
      </c>
      <c r="I107" s="3">
        <v>1257802</v>
      </c>
      <c r="J107" s="3">
        <v>1253446</v>
      </c>
      <c r="K107" s="3">
        <v>1253446</v>
      </c>
      <c r="L107" s="3">
        <v>62729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960433</v>
      </c>
      <c r="R107" s="3">
        <v>956077</v>
      </c>
      <c r="S107" s="3">
        <v>956077</v>
      </c>
      <c r="T107" s="3">
        <v>125780</v>
      </c>
      <c r="U107" s="3">
        <v>125780</v>
      </c>
      <c r="V107" s="3">
        <v>125780</v>
      </c>
      <c r="W107" s="3">
        <v>125780</v>
      </c>
      <c r="X107" s="3">
        <v>125054</v>
      </c>
      <c r="Y107" s="3">
        <v>125054</v>
      </c>
      <c r="Z107" s="4">
        <v>125055</v>
      </c>
      <c r="AA107" s="4">
        <v>125055</v>
      </c>
      <c r="AB107" s="4">
        <v>125055</v>
      </c>
      <c r="AC107" s="4">
        <v>125053</v>
      </c>
      <c r="AD107" s="4">
        <v>125780</v>
      </c>
      <c r="AE107" s="4">
        <v>251560</v>
      </c>
      <c r="AF107" s="4">
        <v>377340</v>
      </c>
      <c r="AG107" s="4">
        <v>503120</v>
      </c>
      <c r="AH107" s="4">
        <v>628174</v>
      </c>
      <c r="AI107" s="4">
        <v>753228</v>
      </c>
      <c r="AJ107" s="4">
        <v>878283</v>
      </c>
      <c r="AK107" s="4">
        <v>1003338</v>
      </c>
      <c r="AL107" s="4">
        <v>1128393</v>
      </c>
      <c r="AM107" s="4">
        <v>1253446</v>
      </c>
      <c r="AN107" s="150">
        <v>91971</v>
      </c>
    </row>
    <row r="108" spans="1:40" x14ac:dyDescent="0.2">
      <c r="A108" s="1">
        <v>2023</v>
      </c>
      <c r="B108" s="2" t="s">
        <v>128</v>
      </c>
      <c r="C108" s="2" t="s">
        <v>128</v>
      </c>
      <c r="D108" s="1" t="s">
        <v>481</v>
      </c>
      <c r="E108" s="3">
        <v>8638849</v>
      </c>
      <c r="F108" s="3">
        <v>1061</v>
      </c>
      <c r="G108" s="3">
        <v>29029</v>
      </c>
      <c r="H108" s="1">
        <v>0</v>
      </c>
      <c r="I108" s="3">
        <v>8637788</v>
      </c>
      <c r="J108" s="3">
        <v>8608759</v>
      </c>
      <c r="K108" s="3">
        <v>8608759</v>
      </c>
      <c r="L108" s="3">
        <v>236155</v>
      </c>
      <c r="M108" s="3">
        <v>784723</v>
      </c>
      <c r="N108" s="3">
        <v>99626</v>
      </c>
      <c r="O108" s="3">
        <v>88003</v>
      </c>
      <c r="P108" s="3">
        <v>437267</v>
      </c>
      <c r="Q108" s="3">
        <v>6992014</v>
      </c>
      <c r="R108" s="3">
        <v>6962985</v>
      </c>
      <c r="S108" s="3">
        <v>6962985</v>
      </c>
      <c r="T108" s="3">
        <v>863779</v>
      </c>
      <c r="U108" s="3">
        <v>863779</v>
      </c>
      <c r="V108" s="3">
        <v>863779</v>
      </c>
      <c r="W108" s="3">
        <v>863779</v>
      </c>
      <c r="X108" s="3">
        <v>858941</v>
      </c>
      <c r="Y108" s="3">
        <v>858941</v>
      </c>
      <c r="Z108" s="4">
        <v>858940</v>
      </c>
      <c r="AA108" s="4">
        <v>858940</v>
      </c>
      <c r="AB108" s="4">
        <v>858940</v>
      </c>
      <c r="AC108" s="4">
        <v>858941</v>
      </c>
      <c r="AD108" s="4">
        <v>863779</v>
      </c>
      <c r="AE108" s="4">
        <v>1727558</v>
      </c>
      <c r="AF108" s="4">
        <v>2591337</v>
      </c>
      <c r="AG108" s="4">
        <v>3455116</v>
      </c>
      <c r="AH108" s="4">
        <v>4314057</v>
      </c>
      <c r="AI108" s="4">
        <v>5172998</v>
      </c>
      <c r="AJ108" s="4">
        <v>6031938</v>
      </c>
      <c r="AK108" s="4">
        <v>6890878</v>
      </c>
      <c r="AL108" s="4">
        <v>7749818</v>
      </c>
      <c r="AM108" s="4">
        <v>8608759</v>
      </c>
      <c r="AN108" s="150">
        <v>602317</v>
      </c>
    </row>
    <row r="109" spans="1:40" x14ac:dyDescent="0.2">
      <c r="A109" s="1">
        <v>2023</v>
      </c>
      <c r="B109" s="2" t="s">
        <v>129</v>
      </c>
      <c r="C109" s="2" t="s">
        <v>129</v>
      </c>
      <c r="D109" s="1" t="s">
        <v>482</v>
      </c>
      <c r="E109" s="3">
        <v>2451088</v>
      </c>
      <c r="F109" s="1">
        <v>381</v>
      </c>
      <c r="G109" s="3">
        <v>9668</v>
      </c>
      <c r="H109" s="1">
        <v>0</v>
      </c>
      <c r="I109" s="3">
        <v>2450707</v>
      </c>
      <c r="J109" s="3">
        <v>2441039</v>
      </c>
      <c r="K109" s="3">
        <v>2441039</v>
      </c>
      <c r="L109" s="3">
        <v>84869</v>
      </c>
      <c r="M109" s="3">
        <v>294102</v>
      </c>
      <c r="N109" s="3">
        <v>30203</v>
      </c>
      <c r="O109" s="3">
        <v>31180</v>
      </c>
      <c r="P109" s="3">
        <v>145625</v>
      </c>
      <c r="Q109" s="3">
        <v>1864728</v>
      </c>
      <c r="R109" s="3">
        <v>1855060</v>
      </c>
      <c r="S109" s="3">
        <v>1855060</v>
      </c>
      <c r="T109" s="3">
        <v>245071</v>
      </c>
      <c r="U109" s="3">
        <v>245071</v>
      </c>
      <c r="V109" s="3">
        <v>245071</v>
      </c>
      <c r="W109" s="3">
        <v>245071</v>
      </c>
      <c r="X109" s="3">
        <v>243459</v>
      </c>
      <c r="Y109" s="3">
        <v>243459</v>
      </c>
      <c r="Z109" s="4">
        <v>243459</v>
      </c>
      <c r="AA109" s="4">
        <v>243459</v>
      </c>
      <c r="AB109" s="4">
        <v>243459</v>
      </c>
      <c r="AC109" s="4">
        <v>243460</v>
      </c>
      <c r="AD109" s="4">
        <v>245071</v>
      </c>
      <c r="AE109" s="4">
        <v>490142</v>
      </c>
      <c r="AF109" s="4">
        <v>735213</v>
      </c>
      <c r="AG109" s="4">
        <v>980284</v>
      </c>
      <c r="AH109" s="4">
        <v>1223743</v>
      </c>
      <c r="AI109" s="4">
        <v>1467202</v>
      </c>
      <c r="AJ109" s="4">
        <v>1710661</v>
      </c>
      <c r="AK109" s="4">
        <v>1954120</v>
      </c>
      <c r="AL109" s="4">
        <v>2197579</v>
      </c>
      <c r="AM109" s="4">
        <v>2441039</v>
      </c>
      <c r="AN109" s="150">
        <v>189581</v>
      </c>
    </row>
    <row r="110" spans="1:40" x14ac:dyDescent="0.2">
      <c r="A110" s="1">
        <v>2023</v>
      </c>
      <c r="B110" s="2" t="s">
        <v>130</v>
      </c>
      <c r="C110" s="2" t="s">
        <v>130</v>
      </c>
      <c r="D110" s="1" t="s">
        <v>483</v>
      </c>
      <c r="E110" s="3">
        <v>9958266</v>
      </c>
      <c r="F110" s="3">
        <v>995</v>
      </c>
      <c r="G110" s="3">
        <v>38181</v>
      </c>
      <c r="H110" s="1">
        <v>0</v>
      </c>
      <c r="I110" s="3">
        <v>9957271</v>
      </c>
      <c r="J110" s="3">
        <v>9919090</v>
      </c>
      <c r="K110" s="3">
        <v>9919090</v>
      </c>
      <c r="L110" s="3">
        <v>221395</v>
      </c>
      <c r="M110" s="3">
        <v>1048732</v>
      </c>
      <c r="N110" s="3">
        <v>121214</v>
      </c>
      <c r="O110" s="3">
        <v>110525</v>
      </c>
      <c r="P110" s="3">
        <v>575128</v>
      </c>
      <c r="Q110" s="3">
        <v>7880277</v>
      </c>
      <c r="R110" s="3">
        <v>7842096</v>
      </c>
      <c r="S110" s="3">
        <v>7842096</v>
      </c>
      <c r="T110" s="3">
        <v>995727</v>
      </c>
      <c r="U110" s="3">
        <v>995727</v>
      </c>
      <c r="V110" s="3">
        <v>995727</v>
      </c>
      <c r="W110" s="3">
        <v>995727</v>
      </c>
      <c r="X110" s="3">
        <v>989364</v>
      </c>
      <c r="Y110" s="3">
        <v>989364</v>
      </c>
      <c r="Z110" s="4">
        <v>989364</v>
      </c>
      <c r="AA110" s="4">
        <v>989364</v>
      </c>
      <c r="AB110" s="4">
        <v>989364</v>
      </c>
      <c r="AC110" s="4">
        <v>989362</v>
      </c>
      <c r="AD110" s="4">
        <v>995727</v>
      </c>
      <c r="AE110" s="4">
        <v>1991454</v>
      </c>
      <c r="AF110" s="4">
        <v>2987181</v>
      </c>
      <c r="AG110" s="4">
        <v>3982908</v>
      </c>
      <c r="AH110" s="4">
        <v>4972272</v>
      </c>
      <c r="AI110" s="4">
        <v>5961636</v>
      </c>
      <c r="AJ110" s="4">
        <v>6951000</v>
      </c>
      <c r="AK110" s="4">
        <v>7940364</v>
      </c>
      <c r="AL110" s="4">
        <v>8929728</v>
      </c>
      <c r="AM110" s="4">
        <v>9919090</v>
      </c>
      <c r="AN110" s="150">
        <v>794647</v>
      </c>
    </row>
    <row r="111" spans="1:40" x14ac:dyDescent="0.2">
      <c r="A111" s="1">
        <v>2023</v>
      </c>
      <c r="B111" s="2" t="s">
        <v>131</v>
      </c>
      <c r="C111" s="2" t="s">
        <v>131</v>
      </c>
      <c r="D111" s="1" t="s">
        <v>484</v>
      </c>
      <c r="E111" s="3">
        <v>7137985</v>
      </c>
      <c r="F111" s="3">
        <v>1161</v>
      </c>
      <c r="G111" s="3">
        <v>25131</v>
      </c>
      <c r="H111" s="1">
        <v>0</v>
      </c>
      <c r="I111" s="3">
        <v>7136824</v>
      </c>
      <c r="J111" s="3">
        <v>7111693</v>
      </c>
      <c r="K111" s="3">
        <v>7111693</v>
      </c>
      <c r="L111" s="3">
        <v>258294</v>
      </c>
      <c r="M111" s="3">
        <v>708596</v>
      </c>
      <c r="N111" s="3">
        <v>80376</v>
      </c>
      <c r="O111" s="3">
        <v>82312</v>
      </c>
      <c r="P111" s="3">
        <v>378552</v>
      </c>
      <c r="Q111" s="3">
        <v>5628694</v>
      </c>
      <c r="R111" s="3">
        <v>5603563</v>
      </c>
      <c r="S111" s="3">
        <v>5603563</v>
      </c>
      <c r="T111" s="3">
        <v>713682</v>
      </c>
      <c r="U111" s="3">
        <v>713682</v>
      </c>
      <c r="V111" s="3">
        <v>713682</v>
      </c>
      <c r="W111" s="3">
        <v>713682</v>
      </c>
      <c r="X111" s="3">
        <v>709494</v>
      </c>
      <c r="Y111" s="3">
        <v>709494</v>
      </c>
      <c r="Z111" s="4">
        <v>709494</v>
      </c>
      <c r="AA111" s="4">
        <v>709494</v>
      </c>
      <c r="AB111" s="4">
        <v>709494</v>
      </c>
      <c r="AC111" s="4">
        <v>709495</v>
      </c>
      <c r="AD111" s="4">
        <v>713682</v>
      </c>
      <c r="AE111" s="4">
        <v>1427364</v>
      </c>
      <c r="AF111" s="4">
        <v>2141046</v>
      </c>
      <c r="AG111" s="4">
        <v>2854728</v>
      </c>
      <c r="AH111" s="4">
        <v>3564222</v>
      </c>
      <c r="AI111" s="4">
        <v>4273716</v>
      </c>
      <c r="AJ111" s="4">
        <v>4983210</v>
      </c>
      <c r="AK111" s="4">
        <v>5692704</v>
      </c>
      <c r="AL111" s="4">
        <v>6402198</v>
      </c>
      <c r="AM111" s="4">
        <v>7111693</v>
      </c>
      <c r="AN111" s="150">
        <v>535284</v>
      </c>
    </row>
    <row r="112" spans="1:40" x14ac:dyDescent="0.2">
      <c r="A112" s="1">
        <v>2023</v>
      </c>
      <c r="B112" s="2" t="s">
        <v>132</v>
      </c>
      <c r="C112" s="2" t="s">
        <v>132</v>
      </c>
      <c r="D112" s="1" t="s">
        <v>485</v>
      </c>
      <c r="E112" s="3">
        <v>27898839</v>
      </c>
      <c r="F112" s="3">
        <v>3582</v>
      </c>
      <c r="G112" s="3">
        <v>86838</v>
      </c>
      <c r="H112" s="3">
        <v>0</v>
      </c>
      <c r="I112" s="3">
        <v>27895257</v>
      </c>
      <c r="J112" s="3">
        <v>27808419</v>
      </c>
      <c r="K112" s="3">
        <v>27808419</v>
      </c>
      <c r="L112" s="3">
        <v>797022</v>
      </c>
      <c r="M112" s="3">
        <v>2367204</v>
      </c>
      <c r="N112" s="3">
        <v>310670</v>
      </c>
      <c r="O112" s="3">
        <v>274843</v>
      </c>
      <c r="P112" s="3">
        <v>1308045</v>
      </c>
      <c r="Q112" s="3">
        <v>22837473</v>
      </c>
      <c r="R112" s="3">
        <v>22750635</v>
      </c>
      <c r="S112" s="3">
        <v>22750635</v>
      </c>
      <c r="T112" s="3">
        <v>2789526</v>
      </c>
      <c r="U112" s="3">
        <v>2789526</v>
      </c>
      <c r="V112" s="3">
        <v>2789526</v>
      </c>
      <c r="W112" s="3">
        <v>2789526</v>
      </c>
      <c r="X112" s="3">
        <v>2775053</v>
      </c>
      <c r="Y112" s="3">
        <v>2775053</v>
      </c>
      <c r="Z112" s="4">
        <v>2775052</v>
      </c>
      <c r="AA112" s="4">
        <v>2775052</v>
      </c>
      <c r="AB112" s="4">
        <v>2775052</v>
      </c>
      <c r="AC112" s="4">
        <v>2775053</v>
      </c>
      <c r="AD112" s="4">
        <v>2789526</v>
      </c>
      <c r="AE112" s="4">
        <v>5579052</v>
      </c>
      <c r="AF112" s="4">
        <v>8368578</v>
      </c>
      <c r="AG112" s="4">
        <v>11158104</v>
      </c>
      <c r="AH112" s="4">
        <v>13933157</v>
      </c>
      <c r="AI112" s="4">
        <v>16708210</v>
      </c>
      <c r="AJ112" s="4">
        <v>19483262</v>
      </c>
      <c r="AK112" s="4">
        <v>22258314</v>
      </c>
      <c r="AL112" s="4">
        <v>25033366</v>
      </c>
      <c r="AM112" s="4">
        <v>27808419</v>
      </c>
      <c r="AN112" s="150">
        <v>1911920</v>
      </c>
    </row>
    <row r="113" spans="1:40" x14ac:dyDescent="0.2">
      <c r="A113" s="1">
        <v>2023</v>
      </c>
      <c r="B113" s="2" t="s">
        <v>133</v>
      </c>
      <c r="C113" s="2" t="s">
        <v>133</v>
      </c>
      <c r="D113" s="1" t="s">
        <v>486</v>
      </c>
      <c r="E113" s="3">
        <v>14127217</v>
      </c>
      <c r="F113" s="3">
        <v>1260</v>
      </c>
      <c r="G113" s="3">
        <v>48609</v>
      </c>
      <c r="H113" s="3">
        <v>0</v>
      </c>
      <c r="I113" s="3">
        <v>14125957</v>
      </c>
      <c r="J113" s="3">
        <v>14077348</v>
      </c>
      <c r="K113" s="3">
        <v>14077348</v>
      </c>
      <c r="L113" s="3">
        <v>284048</v>
      </c>
      <c r="M113" s="3">
        <v>1246933</v>
      </c>
      <c r="N113" s="3">
        <v>155670</v>
      </c>
      <c r="O113" s="3">
        <v>139892</v>
      </c>
      <c r="P113" s="3">
        <v>732202</v>
      </c>
      <c r="Q113" s="3">
        <v>11567212</v>
      </c>
      <c r="R113" s="3">
        <v>11518603</v>
      </c>
      <c r="S113" s="3">
        <v>11518603</v>
      </c>
      <c r="T113" s="3">
        <v>1412596</v>
      </c>
      <c r="U113" s="3">
        <v>1412596</v>
      </c>
      <c r="V113" s="3">
        <v>1412596</v>
      </c>
      <c r="W113" s="3">
        <v>1412596</v>
      </c>
      <c r="X113" s="3">
        <v>1404494</v>
      </c>
      <c r="Y113" s="3">
        <v>1404494</v>
      </c>
      <c r="Z113" s="4">
        <v>1404494</v>
      </c>
      <c r="AA113" s="4">
        <v>1404494</v>
      </c>
      <c r="AB113" s="4">
        <v>1404494</v>
      </c>
      <c r="AC113" s="4">
        <v>1404494</v>
      </c>
      <c r="AD113" s="4">
        <v>1412596</v>
      </c>
      <c r="AE113" s="4">
        <v>2825192</v>
      </c>
      <c r="AF113" s="4">
        <v>4237788</v>
      </c>
      <c r="AG113" s="4">
        <v>5650384</v>
      </c>
      <c r="AH113" s="4">
        <v>7054878</v>
      </c>
      <c r="AI113" s="4">
        <v>8459372</v>
      </c>
      <c r="AJ113" s="4">
        <v>9863866</v>
      </c>
      <c r="AK113" s="4">
        <v>11268360</v>
      </c>
      <c r="AL113" s="4">
        <v>12672854</v>
      </c>
      <c r="AM113" s="4">
        <v>14077348</v>
      </c>
      <c r="AN113" s="150">
        <v>1020095</v>
      </c>
    </row>
    <row r="114" spans="1:40" x14ac:dyDescent="0.2">
      <c r="A114" s="1">
        <v>2023</v>
      </c>
      <c r="B114" s="2" t="s">
        <v>134</v>
      </c>
      <c r="C114" s="2" t="s">
        <v>134</v>
      </c>
      <c r="D114" s="1" t="s">
        <v>487</v>
      </c>
      <c r="E114" s="3">
        <v>2953402</v>
      </c>
      <c r="F114" s="3">
        <v>398</v>
      </c>
      <c r="G114" s="3">
        <v>10357</v>
      </c>
      <c r="H114" s="3">
        <v>0</v>
      </c>
      <c r="I114" s="3">
        <v>2953004</v>
      </c>
      <c r="J114" s="3">
        <v>2942647</v>
      </c>
      <c r="K114" s="3">
        <v>2942647</v>
      </c>
      <c r="L114" s="3">
        <v>88558</v>
      </c>
      <c r="M114" s="3">
        <v>277632</v>
      </c>
      <c r="N114" s="3">
        <v>35608</v>
      </c>
      <c r="O114" s="3">
        <v>27368</v>
      </c>
      <c r="P114" s="3">
        <v>156001</v>
      </c>
      <c r="Q114" s="3">
        <v>2367837</v>
      </c>
      <c r="R114" s="3">
        <v>2357480</v>
      </c>
      <c r="S114" s="3">
        <v>2357480</v>
      </c>
      <c r="T114" s="3">
        <v>295300</v>
      </c>
      <c r="U114" s="3">
        <v>295300</v>
      </c>
      <c r="V114" s="3">
        <v>295300</v>
      </c>
      <c r="W114" s="3">
        <v>295300</v>
      </c>
      <c r="X114" s="3">
        <v>293575</v>
      </c>
      <c r="Y114" s="3">
        <v>293575</v>
      </c>
      <c r="Z114" s="4">
        <v>293574</v>
      </c>
      <c r="AA114" s="4">
        <v>293574</v>
      </c>
      <c r="AB114" s="4">
        <v>293574</v>
      </c>
      <c r="AC114" s="4">
        <v>293575</v>
      </c>
      <c r="AD114" s="4">
        <v>295300</v>
      </c>
      <c r="AE114" s="4">
        <v>590600</v>
      </c>
      <c r="AF114" s="4">
        <v>885900</v>
      </c>
      <c r="AG114" s="4">
        <v>1181200</v>
      </c>
      <c r="AH114" s="4">
        <v>1474775</v>
      </c>
      <c r="AI114" s="4">
        <v>1768350</v>
      </c>
      <c r="AJ114" s="4">
        <v>2061924</v>
      </c>
      <c r="AK114" s="4">
        <v>2355498</v>
      </c>
      <c r="AL114" s="4">
        <v>2649072</v>
      </c>
      <c r="AM114" s="4">
        <v>2942647</v>
      </c>
      <c r="AN114" s="150">
        <v>216170</v>
      </c>
    </row>
    <row r="115" spans="1:40" x14ac:dyDescent="0.2">
      <c r="A115" s="1">
        <v>2023</v>
      </c>
      <c r="B115" s="2" t="s">
        <v>135</v>
      </c>
      <c r="C115" s="2" t="s">
        <v>135</v>
      </c>
      <c r="D115" s="1" t="s">
        <v>488</v>
      </c>
      <c r="E115" s="3">
        <v>2641885</v>
      </c>
      <c r="F115" s="3">
        <v>448</v>
      </c>
      <c r="G115" s="3">
        <v>11212</v>
      </c>
      <c r="H115" s="1">
        <v>0</v>
      </c>
      <c r="I115" s="3">
        <v>2641437</v>
      </c>
      <c r="J115" s="3">
        <v>2630225</v>
      </c>
      <c r="K115" s="3">
        <v>2630225</v>
      </c>
      <c r="L115" s="3">
        <v>99628</v>
      </c>
      <c r="M115" s="3">
        <v>322607</v>
      </c>
      <c r="N115" s="3">
        <v>35391</v>
      </c>
      <c r="O115" s="3">
        <v>33776</v>
      </c>
      <c r="P115" s="3">
        <v>168882</v>
      </c>
      <c r="Q115" s="3">
        <v>1981153</v>
      </c>
      <c r="R115" s="3">
        <v>1969941</v>
      </c>
      <c r="S115" s="3">
        <v>1969941</v>
      </c>
      <c r="T115" s="3">
        <v>264144</v>
      </c>
      <c r="U115" s="3">
        <v>264144</v>
      </c>
      <c r="V115" s="3">
        <v>264144</v>
      </c>
      <c r="W115" s="3">
        <v>264144</v>
      </c>
      <c r="X115" s="3">
        <v>262275</v>
      </c>
      <c r="Y115" s="3">
        <v>262275</v>
      </c>
      <c r="Z115" s="4">
        <v>262275</v>
      </c>
      <c r="AA115" s="4">
        <v>262275</v>
      </c>
      <c r="AB115" s="4">
        <v>262275</v>
      </c>
      <c r="AC115" s="4">
        <v>262274</v>
      </c>
      <c r="AD115" s="4">
        <v>264144</v>
      </c>
      <c r="AE115" s="4">
        <v>528288</v>
      </c>
      <c r="AF115" s="4">
        <v>792432</v>
      </c>
      <c r="AG115" s="4">
        <v>1056576</v>
      </c>
      <c r="AH115" s="4">
        <v>1318851</v>
      </c>
      <c r="AI115" s="4">
        <v>1581126</v>
      </c>
      <c r="AJ115" s="4">
        <v>1843401</v>
      </c>
      <c r="AK115" s="4">
        <v>2105676</v>
      </c>
      <c r="AL115" s="4">
        <v>2367951</v>
      </c>
      <c r="AM115" s="4">
        <v>2630225</v>
      </c>
      <c r="AN115" s="150">
        <v>222364</v>
      </c>
    </row>
    <row r="116" spans="1:40" x14ac:dyDescent="0.2">
      <c r="A116" s="1">
        <v>2023</v>
      </c>
      <c r="B116" s="2" t="s">
        <v>136</v>
      </c>
      <c r="C116" s="2" t="s">
        <v>136</v>
      </c>
      <c r="D116" s="1" t="s">
        <v>489</v>
      </c>
      <c r="E116" s="3">
        <v>4068934</v>
      </c>
      <c r="F116" s="3">
        <v>1194</v>
      </c>
      <c r="G116" s="3">
        <v>19867</v>
      </c>
      <c r="H116" s="1">
        <v>0</v>
      </c>
      <c r="I116" s="3">
        <v>4067740</v>
      </c>
      <c r="J116" s="3">
        <v>4047873</v>
      </c>
      <c r="K116" s="3">
        <v>4047873</v>
      </c>
      <c r="L116" s="3">
        <v>265674</v>
      </c>
      <c r="M116" s="3">
        <v>561383</v>
      </c>
      <c r="N116" s="3">
        <v>64972</v>
      </c>
      <c r="O116" s="3">
        <v>62421</v>
      </c>
      <c r="P116" s="3">
        <v>299264</v>
      </c>
      <c r="Q116" s="3">
        <v>2814026</v>
      </c>
      <c r="R116" s="3">
        <v>2794159</v>
      </c>
      <c r="S116" s="3">
        <v>2794159</v>
      </c>
      <c r="T116" s="3">
        <v>406774</v>
      </c>
      <c r="U116" s="3">
        <v>406774</v>
      </c>
      <c r="V116" s="3">
        <v>406774</v>
      </c>
      <c r="W116" s="3">
        <v>406774</v>
      </c>
      <c r="X116" s="3">
        <v>403463</v>
      </c>
      <c r="Y116" s="3">
        <v>403463</v>
      </c>
      <c r="Z116" s="4">
        <v>403463</v>
      </c>
      <c r="AA116" s="4">
        <v>403463</v>
      </c>
      <c r="AB116" s="4">
        <v>403463</v>
      </c>
      <c r="AC116" s="4">
        <v>403462</v>
      </c>
      <c r="AD116" s="4">
        <v>406774</v>
      </c>
      <c r="AE116" s="4">
        <v>813548</v>
      </c>
      <c r="AF116" s="4">
        <v>1220322</v>
      </c>
      <c r="AG116" s="4">
        <v>1627096</v>
      </c>
      <c r="AH116" s="4">
        <v>2030559</v>
      </c>
      <c r="AI116" s="4">
        <v>2434022</v>
      </c>
      <c r="AJ116" s="4">
        <v>2837485</v>
      </c>
      <c r="AK116" s="4">
        <v>3240948</v>
      </c>
      <c r="AL116" s="4">
        <v>3644411</v>
      </c>
      <c r="AM116" s="4">
        <v>4047873</v>
      </c>
      <c r="AN116" s="150">
        <v>434929</v>
      </c>
    </row>
    <row r="117" spans="1:40" x14ac:dyDescent="0.2">
      <c r="A117" s="1">
        <v>2023</v>
      </c>
      <c r="B117" s="2" t="s">
        <v>137</v>
      </c>
      <c r="C117" s="2" t="s">
        <v>137</v>
      </c>
      <c r="D117" s="1" t="s">
        <v>490</v>
      </c>
      <c r="E117" s="3">
        <v>2719874</v>
      </c>
      <c r="F117" s="1">
        <v>415</v>
      </c>
      <c r="G117" s="3">
        <v>10824</v>
      </c>
      <c r="H117" s="1">
        <v>0</v>
      </c>
      <c r="I117" s="3">
        <v>2719459</v>
      </c>
      <c r="J117" s="3">
        <v>2708635</v>
      </c>
      <c r="K117" s="3">
        <v>2708635</v>
      </c>
      <c r="L117" s="3">
        <v>92248</v>
      </c>
      <c r="M117" s="3">
        <v>300826</v>
      </c>
      <c r="N117" s="3">
        <v>34314</v>
      </c>
      <c r="O117" s="3">
        <v>33499</v>
      </c>
      <c r="P117" s="3">
        <v>163049</v>
      </c>
      <c r="Q117" s="3">
        <v>2095523</v>
      </c>
      <c r="R117" s="3">
        <v>2084699</v>
      </c>
      <c r="S117" s="3">
        <v>2084699</v>
      </c>
      <c r="T117" s="3">
        <v>271946</v>
      </c>
      <c r="U117" s="3">
        <v>271946</v>
      </c>
      <c r="V117" s="3">
        <v>271946</v>
      </c>
      <c r="W117" s="3">
        <v>271946</v>
      </c>
      <c r="X117" s="3">
        <v>270142</v>
      </c>
      <c r="Y117" s="3">
        <v>270142</v>
      </c>
      <c r="Z117" s="4">
        <v>270142</v>
      </c>
      <c r="AA117" s="4">
        <v>270142</v>
      </c>
      <c r="AB117" s="4">
        <v>270142</v>
      </c>
      <c r="AC117" s="4">
        <v>270141</v>
      </c>
      <c r="AD117" s="4">
        <v>271946</v>
      </c>
      <c r="AE117" s="4">
        <v>543892</v>
      </c>
      <c r="AF117" s="4">
        <v>815838</v>
      </c>
      <c r="AG117" s="4">
        <v>1087784</v>
      </c>
      <c r="AH117" s="4">
        <v>1357926</v>
      </c>
      <c r="AI117" s="4">
        <v>1628068</v>
      </c>
      <c r="AJ117" s="4">
        <v>1898210</v>
      </c>
      <c r="AK117" s="4">
        <v>2168352</v>
      </c>
      <c r="AL117" s="4">
        <v>2438494</v>
      </c>
      <c r="AM117" s="4">
        <v>2708635</v>
      </c>
      <c r="AN117" s="150">
        <v>223007</v>
      </c>
    </row>
    <row r="118" spans="1:40" x14ac:dyDescent="0.2">
      <c r="A118" s="1">
        <v>2023</v>
      </c>
      <c r="B118" s="2" t="s">
        <v>138</v>
      </c>
      <c r="C118" s="2" t="s">
        <v>138</v>
      </c>
      <c r="D118" s="1" t="s">
        <v>491</v>
      </c>
      <c r="E118" s="3">
        <v>9486255</v>
      </c>
      <c r="F118" s="1">
        <v>829</v>
      </c>
      <c r="G118" s="3">
        <v>37120</v>
      </c>
      <c r="H118" s="1">
        <v>0</v>
      </c>
      <c r="I118" s="3">
        <v>9485426</v>
      </c>
      <c r="J118" s="3">
        <v>9448306</v>
      </c>
      <c r="K118" s="3">
        <v>9448306</v>
      </c>
      <c r="L118" s="3">
        <v>184496</v>
      </c>
      <c r="M118" s="3">
        <v>945105</v>
      </c>
      <c r="N118" s="3">
        <v>93528</v>
      </c>
      <c r="O118" s="3">
        <v>104982</v>
      </c>
      <c r="P118" s="3">
        <v>559134</v>
      </c>
      <c r="Q118" s="3">
        <v>7598181</v>
      </c>
      <c r="R118" s="3">
        <v>7561061</v>
      </c>
      <c r="S118" s="3">
        <v>7561061</v>
      </c>
      <c r="T118" s="3">
        <v>948543</v>
      </c>
      <c r="U118" s="3">
        <v>948543</v>
      </c>
      <c r="V118" s="3">
        <v>948543</v>
      </c>
      <c r="W118" s="3">
        <v>948543</v>
      </c>
      <c r="X118" s="3">
        <v>942356</v>
      </c>
      <c r="Y118" s="3">
        <v>942356</v>
      </c>
      <c r="Z118" s="4">
        <v>942356</v>
      </c>
      <c r="AA118" s="4">
        <v>942356</v>
      </c>
      <c r="AB118" s="4">
        <v>942356</v>
      </c>
      <c r="AC118" s="4">
        <v>942354</v>
      </c>
      <c r="AD118" s="4">
        <v>948543</v>
      </c>
      <c r="AE118" s="4">
        <v>1897086</v>
      </c>
      <c r="AF118" s="4">
        <v>2845629</v>
      </c>
      <c r="AG118" s="4">
        <v>3794172</v>
      </c>
      <c r="AH118" s="4">
        <v>4736528</v>
      </c>
      <c r="AI118" s="4">
        <v>5678884</v>
      </c>
      <c r="AJ118" s="4">
        <v>6621240</v>
      </c>
      <c r="AK118" s="4">
        <v>7563596</v>
      </c>
      <c r="AL118" s="4">
        <v>8505952</v>
      </c>
      <c r="AM118" s="4">
        <v>9448306</v>
      </c>
      <c r="AN118" s="150">
        <v>737990</v>
      </c>
    </row>
    <row r="119" spans="1:40" x14ac:dyDescent="0.2">
      <c r="A119" s="1">
        <v>2023</v>
      </c>
      <c r="B119" s="2" t="s">
        <v>139</v>
      </c>
      <c r="C119" s="2" t="s">
        <v>139</v>
      </c>
      <c r="D119" s="1" t="s">
        <v>492</v>
      </c>
      <c r="E119" s="3">
        <v>1013341</v>
      </c>
      <c r="F119" s="1">
        <v>265</v>
      </c>
      <c r="G119" s="3">
        <v>3896</v>
      </c>
      <c r="H119" s="1">
        <v>0</v>
      </c>
      <c r="I119" s="3">
        <v>1013076</v>
      </c>
      <c r="J119" s="3">
        <v>1009180</v>
      </c>
      <c r="K119" s="3">
        <v>1009180</v>
      </c>
      <c r="L119" s="3">
        <v>59039</v>
      </c>
      <c r="M119" s="3">
        <v>116458</v>
      </c>
      <c r="N119" s="3">
        <v>9806</v>
      </c>
      <c r="O119" s="3">
        <v>13707</v>
      </c>
      <c r="P119" s="3">
        <v>58679</v>
      </c>
      <c r="Q119" s="3">
        <v>755387</v>
      </c>
      <c r="R119" s="3">
        <v>751491</v>
      </c>
      <c r="S119" s="3">
        <v>751491</v>
      </c>
      <c r="T119" s="3">
        <v>101308</v>
      </c>
      <c r="U119" s="3">
        <v>101308</v>
      </c>
      <c r="V119" s="3">
        <v>101308</v>
      </c>
      <c r="W119" s="3">
        <v>101308</v>
      </c>
      <c r="X119" s="3">
        <v>100658</v>
      </c>
      <c r="Y119" s="3">
        <v>100658</v>
      </c>
      <c r="Z119" s="4">
        <v>100658</v>
      </c>
      <c r="AA119" s="4">
        <v>100658</v>
      </c>
      <c r="AB119" s="4">
        <v>100658</v>
      </c>
      <c r="AC119" s="4">
        <v>100658</v>
      </c>
      <c r="AD119" s="4">
        <v>101308</v>
      </c>
      <c r="AE119" s="4">
        <v>202616</v>
      </c>
      <c r="AF119" s="4">
        <v>303924</v>
      </c>
      <c r="AG119" s="4">
        <v>405232</v>
      </c>
      <c r="AH119" s="4">
        <v>505890</v>
      </c>
      <c r="AI119" s="4">
        <v>606548</v>
      </c>
      <c r="AJ119" s="4">
        <v>707206</v>
      </c>
      <c r="AK119" s="4">
        <v>807864</v>
      </c>
      <c r="AL119" s="4">
        <v>908522</v>
      </c>
      <c r="AM119" s="4">
        <v>1009180</v>
      </c>
      <c r="AN119" s="150">
        <v>83589</v>
      </c>
    </row>
    <row r="120" spans="1:40" x14ac:dyDescent="0.2">
      <c r="A120" s="1">
        <v>2023</v>
      </c>
      <c r="B120" s="2" t="s">
        <v>140</v>
      </c>
      <c r="C120" s="2" t="s">
        <v>140</v>
      </c>
      <c r="D120" s="1" t="s">
        <v>493</v>
      </c>
      <c r="E120" s="3">
        <v>3784993</v>
      </c>
      <c r="F120" s="3">
        <v>431</v>
      </c>
      <c r="G120" s="3">
        <v>14651</v>
      </c>
      <c r="H120" s="1">
        <v>0</v>
      </c>
      <c r="I120" s="3">
        <v>3784562</v>
      </c>
      <c r="J120" s="3">
        <v>3769911</v>
      </c>
      <c r="K120" s="3">
        <v>3769911</v>
      </c>
      <c r="L120" s="3">
        <v>95938</v>
      </c>
      <c r="M120" s="3">
        <v>422675</v>
      </c>
      <c r="N120" s="3">
        <v>38390</v>
      </c>
      <c r="O120" s="3">
        <v>43904</v>
      </c>
      <c r="P120" s="3">
        <v>220691</v>
      </c>
      <c r="Q120" s="3">
        <v>2962964</v>
      </c>
      <c r="R120" s="3">
        <v>2948313</v>
      </c>
      <c r="S120" s="3">
        <v>2948313</v>
      </c>
      <c r="T120" s="3">
        <v>378456</v>
      </c>
      <c r="U120" s="3">
        <v>378456</v>
      </c>
      <c r="V120" s="3">
        <v>378456</v>
      </c>
      <c r="W120" s="3">
        <v>378456</v>
      </c>
      <c r="X120" s="3">
        <v>376015</v>
      </c>
      <c r="Y120" s="3">
        <v>376015</v>
      </c>
      <c r="Z120" s="4">
        <v>376014</v>
      </c>
      <c r="AA120" s="4">
        <v>376014</v>
      </c>
      <c r="AB120" s="4">
        <v>376014</v>
      </c>
      <c r="AC120" s="4">
        <v>376015</v>
      </c>
      <c r="AD120" s="4">
        <v>378456</v>
      </c>
      <c r="AE120" s="4">
        <v>756912</v>
      </c>
      <c r="AF120" s="4">
        <v>1135368</v>
      </c>
      <c r="AG120" s="4">
        <v>1513824</v>
      </c>
      <c r="AH120" s="4">
        <v>1889839</v>
      </c>
      <c r="AI120" s="4">
        <v>2265854</v>
      </c>
      <c r="AJ120" s="4">
        <v>2641868</v>
      </c>
      <c r="AK120" s="4">
        <v>3017882</v>
      </c>
      <c r="AL120" s="4">
        <v>3393896</v>
      </c>
      <c r="AM120" s="4">
        <v>3769911</v>
      </c>
      <c r="AN120" s="150">
        <v>303413</v>
      </c>
    </row>
    <row r="121" spans="1:40" x14ac:dyDescent="0.2">
      <c r="A121" s="1">
        <v>2023</v>
      </c>
      <c r="B121" s="2" t="s">
        <v>141</v>
      </c>
      <c r="C121" s="2" t="s">
        <v>141</v>
      </c>
      <c r="D121" s="1" t="s">
        <v>494</v>
      </c>
      <c r="E121" s="3">
        <v>12982792</v>
      </c>
      <c r="F121" s="3">
        <v>1078</v>
      </c>
      <c r="G121" s="3">
        <v>45927</v>
      </c>
      <c r="H121" s="1">
        <v>0</v>
      </c>
      <c r="I121" s="3">
        <v>12981714</v>
      </c>
      <c r="J121" s="3">
        <v>12935787</v>
      </c>
      <c r="K121" s="3">
        <v>12935787</v>
      </c>
      <c r="L121" s="3">
        <v>239845</v>
      </c>
      <c r="M121" s="3">
        <v>1181871</v>
      </c>
      <c r="N121" s="3">
        <v>146250</v>
      </c>
      <c r="O121" s="3">
        <v>128442</v>
      </c>
      <c r="P121" s="3">
        <v>691806</v>
      </c>
      <c r="Q121" s="3">
        <v>10593500</v>
      </c>
      <c r="R121" s="3">
        <v>10547573</v>
      </c>
      <c r="S121" s="3">
        <v>10547573</v>
      </c>
      <c r="T121" s="3">
        <v>1298171</v>
      </c>
      <c r="U121" s="3">
        <v>1298171</v>
      </c>
      <c r="V121" s="3">
        <v>1298171</v>
      </c>
      <c r="W121" s="3">
        <v>1298171</v>
      </c>
      <c r="X121" s="3">
        <v>1290517</v>
      </c>
      <c r="Y121" s="3">
        <v>1290517</v>
      </c>
      <c r="Z121" s="4">
        <v>1290517</v>
      </c>
      <c r="AA121" s="4">
        <v>1290517</v>
      </c>
      <c r="AB121" s="4">
        <v>1290517</v>
      </c>
      <c r="AC121" s="4">
        <v>1290518</v>
      </c>
      <c r="AD121" s="4">
        <v>1298171</v>
      </c>
      <c r="AE121" s="4">
        <v>2596342</v>
      </c>
      <c r="AF121" s="4">
        <v>3894513</v>
      </c>
      <c r="AG121" s="4">
        <v>5192684</v>
      </c>
      <c r="AH121" s="4">
        <v>6483201</v>
      </c>
      <c r="AI121" s="4">
        <v>7773718</v>
      </c>
      <c r="AJ121" s="4">
        <v>9064235</v>
      </c>
      <c r="AK121" s="4">
        <v>10354752</v>
      </c>
      <c r="AL121" s="4">
        <v>11645269</v>
      </c>
      <c r="AM121" s="4">
        <v>12935787</v>
      </c>
      <c r="AN121" s="150">
        <v>927088</v>
      </c>
    </row>
    <row r="122" spans="1:40" x14ac:dyDescent="0.2">
      <c r="A122" s="1">
        <v>2023</v>
      </c>
      <c r="B122" s="2" t="s">
        <v>142</v>
      </c>
      <c r="C122" s="2" t="s">
        <v>142</v>
      </c>
      <c r="D122" s="1" t="s">
        <v>495</v>
      </c>
      <c r="E122" s="3">
        <v>1554139</v>
      </c>
      <c r="F122" s="1">
        <v>365</v>
      </c>
      <c r="G122" s="3">
        <v>6627</v>
      </c>
      <c r="H122" s="1">
        <v>0</v>
      </c>
      <c r="I122" s="3">
        <v>1553774</v>
      </c>
      <c r="J122" s="3">
        <v>1547147</v>
      </c>
      <c r="K122" s="3">
        <v>1547147</v>
      </c>
      <c r="L122" s="3">
        <v>81178</v>
      </c>
      <c r="M122" s="3">
        <v>191860</v>
      </c>
      <c r="N122" s="3">
        <v>21000</v>
      </c>
      <c r="O122" s="3">
        <v>20420</v>
      </c>
      <c r="P122" s="3">
        <v>99826</v>
      </c>
      <c r="Q122" s="3">
        <v>1139490</v>
      </c>
      <c r="R122" s="3">
        <v>1132863</v>
      </c>
      <c r="S122" s="3">
        <v>1132863</v>
      </c>
      <c r="T122" s="3">
        <v>155377</v>
      </c>
      <c r="U122" s="3">
        <v>155377</v>
      </c>
      <c r="V122" s="3">
        <v>155377</v>
      </c>
      <c r="W122" s="3">
        <v>155377</v>
      </c>
      <c r="X122" s="3">
        <v>154273</v>
      </c>
      <c r="Y122" s="3">
        <v>154273</v>
      </c>
      <c r="Z122" s="4">
        <v>154273</v>
      </c>
      <c r="AA122" s="4">
        <v>154273</v>
      </c>
      <c r="AB122" s="4">
        <v>154273</v>
      </c>
      <c r="AC122" s="4">
        <v>154274</v>
      </c>
      <c r="AD122" s="4">
        <v>155377</v>
      </c>
      <c r="AE122" s="4">
        <v>310754</v>
      </c>
      <c r="AF122" s="4">
        <v>466131</v>
      </c>
      <c r="AG122" s="4">
        <v>621508</v>
      </c>
      <c r="AH122" s="4">
        <v>775781</v>
      </c>
      <c r="AI122" s="4">
        <v>930054</v>
      </c>
      <c r="AJ122" s="4">
        <v>1084327</v>
      </c>
      <c r="AK122" s="4">
        <v>1238600</v>
      </c>
      <c r="AL122" s="4">
        <v>1392873</v>
      </c>
      <c r="AM122" s="4">
        <v>1547147</v>
      </c>
      <c r="AN122" s="150">
        <v>126018</v>
      </c>
    </row>
    <row r="123" spans="1:40" x14ac:dyDescent="0.2">
      <c r="A123" s="1">
        <v>2023</v>
      </c>
      <c r="B123" s="2" t="s">
        <v>143</v>
      </c>
      <c r="C123" s="2" t="s">
        <v>143</v>
      </c>
      <c r="D123" s="1" t="s">
        <v>496</v>
      </c>
      <c r="E123" s="3">
        <v>1983357</v>
      </c>
      <c r="F123" s="3">
        <v>282</v>
      </c>
      <c r="G123" s="3">
        <v>9150</v>
      </c>
      <c r="H123" s="1">
        <v>0</v>
      </c>
      <c r="I123" s="3">
        <v>1983075</v>
      </c>
      <c r="J123" s="3">
        <v>1973925</v>
      </c>
      <c r="K123" s="3">
        <v>1973925</v>
      </c>
      <c r="L123" s="3">
        <v>62729</v>
      </c>
      <c r="M123" s="3">
        <v>258469</v>
      </c>
      <c r="N123" s="3">
        <v>30146</v>
      </c>
      <c r="O123" s="3">
        <v>24876</v>
      </c>
      <c r="P123" s="3">
        <v>137825</v>
      </c>
      <c r="Q123" s="3">
        <v>1469030</v>
      </c>
      <c r="R123" s="3">
        <v>1459880</v>
      </c>
      <c r="S123" s="3">
        <v>1459880</v>
      </c>
      <c r="T123" s="3">
        <v>198308</v>
      </c>
      <c r="U123" s="3">
        <v>198308</v>
      </c>
      <c r="V123" s="3">
        <v>198308</v>
      </c>
      <c r="W123" s="3">
        <v>198308</v>
      </c>
      <c r="X123" s="3">
        <v>196782</v>
      </c>
      <c r="Y123" s="3">
        <v>196782</v>
      </c>
      <c r="Z123" s="4">
        <v>196782</v>
      </c>
      <c r="AA123" s="4">
        <v>196782</v>
      </c>
      <c r="AB123" s="4">
        <v>196782</v>
      </c>
      <c r="AC123" s="4">
        <v>196783</v>
      </c>
      <c r="AD123" s="4">
        <v>198308</v>
      </c>
      <c r="AE123" s="4">
        <v>396616</v>
      </c>
      <c r="AF123" s="4">
        <v>594924</v>
      </c>
      <c r="AG123" s="4">
        <v>793232</v>
      </c>
      <c r="AH123" s="4">
        <v>990014</v>
      </c>
      <c r="AI123" s="4">
        <v>1186796</v>
      </c>
      <c r="AJ123" s="4">
        <v>1383578</v>
      </c>
      <c r="AK123" s="4">
        <v>1580360</v>
      </c>
      <c r="AL123" s="4">
        <v>1777142</v>
      </c>
      <c r="AM123" s="4">
        <v>1973925</v>
      </c>
      <c r="AN123" s="150">
        <v>184580</v>
      </c>
    </row>
    <row r="124" spans="1:40" x14ac:dyDescent="0.2">
      <c r="A124" s="1">
        <v>2023</v>
      </c>
      <c r="B124" s="2" t="s">
        <v>144</v>
      </c>
      <c r="C124" s="2" t="s">
        <v>144</v>
      </c>
      <c r="D124" s="1" t="s">
        <v>497</v>
      </c>
      <c r="E124" s="3">
        <v>3905800</v>
      </c>
      <c r="F124" s="3">
        <v>448</v>
      </c>
      <c r="G124" s="3">
        <v>14620</v>
      </c>
      <c r="H124" s="1">
        <v>0</v>
      </c>
      <c r="I124" s="3">
        <v>3905352</v>
      </c>
      <c r="J124" s="3">
        <v>3890732</v>
      </c>
      <c r="K124" s="3">
        <v>3890732</v>
      </c>
      <c r="L124" s="3">
        <v>99628</v>
      </c>
      <c r="M124" s="3">
        <v>414835</v>
      </c>
      <c r="N124" s="3">
        <v>47098</v>
      </c>
      <c r="O124" s="3">
        <v>47467</v>
      </c>
      <c r="P124" s="3">
        <v>220226</v>
      </c>
      <c r="Q124" s="3">
        <v>3076098</v>
      </c>
      <c r="R124" s="3">
        <v>3061478</v>
      </c>
      <c r="S124" s="3">
        <v>3061478</v>
      </c>
      <c r="T124" s="3">
        <v>390535</v>
      </c>
      <c r="U124" s="3">
        <v>390535</v>
      </c>
      <c r="V124" s="3">
        <v>390535</v>
      </c>
      <c r="W124" s="3">
        <v>390535</v>
      </c>
      <c r="X124" s="3">
        <v>388099</v>
      </c>
      <c r="Y124" s="3">
        <v>388099</v>
      </c>
      <c r="Z124" s="4">
        <v>388099</v>
      </c>
      <c r="AA124" s="4">
        <v>388099</v>
      </c>
      <c r="AB124" s="4">
        <v>388099</v>
      </c>
      <c r="AC124" s="4">
        <v>388097</v>
      </c>
      <c r="AD124" s="4">
        <v>390535</v>
      </c>
      <c r="AE124" s="4">
        <v>781070</v>
      </c>
      <c r="AF124" s="4">
        <v>1171605</v>
      </c>
      <c r="AG124" s="4">
        <v>1562140</v>
      </c>
      <c r="AH124" s="4">
        <v>1950239</v>
      </c>
      <c r="AI124" s="4">
        <v>2338338</v>
      </c>
      <c r="AJ124" s="4">
        <v>2726437</v>
      </c>
      <c r="AK124" s="4">
        <v>3114536</v>
      </c>
      <c r="AL124" s="4">
        <v>3502635</v>
      </c>
      <c r="AM124" s="4">
        <v>3890732</v>
      </c>
      <c r="AN124" s="150">
        <v>286683</v>
      </c>
    </row>
    <row r="125" spans="1:40" x14ac:dyDescent="0.2">
      <c r="A125" s="1">
        <v>2023</v>
      </c>
      <c r="B125" s="2" t="s">
        <v>145</v>
      </c>
      <c r="C125" s="2" t="s">
        <v>145</v>
      </c>
      <c r="D125" s="1" t="s">
        <v>4</v>
      </c>
      <c r="E125" s="3">
        <v>1300106</v>
      </c>
      <c r="F125" s="3">
        <v>531</v>
      </c>
      <c r="G125" s="3">
        <v>6062</v>
      </c>
      <c r="H125" s="1">
        <v>0</v>
      </c>
      <c r="I125" s="3">
        <v>1299575</v>
      </c>
      <c r="J125" s="3">
        <v>1293513</v>
      </c>
      <c r="K125" s="3">
        <v>1293513</v>
      </c>
      <c r="L125" s="3">
        <v>118077</v>
      </c>
      <c r="M125" s="3">
        <v>187207</v>
      </c>
      <c r="N125" s="3">
        <v>22297</v>
      </c>
      <c r="O125" s="3">
        <v>22072</v>
      </c>
      <c r="P125" s="3">
        <v>91311</v>
      </c>
      <c r="Q125" s="3">
        <v>858611</v>
      </c>
      <c r="R125" s="3">
        <v>852549</v>
      </c>
      <c r="S125" s="3">
        <v>852549</v>
      </c>
      <c r="T125" s="3">
        <v>129958</v>
      </c>
      <c r="U125" s="3">
        <v>129958</v>
      </c>
      <c r="V125" s="3">
        <v>129958</v>
      </c>
      <c r="W125" s="3">
        <v>129958</v>
      </c>
      <c r="X125" s="3">
        <v>128947</v>
      </c>
      <c r="Y125" s="3">
        <v>128947</v>
      </c>
      <c r="Z125" s="4">
        <v>128947</v>
      </c>
      <c r="AA125" s="4">
        <v>128947</v>
      </c>
      <c r="AB125" s="4">
        <v>128947</v>
      </c>
      <c r="AC125" s="4">
        <v>128946</v>
      </c>
      <c r="AD125" s="4">
        <v>129958</v>
      </c>
      <c r="AE125" s="4">
        <v>259916</v>
      </c>
      <c r="AF125" s="4">
        <v>389874</v>
      </c>
      <c r="AG125" s="4">
        <v>519832</v>
      </c>
      <c r="AH125" s="4">
        <v>648779</v>
      </c>
      <c r="AI125" s="4">
        <v>777726</v>
      </c>
      <c r="AJ125" s="4">
        <v>906673</v>
      </c>
      <c r="AK125" s="4">
        <v>1035620</v>
      </c>
      <c r="AL125" s="4">
        <v>1164567</v>
      </c>
      <c r="AM125" s="4">
        <v>1293513</v>
      </c>
      <c r="AN125" s="150">
        <v>132711</v>
      </c>
    </row>
    <row r="126" spans="1:40" x14ac:dyDescent="0.2">
      <c r="A126" s="1">
        <v>2023</v>
      </c>
      <c r="B126" s="2" t="s">
        <v>146</v>
      </c>
      <c r="C126" s="2" t="s">
        <v>146</v>
      </c>
      <c r="D126" s="1" t="s">
        <v>498</v>
      </c>
      <c r="E126" s="3">
        <v>9977083</v>
      </c>
      <c r="F126" s="3">
        <v>1327</v>
      </c>
      <c r="G126" s="3">
        <v>36150</v>
      </c>
      <c r="H126" s="1">
        <v>0</v>
      </c>
      <c r="I126" s="3">
        <v>9975756</v>
      </c>
      <c r="J126" s="3">
        <v>9939606</v>
      </c>
      <c r="K126" s="3">
        <v>9939606</v>
      </c>
      <c r="L126" s="3">
        <v>298807</v>
      </c>
      <c r="M126" s="3">
        <v>960028</v>
      </c>
      <c r="N126" s="3">
        <v>116958</v>
      </c>
      <c r="O126" s="3">
        <v>105266</v>
      </c>
      <c r="P126" s="3">
        <v>548598</v>
      </c>
      <c r="Q126" s="3">
        <v>7946099</v>
      </c>
      <c r="R126" s="3">
        <v>7909949</v>
      </c>
      <c r="S126" s="3">
        <v>7909949</v>
      </c>
      <c r="T126" s="3">
        <v>997576</v>
      </c>
      <c r="U126" s="3">
        <v>997576</v>
      </c>
      <c r="V126" s="3">
        <v>997576</v>
      </c>
      <c r="W126" s="3">
        <v>997576</v>
      </c>
      <c r="X126" s="3">
        <v>991550</v>
      </c>
      <c r="Y126" s="3">
        <v>991550</v>
      </c>
      <c r="Z126" s="4">
        <v>991551</v>
      </c>
      <c r="AA126" s="4">
        <v>991551</v>
      </c>
      <c r="AB126" s="4">
        <v>991551</v>
      </c>
      <c r="AC126" s="4">
        <v>991549</v>
      </c>
      <c r="AD126" s="4">
        <v>997576</v>
      </c>
      <c r="AE126" s="4">
        <v>1995152</v>
      </c>
      <c r="AF126" s="4">
        <v>2992728</v>
      </c>
      <c r="AG126" s="4">
        <v>3990304</v>
      </c>
      <c r="AH126" s="4">
        <v>4981854</v>
      </c>
      <c r="AI126" s="4">
        <v>5973404</v>
      </c>
      <c r="AJ126" s="4">
        <v>6964955</v>
      </c>
      <c r="AK126" s="4">
        <v>7956506</v>
      </c>
      <c r="AL126" s="4">
        <v>8948057</v>
      </c>
      <c r="AM126" s="4">
        <v>9939606</v>
      </c>
      <c r="AN126" s="150">
        <v>774665</v>
      </c>
    </row>
    <row r="127" spans="1:40" x14ac:dyDescent="0.2">
      <c r="A127" s="1">
        <v>2023</v>
      </c>
      <c r="B127" s="2" t="s">
        <v>147</v>
      </c>
      <c r="C127" s="2" t="s">
        <v>147</v>
      </c>
      <c r="D127" s="1" t="s">
        <v>499</v>
      </c>
      <c r="E127" s="3">
        <v>2692665</v>
      </c>
      <c r="F127" s="1">
        <v>265</v>
      </c>
      <c r="G127" s="3">
        <v>10848</v>
      </c>
      <c r="H127" s="1">
        <v>0</v>
      </c>
      <c r="I127" s="3">
        <v>2692400</v>
      </c>
      <c r="J127" s="3">
        <v>2681552</v>
      </c>
      <c r="K127" s="3">
        <v>2681552</v>
      </c>
      <c r="L127" s="3">
        <v>59039</v>
      </c>
      <c r="M127" s="3">
        <v>285154</v>
      </c>
      <c r="N127" s="3">
        <v>30421</v>
      </c>
      <c r="O127" s="3">
        <v>29905</v>
      </c>
      <c r="P127" s="3">
        <v>163407</v>
      </c>
      <c r="Q127" s="3">
        <v>2124474</v>
      </c>
      <c r="R127" s="3">
        <v>2113626</v>
      </c>
      <c r="S127" s="3">
        <v>2113626</v>
      </c>
      <c r="T127" s="3">
        <v>269240</v>
      </c>
      <c r="U127" s="3">
        <v>269240</v>
      </c>
      <c r="V127" s="3">
        <v>269240</v>
      </c>
      <c r="W127" s="3">
        <v>269240</v>
      </c>
      <c r="X127" s="3">
        <v>267432</v>
      </c>
      <c r="Y127" s="3">
        <v>267432</v>
      </c>
      <c r="Z127" s="4">
        <v>267432</v>
      </c>
      <c r="AA127" s="4">
        <v>267432</v>
      </c>
      <c r="AB127" s="4">
        <v>267432</v>
      </c>
      <c r="AC127" s="4">
        <v>267432</v>
      </c>
      <c r="AD127" s="4">
        <v>269240</v>
      </c>
      <c r="AE127" s="4">
        <v>538480</v>
      </c>
      <c r="AF127" s="4">
        <v>807720</v>
      </c>
      <c r="AG127" s="4">
        <v>1076960</v>
      </c>
      <c r="AH127" s="4">
        <v>1344392</v>
      </c>
      <c r="AI127" s="4">
        <v>1611824</v>
      </c>
      <c r="AJ127" s="4">
        <v>1879256</v>
      </c>
      <c r="AK127" s="4">
        <v>2146688</v>
      </c>
      <c r="AL127" s="4">
        <v>2414120</v>
      </c>
      <c r="AM127" s="4">
        <v>2681552</v>
      </c>
      <c r="AN127" s="150">
        <v>227719</v>
      </c>
    </row>
    <row r="128" spans="1:40" x14ac:dyDescent="0.2">
      <c r="A128" s="1">
        <v>2023</v>
      </c>
      <c r="B128" s="2" t="s">
        <v>148</v>
      </c>
      <c r="C128" s="2" t="s">
        <v>148</v>
      </c>
      <c r="D128" s="1" t="s">
        <v>500</v>
      </c>
      <c r="E128" s="3">
        <v>4522673</v>
      </c>
      <c r="F128" s="3">
        <v>547</v>
      </c>
      <c r="G128" s="3">
        <v>15872</v>
      </c>
      <c r="H128" s="1">
        <v>0</v>
      </c>
      <c r="I128" s="3">
        <v>4522126</v>
      </c>
      <c r="J128" s="3">
        <v>4506254</v>
      </c>
      <c r="K128" s="3">
        <v>4506254</v>
      </c>
      <c r="L128" s="3">
        <v>121768</v>
      </c>
      <c r="M128" s="3">
        <v>459929</v>
      </c>
      <c r="N128" s="3">
        <v>45357</v>
      </c>
      <c r="O128" s="3">
        <v>49433</v>
      </c>
      <c r="P128" s="3">
        <v>239082</v>
      </c>
      <c r="Q128" s="3">
        <v>3606557</v>
      </c>
      <c r="R128" s="3">
        <v>3590685</v>
      </c>
      <c r="S128" s="3">
        <v>3590685</v>
      </c>
      <c r="T128" s="3">
        <v>452213</v>
      </c>
      <c r="U128" s="3">
        <v>452213</v>
      </c>
      <c r="V128" s="3">
        <v>452213</v>
      </c>
      <c r="W128" s="3">
        <v>452213</v>
      </c>
      <c r="X128" s="3">
        <v>449567</v>
      </c>
      <c r="Y128" s="3">
        <v>449567</v>
      </c>
      <c r="Z128" s="4">
        <v>449567</v>
      </c>
      <c r="AA128" s="4">
        <v>449567</v>
      </c>
      <c r="AB128" s="4">
        <v>449567</v>
      </c>
      <c r="AC128" s="4">
        <v>449567</v>
      </c>
      <c r="AD128" s="4">
        <v>452213</v>
      </c>
      <c r="AE128" s="4">
        <v>904426</v>
      </c>
      <c r="AF128" s="4">
        <v>1356639</v>
      </c>
      <c r="AG128" s="4">
        <v>1808852</v>
      </c>
      <c r="AH128" s="4">
        <v>2258419</v>
      </c>
      <c r="AI128" s="4">
        <v>2707986</v>
      </c>
      <c r="AJ128" s="4">
        <v>3157553</v>
      </c>
      <c r="AK128" s="4">
        <v>3607120</v>
      </c>
      <c r="AL128" s="4">
        <v>4056687</v>
      </c>
      <c r="AM128" s="4">
        <v>4506254</v>
      </c>
      <c r="AN128" s="150">
        <v>335590</v>
      </c>
    </row>
    <row r="129" spans="1:40" x14ac:dyDescent="0.2">
      <c r="A129" s="1">
        <v>2023</v>
      </c>
      <c r="B129" s="2" t="s">
        <v>149</v>
      </c>
      <c r="C129" s="2" t="s">
        <v>149</v>
      </c>
      <c r="D129" s="1" t="s">
        <v>501</v>
      </c>
      <c r="E129" s="3">
        <v>2465074</v>
      </c>
      <c r="F129" s="1">
        <v>448</v>
      </c>
      <c r="G129" s="3">
        <v>9411</v>
      </c>
      <c r="H129" s="1">
        <v>0</v>
      </c>
      <c r="I129" s="3">
        <v>2464626</v>
      </c>
      <c r="J129" s="3">
        <v>2455215</v>
      </c>
      <c r="K129" s="3">
        <v>2455215</v>
      </c>
      <c r="L129" s="3">
        <v>99628</v>
      </c>
      <c r="M129" s="3">
        <v>263116</v>
      </c>
      <c r="N129" s="3">
        <v>32045</v>
      </c>
      <c r="O129" s="3">
        <v>27088</v>
      </c>
      <c r="P129" s="3">
        <v>141760</v>
      </c>
      <c r="Q129" s="3">
        <v>1900989</v>
      </c>
      <c r="R129" s="3">
        <v>1891578</v>
      </c>
      <c r="S129" s="3">
        <v>1891578</v>
      </c>
      <c r="T129" s="3">
        <v>246463</v>
      </c>
      <c r="U129" s="3">
        <v>246463</v>
      </c>
      <c r="V129" s="3">
        <v>246463</v>
      </c>
      <c r="W129" s="3">
        <v>246463</v>
      </c>
      <c r="X129" s="3">
        <v>244894</v>
      </c>
      <c r="Y129" s="3">
        <v>244894</v>
      </c>
      <c r="Z129" s="4">
        <v>244894</v>
      </c>
      <c r="AA129" s="4">
        <v>244894</v>
      </c>
      <c r="AB129" s="4">
        <v>244894</v>
      </c>
      <c r="AC129" s="4">
        <v>244893</v>
      </c>
      <c r="AD129" s="4">
        <v>246463</v>
      </c>
      <c r="AE129" s="4">
        <v>492926</v>
      </c>
      <c r="AF129" s="4">
        <v>739389</v>
      </c>
      <c r="AG129" s="4">
        <v>985852</v>
      </c>
      <c r="AH129" s="4">
        <v>1230746</v>
      </c>
      <c r="AI129" s="4">
        <v>1475640</v>
      </c>
      <c r="AJ129" s="4">
        <v>1720534</v>
      </c>
      <c r="AK129" s="4">
        <v>1965428</v>
      </c>
      <c r="AL129" s="4">
        <v>2210322</v>
      </c>
      <c r="AM129" s="4">
        <v>2455215</v>
      </c>
      <c r="AN129" s="150">
        <v>189911</v>
      </c>
    </row>
    <row r="130" spans="1:40" x14ac:dyDescent="0.2">
      <c r="A130" s="1">
        <v>2023</v>
      </c>
      <c r="B130" s="2" t="s">
        <v>150</v>
      </c>
      <c r="C130" s="2" t="s">
        <v>150</v>
      </c>
      <c r="D130" s="1" t="s">
        <v>502</v>
      </c>
      <c r="E130" s="3">
        <v>3217538</v>
      </c>
      <c r="F130" s="1">
        <v>630</v>
      </c>
      <c r="G130" s="3">
        <v>14295</v>
      </c>
      <c r="H130" s="1">
        <v>0</v>
      </c>
      <c r="I130" s="3">
        <v>3216908</v>
      </c>
      <c r="J130" s="3">
        <v>3202613</v>
      </c>
      <c r="K130" s="3">
        <v>3202613</v>
      </c>
      <c r="L130" s="3">
        <v>140217</v>
      </c>
      <c r="M130" s="3">
        <v>385098</v>
      </c>
      <c r="N130" s="3">
        <v>39863</v>
      </c>
      <c r="O130" s="3">
        <v>43588</v>
      </c>
      <c r="P130" s="3">
        <v>215324</v>
      </c>
      <c r="Q130" s="3">
        <v>2392818</v>
      </c>
      <c r="R130" s="3">
        <v>2378523</v>
      </c>
      <c r="S130" s="3">
        <v>2378523</v>
      </c>
      <c r="T130" s="3">
        <v>321691</v>
      </c>
      <c r="U130" s="3">
        <v>321691</v>
      </c>
      <c r="V130" s="3">
        <v>321691</v>
      </c>
      <c r="W130" s="3">
        <v>321691</v>
      </c>
      <c r="X130" s="3">
        <v>319308</v>
      </c>
      <c r="Y130" s="3">
        <v>319308</v>
      </c>
      <c r="Z130" s="4">
        <v>319308</v>
      </c>
      <c r="AA130" s="4">
        <v>319308</v>
      </c>
      <c r="AB130" s="4">
        <v>319308</v>
      </c>
      <c r="AC130" s="4">
        <v>319309</v>
      </c>
      <c r="AD130" s="4">
        <v>321691</v>
      </c>
      <c r="AE130" s="4">
        <v>643382</v>
      </c>
      <c r="AF130" s="4">
        <v>965073</v>
      </c>
      <c r="AG130" s="4">
        <v>1286764</v>
      </c>
      <c r="AH130" s="4">
        <v>1606072</v>
      </c>
      <c r="AI130" s="4">
        <v>1925380</v>
      </c>
      <c r="AJ130" s="4">
        <v>2244688</v>
      </c>
      <c r="AK130" s="4">
        <v>2563996</v>
      </c>
      <c r="AL130" s="4">
        <v>2883304</v>
      </c>
      <c r="AM130" s="4">
        <v>3202613</v>
      </c>
      <c r="AN130" s="150">
        <v>296575</v>
      </c>
    </row>
    <row r="131" spans="1:40" x14ac:dyDescent="0.2">
      <c r="A131" s="1">
        <v>2023</v>
      </c>
      <c r="B131" s="2" t="s">
        <v>151</v>
      </c>
      <c r="C131" s="2" t="s">
        <v>151</v>
      </c>
      <c r="D131" s="1" t="s">
        <v>5</v>
      </c>
      <c r="E131" s="3">
        <v>1988953</v>
      </c>
      <c r="F131" s="3">
        <v>116</v>
      </c>
      <c r="G131" s="3">
        <v>7753</v>
      </c>
      <c r="H131" s="1">
        <v>0</v>
      </c>
      <c r="I131" s="3">
        <v>1988837</v>
      </c>
      <c r="J131" s="3">
        <v>1981084</v>
      </c>
      <c r="K131" s="3">
        <v>1981084</v>
      </c>
      <c r="L131" s="3">
        <v>25830</v>
      </c>
      <c r="M131" s="3">
        <v>216631</v>
      </c>
      <c r="N131" s="3">
        <v>22955</v>
      </c>
      <c r="O131" s="3">
        <v>22489</v>
      </c>
      <c r="P131" s="3">
        <v>117183</v>
      </c>
      <c r="Q131" s="3">
        <v>1583749</v>
      </c>
      <c r="R131" s="3">
        <v>1575996</v>
      </c>
      <c r="S131" s="3">
        <v>1575996</v>
      </c>
      <c r="T131" s="3">
        <v>198884</v>
      </c>
      <c r="U131" s="3">
        <v>198884</v>
      </c>
      <c r="V131" s="3">
        <v>198884</v>
      </c>
      <c r="W131" s="3">
        <v>198884</v>
      </c>
      <c r="X131" s="3">
        <v>197591</v>
      </c>
      <c r="Y131" s="3">
        <v>197591</v>
      </c>
      <c r="Z131" s="4">
        <v>197592</v>
      </c>
      <c r="AA131" s="4">
        <v>197592</v>
      </c>
      <c r="AB131" s="4">
        <v>197592</v>
      </c>
      <c r="AC131" s="4">
        <v>197590</v>
      </c>
      <c r="AD131" s="4">
        <v>198884</v>
      </c>
      <c r="AE131" s="4">
        <v>397768</v>
      </c>
      <c r="AF131" s="4">
        <v>596652</v>
      </c>
      <c r="AG131" s="4">
        <v>795536</v>
      </c>
      <c r="AH131" s="4">
        <v>993127</v>
      </c>
      <c r="AI131" s="4">
        <v>1190718</v>
      </c>
      <c r="AJ131" s="4">
        <v>1388310</v>
      </c>
      <c r="AK131" s="4">
        <v>1585902</v>
      </c>
      <c r="AL131" s="4">
        <v>1783494</v>
      </c>
      <c r="AM131" s="4">
        <v>1981084</v>
      </c>
      <c r="AN131" s="150">
        <v>154571</v>
      </c>
    </row>
    <row r="132" spans="1:40" x14ac:dyDescent="0.2">
      <c r="A132" s="1">
        <v>2023</v>
      </c>
      <c r="B132" s="2" t="s">
        <v>152</v>
      </c>
      <c r="C132" s="2" t="s">
        <v>152</v>
      </c>
      <c r="D132" s="1" t="s">
        <v>503</v>
      </c>
      <c r="E132" s="3">
        <v>1395215</v>
      </c>
      <c r="F132" s="1">
        <v>149</v>
      </c>
      <c r="G132" s="3">
        <v>5392</v>
      </c>
      <c r="H132" s="1">
        <v>0</v>
      </c>
      <c r="I132" s="3">
        <v>1395066</v>
      </c>
      <c r="J132" s="3">
        <v>1389674</v>
      </c>
      <c r="K132" s="3">
        <v>1389674</v>
      </c>
      <c r="L132" s="3">
        <v>33210</v>
      </c>
      <c r="M132" s="3">
        <v>147375</v>
      </c>
      <c r="N132" s="3">
        <v>17282</v>
      </c>
      <c r="O132" s="3">
        <v>15341</v>
      </c>
      <c r="P132" s="3">
        <v>81221</v>
      </c>
      <c r="Q132" s="3">
        <v>1100637</v>
      </c>
      <c r="R132" s="3">
        <v>1095245</v>
      </c>
      <c r="S132" s="3">
        <v>1095245</v>
      </c>
      <c r="T132" s="3">
        <v>139507</v>
      </c>
      <c r="U132" s="3">
        <v>139507</v>
      </c>
      <c r="V132" s="3">
        <v>139507</v>
      </c>
      <c r="W132" s="3">
        <v>139507</v>
      </c>
      <c r="X132" s="3">
        <v>138608</v>
      </c>
      <c r="Y132" s="3">
        <v>138608</v>
      </c>
      <c r="Z132" s="4">
        <v>138608</v>
      </c>
      <c r="AA132" s="4">
        <v>138608</v>
      </c>
      <c r="AB132" s="4">
        <v>138608</v>
      </c>
      <c r="AC132" s="4">
        <v>138606</v>
      </c>
      <c r="AD132" s="4">
        <v>139507</v>
      </c>
      <c r="AE132" s="4">
        <v>279014</v>
      </c>
      <c r="AF132" s="4">
        <v>418521</v>
      </c>
      <c r="AG132" s="4">
        <v>558028</v>
      </c>
      <c r="AH132" s="4">
        <v>696636</v>
      </c>
      <c r="AI132" s="4">
        <v>835244</v>
      </c>
      <c r="AJ132" s="4">
        <v>973852</v>
      </c>
      <c r="AK132" s="4">
        <v>1112460</v>
      </c>
      <c r="AL132" s="4">
        <v>1251068</v>
      </c>
      <c r="AM132" s="4">
        <v>1389674</v>
      </c>
      <c r="AN132" s="150">
        <v>107599</v>
      </c>
    </row>
    <row r="133" spans="1:40" x14ac:dyDescent="0.2">
      <c r="A133" s="1">
        <v>2023</v>
      </c>
      <c r="B133" s="2" t="s">
        <v>153</v>
      </c>
      <c r="C133" s="2" t="s">
        <v>153</v>
      </c>
      <c r="D133" s="1" t="s">
        <v>504</v>
      </c>
      <c r="E133" s="3">
        <v>7816324</v>
      </c>
      <c r="F133" s="3">
        <v>912</v>
      </c>
      <c r="G133" s="3">
        <v>26326</v>
      </c>
      <c r="H133" s="1">
        <v>0</v>
      </c>
      <c r="I133" s="3">
        <v>7815412</v>
      </c>
      <c r="J133" s="3">
        <v>7789086</v>
      </c>
      <c r="K133" s="3">
        <v>7789086</v>
      </c>
      <c r="L133" s="3">
        <v>202946</v>
      </c>
      <c r="M133" s="3">
        <v>731855</v>
      </c>
      <c r="N133" s="3">
        <v>94017</v>
      </c>
      <c r="O133" s="3">
        <v>79576</v>
      </c>
      <c r="P133" s="3">
        <v>396550</v>
      </c>
      <c r="Q133" s="3">
        <v>6310468</v>
      </c>
      <c r="R133" s="3">
        <v>6284142</v>
      </c>
      <c r="S133" s="3">
        <v>6284142</v>
      </c>
      <c r="T133" s="3">
        <v>781541</v>
      </c>
      <c r="U133" s="3">
        <v>781541</v>
      </c>
      <c r="V133" s="3">
        <v>781541</v>
      </c>
      <c r="W133" s="3">
        <v>781541</v>
      </c>
      <c r="X133" s="3">
        <v>777154</v>
      </c>
      <c r="Y133" s="3">
        <v>777154</v>
      </c>
      <c r="Z133" s="4">
        <v>777154</v>
      </c>
      <c r="AA133" s="4">
        <v>777154</v>
      </c>
      <c r="AB133" s="4">
        <v>777154</v>
      </c>
      <c r="AC133" s="4">
        <v>777152</v>
      </c>
      <c r="AD133" s="4">
        <v>781541</v>
      </c>
      <c r="AE133" s="4">
        <v>1563082</v>
      </c>
      <c r="AF133" s="4">
        <v>2344623</v>
      </c>
      <c r="AG133" s="4">
        <v>3126164</v>
      </c>
      <c r="AH133" s="4">
        <v>3903318</v>
      </c>
      <c r="AI133" s="4">
        <v>4680472</v>
      </c>
      <c r="AJ133" s="4">
        <v>5457626</v>
      </c>
      <c r="AK133" s="4">
        <v>6234780</v>
      </c>
      <c r="AL133" s="4">
        <v>7011934</v>
      </c>
      <c r="AM133" s="4">
        <v>7789086</v>
      </c>
      <c r="AN133" s="150">
        <v>558766</v>
      </c>
    </row>
    <row r="134" spans="1:40" x14ac:dyDescent="0.2">
      <c r="A134" s="1">
        <v>2023</v>
      </c>
      <c r="B134" s="2" t="s">
        <v>154</v>
      </c>
      <c r="C134" s="2" t="s">
        <v>154</v>
      </c>
      <c r="D134" s="1" t="s">
        <v>505</v>
      </c>
      <c r="E134" s="3">
        <v>8822885</v>
      </c>
      <c r="F134" s="3">
        <v>1294</v>
      </c>
      <c r="G134" s="3">
        <v>32105</v>
      </c>
      <c r="H134" s="1">
        <v>0</v>
      </c>
      <c r="I134" s="3">
        <v>8821591</v>
      </c>
      <c r="J134" s="3">
        <v>8789486</v>
      </c>
      <c r="K134" s="3">
        <v>8789486</v>
      </c>
      <c r="L134" s="3">
        <v>287813</v>
      </c>
      <c r="M134" s="3">
        <v>859347</v>
      </c>
      <c r="N134" s="3">
        <v>100478</v>
      </c>
      <c r="O134" s="3">
        <v>100600</v>
      </c>
      <c r="P134" s="3">
        <v>483602</v>
      </c>
      <c r="Q134" s="3">
        <v>6989751</v>
      </c>
      <c r="R134" s="3">
        <v>6957646</v>
      </c>
      <c r="S134" s="3">
        <v>6957646</v>
      </c>
      <c r="T134" s="3">
        <v>882159</v>
      </c>
      <c r="U134" s="3">
        <v>882159</v>
      </c>
      <c r="V134" s="3">
        <v>882159</v>
      </c>
      <c r="W134" s="3">
        <v>882159</v>
      </c>
      <c r="X134" s="3">
        <v>876808</v>
      </c>
      <c r="Y134" s="3">
        <v>876808</v>
      </c>
      <c r="Z134" s="4">
        <v>876809</v>
      </c>
      <c r="AA134" s="4">
        <v>876809</v>
      </c>
      <c r="AB134" s="4">
        <v>876809</v>
      </c>
      <c r="AC134" s="4">
        <v>876807</v>
      </c>
      <c r="AD134" s="4">
        <v>882159</v>
      </c>
      <c r="AE134" s="4">
        <v>1764318</v>
      </c>
      <c r="AF134" s="4">
        <v>2646477</v>
      </c>
      <c r="AG134" s="4">
        <v>3528636</v>
      </c>
      <c r="AH134" s="4">
        <v>4405444</v>
      </c>
      <c r="AI134" s="4">
        <v>5282252</v>
      </c>
      <c r="AJ134" s="4">
        <v>6159061</v>
      </c>
      <c r="AK134" s="4">
        <v>7035870</v>
      </c>
      <c r="AL134" s="4">
        <v>7912679</v>
      </c>
      <c r="AM134" s="4">
        <v>8789486</v>
      </c>
      <c r="AN134" s="150">
        <v>648681</v>
      </c>
    </row>
    <row r="135" spans="1:40" x14ac:dyDescent="0.2">
      <c r="A135" s="1">
        <v>2023</v>
      </c>
      <c r="B135" s="2" t="s">
        <v>156</v>
      </c>
      <c r="C135" s="2" t="s">
        <v>156</v>
      </c>
      <c r="D135" s="1" t="s">
        <v>506</v>
      </c>
      <c r="E135" s="3">
        <v>1100857</v>
      </c>
      <c r="F135" s="3">
        <v>299</v>
      </c>
      <c r="G135" s="3">
        <v>6960</v>
      </c>
      <c r="H135" s="1">
        <v>0</v>
      </c>
      <c r="I135" s="3">
        <v>1100558</v>
      </c>
      <c r="J135" s="3">
        <v>1093598</v>
      </c>
      <c r="K135" s="3">
        <v>1093598</v>
      </c>
      <c r="L135" s="3">
        <v>66418</v>
      </c>
      <c r="M135" s="3">
        <v>194221</v>
      </c>
      <c r="N135" s="3">
        <v>26083</v>
      </c>
      <c r="O135" s="3">
        <v>20399</v>
      </c>
      <c r="P135" s="3">
        <v>104835</v>
      </c>
      <c r="Q135" s="3">
        <v>688602</v>
      </c>
      <c r="R135" s="3">
        <v>681642</v>
      </c>
      <c r="S135" s="3">
        <v>681642</v>
      </c>
      <c r="T135" s="3">
        <v>110056</v>
      </c>
      <c r="U135" s="3">
        <v>110056</v>
      </c>
      <c r="V135" s="3">
        <v>110056</v>
      </c>
      <c r="W135" s="3">
        <v>110056</v>
      </c>
      <c r="X135" s="3">
        <v>108896</v>
      </c>
      <c r="Y135" s="3">
        <v>108896</v>
      </c>
      <c r="Z135" s="4">
        <v>108896</v>
      </c>
      <c r="AA135" s="4">
        <v>108896</v>
      </c>
      <c r="AB135" s="4">
        <v>108896</v>
      </c>
      <c r="AC135" s="4">
        <v>108894</v>
      </c>
      <c r="AD135" s="4">
        <v>110056</v>
      </c>
      <c r="AE135" s="4">
        <v>220112</v>
      </c>
      <c r="AF135" s="4">
        <v>330168</v>
      </c>
      <c r="AG135" s="4">
        <v>440224</v>
      </c>
      <c r="AH135" s="4">
        <v>549120</v>
      </c>
      <c r="AI135" s="4">
        <v>658016</v>
      </c>
      <c r="AJ135" s="4">
        <v>766912</v>
      </c>
      <c r="AK135" s="4">
        <v>875808</v>
      </c>
      <c r="AL135" s="4">
        <v>984704</v>
      </c>
      <c r="AM135" s="4">
        <v>1093598</v>
      </c>
      <c r="AN135" s="150">
        <v>142677</v>
      </c>
    </row>
    <row r="136" spans="1:40" x14ac:dyDescent="0.2">
      <c r="A136" s="1">
        <v>2023</v>
      </c>
      <c r="B136" s="2" t="s">
        <v>157</v>
      </c>
      <c r="C136" s="2" t="s">
        <v>157</v>
      </c>
      <c r="D136" s="1" t="s">
        <v>507</v>
      </c>
      <c r="E136" s="3">
        <v>3377075</v>
      </c>
      <c r="F136" s="3">
        <v>564</v>
      </c>
      <c r="G136" s="3">
        <v>15269</v>
      </c>
      <c r="H136" s="1">
        <v>0</v>
      </c>
      <c r="I136" s="3">
        <v>3376511</v>
      </c>
      <c r="J136" s="3">
        <v>3361242</v>
      </c>
      <c r="K136" s="3">
        <v>3361242</v>
      </c>
      <c r="L136" s="3">
        <v>125457</v>
      </c>
      <c r="M136" s="3">
        <v>430477</v>
      </c>
      <c r="N136" s="3">
        <v>44115</v>
      </c>
      <c r="O136" s="3">
        <v>46635</v>
      </c>
      <c r="P136" s="3">
        <v>229994</v>
      </c>
      <c r="Q136" s="3">
        <v>2499833</v>
      </c>
      <c r="R136" s="3">
        <v>2484564</v>
      </c>
      <c r="S136" s="3">
        <v>2484564</v>
      </c>
      <c r="T136" s="3">
        <v>337651</v>
      </c>
      <c r="U136" s="3">
        <v>337651</v>
      </c>
      <c r="V136" s="3">
        <v>337651</v>
      </c>
      <c r="W136" s="3">
        <v>337651</v>
      </c>
      <c r="X136" s="3">
        <v>335106</v>
      </c>
      <c r="Y136" s="3">
        <v>335106</v>
      </c>
      <c r="Z136" s="4">
        <v>335107</v>
      </c>
      <c r="AA136" s="4">
        <v>335107</v>
      </c>
      <c r="AB136" s="4">
        <v>335107</v>
      </c>
      <c r="AC136" s="4">
        <v>335105</v>
      </c>
      <c r="AD136" s="4">
        <v>337651</v>
      </c>
      <c r="AE136" s="4">
        <v>675302</v>
      </c>
      <c r="AF136" s="4">
        <v>1012953</v>
      </c>
      <c r="AG136" s="4">
        <v>1350604</v>
      </c>
      <c r="AH136" s="4">
        <v>1685710</v>
      </c>
      <c r="AI136" s="4">
        <v>2020816</v>
      </c>
      <c r="AJ136" s="4">
        <v>2355923</v>
      </c>
      <c r="AK136" s="4">
        <v>2691030</v>
      </c>
      <c r="AL136" s="4">
        <v>3026137</v>
      </c>
      <c r="AM136" s="4">
        <v>3361242</v>
      </c>
      <c r="AN136" s="150">
        <v>336931</v>
      </c>
    </row>
    <row r="137" spans="1:40" x14ac:dyDescent="0.2">
      <c r="A137" s="1">
        <v>2023</v>
      </c>
      <c r="B137" s="2" t="s">
        <v>158</v>
      </c>
      <c r="C137" s="2" t="s">
        <v>158</v>
      </c>
      <c r="D137" s="1" t="s">
        <v>508</v>
      </c>
      <c r="E137" s="3">
        <v>3427134</v>
      </c>
      <c r="F137" s="1">
        <v>448</v>
      </c>
      <c r="G137" s="3">
        <v>13969</v>
      </c>
      <c r="H137" s="1">
        <v>0</v>
      </c>
      <c r="I137" s="3">
        <v>3426686</v>
      </c>
      <c r="J137" s="3">
        <v>3412717</v>
      </c>
      <c r="K137" s="3">
        <v>3412717</v>
      </c>
      <c r="L137" s="3">
        <v>99628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2627695</v>
      </c>
      <c r="R137" s="3">
        <v>2613726</v>
      </c>
      <c r="S137" s="3">
        <v>2613726</v>
      </c>
      <c r="T137" s="3">
        <v>342669</v>
      </c>
      <c r="U137" s="3">
        <v>342669</v>
      </c>
      <c r="V137" s="3">
        <v>342669</v>
      </c>
      <c r="W137" s="3">
        <v>342669</v>
      </c>
      <c r="X137" s="3">
        <v>340340</v>
      </c>
      <c r="Y137" s="3">
        <v>340340</v>
      </c>
      <c r="Z137" s="4">
        <v>340340</v>
      </c>
      <c r="AA137" s="4">
        <v>340340</v>
      </c>
      <c r="AB137" s="4">
        <v>340340</v>
      </c>
      <c r="AC137" s="4">
        <v>340341</v>
      </c>
      <c r="AD137" s="4">
        <v>342669</v>
      </c>
      <c r="AE137" s="4">
        <v>685338</v>
      </c>
      <c r="AF137" s="4">
        <v>1028007</v>
      </c>
      <c r="AG137" s="4">
        <v>1370676</v>
      </c>
      <c r="AH137" s="4">
        <v>1711016</v>
      </c>
      <c r="AI137" s="4">
        <v>2051356</v>
      </c>
      <c r="AJ137" s="4">
        <v>2391696</v>
      </c>
      <c r="AK137" s="4">
        <v>2732036</v>
      </c>
      <c r="AL137" s="4">
        <v>3072376</v>
      </c>
      <c r="AM137" s="4">
        <v>3412717</v>
      </c>
      <c r="AN137" s="150">
        <v>281107</v>
      </c>
    </row>
    <row r="138" spans="1:40" x14ac:dyDescent="0.2">
      <c r="A138" s="1">
        <v>2023</v>
      </c>
      <c r="B138" s="2" t="s">
        <v>159</v>
      </c>
      <c r="C138" s="2" t="s">
        <v>159</v>
      </c>
      <c r="D138" s="1" t="s">
        <v>509</v>
      </c>
      <c r="E138" s="3">
        <v>3581669</v>
      </c>
      <c r="F138" s="1">
        <v>597</v>
      </c>
      <c r="G138" s="3">
        <v>13235</v>
      </c>
      <c r="H138" s="3">
        <v>0</v>
      </c>
      <c r="I138" s="3">
        <v>3581072</v>
      </c>
      <c r="J138" s="3">
        <v>3567837</v>
      </c>
      <c r="K138" s="3">
        <v>3567837</v>
      </c>
      <c r="L138" s="3">
        <v>132837</v>
      </c>
      <c r="M138" s="3">
        <v>367150</v>
      </c>
      <c r="N138" s="3">
        <v>44459</v>
      </c>
      <c r="O138" s="3">
        <v>41255</v>
      </c>
      <c r="P138" s="3">
        <v>199366</v>
      </c>
      <c r="Q138" s="3">
        <v>2796005</v>
      </c>
      <c r="R138" s="3">
        <v>2782770</v>
      </c>
      <c r="S138" s="3">
        <v>2782770</v>
      </c>
      <c r="T138" s="3">
        <v>358107</v>
      </c>
      <c r="U138" s="3">
        <v>358107</v>
      </c>
      <c r="V138" s="3">
        <v>358107</v>
      </c>
      <c r="W138" s="3">
        <v>358107</v>
      </c>
      <c r="X138" s="3">
        <v>355902</v>
      </c>
      <c r="Y138" s="3">
        <v>355902</v>
      </c>
      <c r="Z138" s="4">
        <v>355901</v>
      </c>
      <c r="AA138" s="4">
        <v>355901</v>
      </c>
      <c r="AB138" s="4">
        <v>355901</v>
      </c>
      <c r="AC138" s="4">
        <v>355902</v>
      </c>
      <c r="AD138" s="4">
        <v>358107</v>
      </c>
      <c r="AE138" s="4">
        <v>716214</v>
      </c>
      <c r="AF138" s="4">
        <v>1074321</v>
      </c>
      <c r="AG138" s="4">
        <v>1432428</v>
      </c>
      <c r="AH138" s="4">
        <v>1788330</v>
      </c>
      <c r="AI138" s="4">
        <v>2144232</v>
      </c>
      <c r="AJ138" s="4">
        <v>2500133</v>
      </c>
      <c r="AK138" s="4">
        <v>2856034</v>
      </c>
      <c r="AL138" s="4">
        <v>3211935</v>
      </c>
      <c r="AM138" s="4">
        <v>3567837</v>
      </c>
      <c r="AN138" s="150">
        <v>268580</v>
      </c>
    </row>
    <row r="139" spans="1:40" x14ac:dyDescent="0.2">
      <c r="A139" s="1">
        <v>2023</v>
      </c>
      <c r="B139" s="2" t="s">
        <v>160</v>
      </c>
      <c r="C139" s="2" t="s">
        <v>160</v>
      </c>
      <c r="D139" s="1" t="s">
        <v>510</v>
      </c>
      <c r="E139" s="3">
        <v>7236506</v>
      </c>
      <c r="F139" s="3">
        <v>929</v>
      </c>
      <c r="G139" s="3">
        <v>27435</v>
      </c>
      <c r="H139" s="1">
        <v>0</v>
      </c>
      <c r="I139" s="3">
        <v>7235577</v>
      </c>
      <c r="J139" s="3">
        <v>7208142</v>
      </c>
      <c r="K139" s="3">
        <v>7208142</v>
      </c>
      <c r="L139" s="3">
        <v>206635</v>
      </c>
      <c r="M139" s="3">
        <v>759863</v>
      </c>
      <c r="N139" s="3">
        <v>81508</v>
      </c>
      <c r="O139" s="3">
        <v>82155</v>
      </c>
      <c r="P139" s="3">
        <v>413259</v>
      </c>
      <c r="Q139" s="3">
        <v>5692157</v>
      </c>
      <c r="R139" s="3">
        <v>5664722</v>
      </c>
      <c r="S139" s="3">
        <v>5664722</v>
      </c>
      <c r="T139" s="3">
        <v>723558</v>
      </c>
      <c r="U139" s="3">
        <v>723558</v>
      </c>
      <c r="V139" s="3">
        <v>723558</v>
      </c>
      <c r="W139" s="3">
        <v>723558</v>
      </c>
      <c r="X139" s="3">
        <v>718985</v>
      </c>
      <c r="Y139" s="3">
        <v>718985</v>
      </c>
      <c r="Z139" s="4">
        <v>718985</v>
      </c>
      <c r="AA139" s="4">
        <v>718985</v>
      </c>
      <c r="AB139" s="4">
        <v>718985</v>
      </c>
      <c r="AC139" s="4">
        <v>718985</v>
      </c>
      <c r="AD139" s="4">
        <v>723558</v>
      </c>
      <c r="AE139" s="4">
        <v>1447116</v>
      </c>
      <c r="AF139" s="4">
        <v>2170674</v>
      </c>
      <c r="AG139" s="4">
        <v>2894232</v>
      </c>
      <c r="AH139" s="4">
        <v>3613217</v>
      </c>
      <c r="AI139" s="4">
        <v>4332202</v>
      </c>
      <c r="AJ139" s="4">
        <v>5051187</v>
      </c>
      <c r="AK139" s="4">
        <v>5770172</v>
      </c>
      <c r="AL139" s="4">
        <v>6489157</v>
      </c>
      <c r="AM139" s="4">
        <v>7208142</v>
      </c>
      <c r="AN139" s="150">
        <v>588089</v>
      </c>
    </row>
    <row r="140" spans="1:40" x14ac:dyDescent="0.2">
      <c r="A140" s="1">
        <v>2023</v>
      </c>
      <c r="B140" s="2" t="s">
        <v>161</v>
      </c>
      <c r="C140" s="2" t="s">
        <v>161</v>
      </c>
      <c r="D140" s="1" t="s">
        <v>511</v>
      </c>
      <c r="E140" s="3">
        <v>1843006</v>
      </c>
      <c r="F140" s="1">
        <v>299</v>
      </c>
      <c r="G140" s="3">
        <v>9718</v>
      </c>
      <c r="H140" s="1">
        <v>0</v>
      </c>
      <c r="I140" s="3">
        <v>1842707</v>
      </c>
      <c r="J140" s="3">
        <v>1832989</v>
      </c>
      <c r="K140" s="3">
        <v>1832989</v>
      </c>
      <c r="L140" s="3">
        <v>66418</v>
      </c>
      <c r="M140" s="3">
        <v>258088</v>
      </c>
      <c r="N140" s="3">
        <v>26154</v>
      </c>
      <c r="O140" s="3">
        <v>22693</v>
      </c>
      <c r="P140" s="3">
        <v>146470</v>
      </c>
      <c r="Q140" s="3">
        <v>1322884</v>
      </c>
      <c r="R140" s="3">
        <v>1313166</v>
      </c>
      <c r="S140" s="3">
        <v>1313166</v>
      </c>
      <c r="T140" s="3">
        <v>184271</v>
      </c>
      <c r="U140" s="3">
        <v>184271</v>
      </c>
      <c r="V140" s="3">
        <v>184271</v>
      </c>
      <c r="W140" s="3">
        <v>184271</v>
      </c>
      <c r="X140" s="3">
        <v>182651</v>
      </c>
      <c r="Y140" s="3">
        <v>182651</v>
      </c>
      <c r="Z140" s="4">
        <v>182651</v>
      </c>
      <c r="AA140" s="4">
        <v>182651</v>
      </c>
      <c r="AB140" s="4">
        <v>182651</v>
      </c>
      <c r="AC140" s="4">
        <v>182650</v>
      </c>
      <c r="AD140" s="4">
        <v>184271</v>
      </c>
      <c r="AE140" s="4">
        <v>368542</v>
      </c>
      <c r="AF140" s="4">
        <v>552813</v>
      </c>
      <c r="AG140" s="4">
        <v>737084</v>
      </c>
      <c r="AH140" s="4">
        <v>919735</v>
      </c>
      <c r="AI140" s="4">
        <v>1102386</v>
      </c>
      <c r="AJ140" s="4">
        <v>1285037</v>
      </c>
      <c r="AK140" s="4">
        <v>1467688</v>
      </c>
      <c r="AL140" s="4">
        <v>1650339</v>
      </c>
      <c r="AM140" s="4">
        <v>1832989</v>
      </c>
      <c r="AN140" s="150">
        <v>200357</v>
      </c>
    </row>
    <row r="141" spans="1:40" x14ac:dyDescent="0.2">
      <c r="A141" s="1">
        <v>2023</v>
      </c>
      <c r="B141" s="2" t="s">
        <v>162</v>
      </c>
      <c r="C141" s="2" t="s">
        <v>162</v>
      </c>
      <c r="D141" s="1" t="s">
        <v>512</v>
      </c>
      <c r="E141" s="3">
        <v>4894559</v>
      </c>
      <c r="F141" s="3">
        <v>564</v>
      </c>
      <c r="G141" s="3">
        <v>16110</v>
      </c>
      <c r="H141" s="1">
        <v>0</v>
      </c>
      <c r="I141" s="3">
        <v>4893995</v>
      </c>
      <c r="J141" s="3">
        <v>4877885</v>
      </c>
      <c r="K141" s="3">
        <v>4877885</v>
      </c>
      <c r="L141" s="3">
        <v>125457</v>
      </c>
      <c r="M141" s="3">
        <v>462756</v>
      </c>
      <c r="N141" s="3">
        <v>42116</v>
      </c>
      <c r="O141" s="3">
        <v>52384</v>
      </c>
      <c r="P141" s="3">
        <v>242660</v>
      </c>
      <c r="Q141" s="3">
        <v>3968622</v>
      </c>
      <c r="R141" s="3">
        <v>3952512</v>
      </c>
      <c r="S141" s="3">
        <v>3952512</v>
      </c>
      <c r="T141" s="3">
        <v>489400</v>
      </c>
      <c r="U141" s="3">
        <v>489400</v>
      </c>
      <c r="V141" s="3">
        <v>489400</v>
      </c>
      <c r="W141" s="3">
        <v>489400</v>
      </c>
      <c r="X141" s="3">
        <v>486714</v>
      </c>
      <c r="Y141" s="3">
        <v>486714</v>
      </c>
      <c r="Z141" s="4">
        <v>486714</v>
      </c>
      <c r="AA141" s="4">
        <v>486714</v>
      </c>
      <c r="AB141" s="4">
        <v>486714</v>
      </c>
      <c r="AC141" s="4">
        <v>486715</v>
      </c>
      <c r="AD141" s="4">
        <v>489400</v>
      </c>
      <c r="AE141" s="4">
        <v>978800</v>
      </c>
      <c r="AF141" s="4">
        <v>1468200</v>
      </c>
      <c r="AG141" s="4">
        <v>1957600</v>
      </c>
      <c r="AH141" s="4">
        <v>2444314</v>
      </c>
      <c r="AI141" s="4">
        <v>2931028</v>
      </c>
      <c r="AJ141" s="4">
        <v>3417742</v>
      </c>
      <c r="AK141" s="4">
        <v>3904456</v>
      </c>
      <c r="AL141" s="4">
        <v>4391170</v>
      </c>
      <c r="AM141" s="4">
        <v>4877885</v>
      </c>
      <c r="AN141" s="150">
        <v>332981</v>
      </c>
    </row>
    <row r="142" spans="1:40" x14ac:dyDescent="0.2">
      <c r="A142" s="1">
        <v>2023</v>
      </c>
      <c r="B142" s="2" t="s">
        <v>163</v>
      </c>
      <c r="C142" s="2" t="s">
        <v>163</v>
      </c>
      <c r="D142" s="1" t="s">
        <v>513</v>
      </c>
      <c r="E142" s="3">
        <v>8142293</v>
      </c>
      <c r="F142" s="3">
        <v>1360</v>
      </c>
      <c r="G142" s="3">
        <v>29369</v>
      </c>
      <c r="H142" s="1">
        <v>0</v>
      </c>
      <c r="I142" s="3">
        <v>8140933</v>
      </c>
      <c r="J142" s="3">
        <v>8111564</v>
      </c>
      <c r="K142" s="3">
        <v>8111564</v>
      </c>
      <c r="L142" s="3">
        <v>302573</v>
      </c>
      <c r="M142" s="3">
        <v>804550</v>
      </c>
      <c r="N142" s="3">
        <v>97923</v>
      </c>
      <c r="O142" s="3">
        <v>88328</v>
      </c>
      <c r="P142" s="3">
        <v>442384</v>
      </c>
      <c r="Q142" s="3">
        <v>6405175</v>
      </c>
      <c r="R142" s="3">
        <v>6375806</v>
      </c>
      <c r="S142" s="3">
        <v>6375806</v>
      </c>
      <c r="T142" s="3">
        <v>814093</v>
      </c>
      <c r="U142" s="3">
        <v>814093</v>
      </c>
      <c r="V142" s="3">
        <v>814093</v>
      </c>
      <c r="W142" s="3">
        <v>814093</v>
      </c>
      <c r="X142" s="3">
        <v>809199</v>
      </c>
      <c r="Y142" s="3">
        <v>809199</v>
      </c>
      <c r="Z142" s="4">
        <v>809199</v>
      </c>
      <c r="AA142" s="4">
        <v>809199</v>
      </c>
      <c r="AB142" s="4">
        <v>809199</v>
      </c>
      <c r="AC142" s="4">
        <v>809197</v>
      </c>
      <c r="AD142" s="4">
        <v>814093</v>
      </c>
      <c r="AE142" s="4">
        <v>1628186</v>
      </c>
      <c r="AF142" s="4">
        <v>2442279</v>
      </c>
      <c r="AG142" s="4">
        <v>3256372</v>
      </c>
      <c r="AH142" s="4">
        <v>4065571</v>
      </c>
      <c r="AI142" s="4">
        <v>4874770</v>
      </c>
      <c r="AJ142" s="4">
        <v>5683969</v>
      </c>
      <c r="AK142" s="4">
        <v>6493168</v>
      </c>
      <c r="AL142" s="4">
        <v>7302367</v>
      </c>
      <c r="AM142" s="4">
        <v>8111564</v>
      </c>
      <c r="AN142" s="150">
        <v>620436</v>
      </c>
    </row>
    <row r="143" spans="1:40" x14ac:dyDescent="0.2">
      <c r="A143" s="1">
        <v>2023</v>
      </c>
      <c r="B143" s="2" t="s">
        <v>164</v>
      </c>
      <c r="C143" s="2" t="s">
        <v>164</v>
      </c>
      <c r="D143" s="1" t="s">
        <v>514</v>
      </c>
      <c r="E143" s="3">
        <v>9847421</v>
      </c>
      <c r="F143" s="3">
        <v>1559</v>
      </c>
      <c r="G143" s="3">
        <v>33414</v>
      </c>
      <c r="H143" s="1">
        <v>0</v>
      </c>
      <c r="I143" s="3">
        <v>9845862</v>
      </c>
      <c r="J143" s="3">
        <v>9812448</v>
      </c>
      <c r="K143" s="3">
        <v>9812448</v>
      </c>
      <c r="L143" s="3">
        <v>346852</v>
      </c>
      <c r="M143" s="3">
        <v>931770</v>
      </c>
      <c r="N143" s="3">
        <v>104715</v>
      </c>
      <c r="O143" s="3">
        <v>109329</v>
      </c>
      <c r="P143" s="3">
        <v>503317</v>
      </c>
      <c r="Q143" s="3">
        <v>7849879</v>
      </c>
      <c r="R143" s="3">
        <v>7816465</v>
      </c>
      <c r="S143" s="3">
        <v>7816465</v>
      </c>
      <c r="T143" s="3">
        <v>984586</v>
      </c>
      <c r="U143" s="3">
        <v>984586</v>
      </c>
      <c r="V143" s="3">
        <v>984586</v>
      </c>
      <c r="W143" s="3">
        <v>984586</v>
      </c>
      <c r="X143" s="3">
        <v>979017</v>
      </c>
      <c r="Y143" s="3">
        <v>979017</v>
      </c>
      <c r="Z143" s="4">
        <v>979018</v>
      </c>
      <c r="AA143" s="4">
        <v>979018</v>
      </c>
      <c r="AB143" s="4">
        <v>979018</v>
      </c>
      <c r="AC143" s="4">
        <v>979016</v>
      </c>
      <c r="AD143" s="4">
        <v>984586</v>
      </c>
      <c r="AE143" s="4">
        <v>1969172</v>
      </c>
      <c r="AF143" s="4">
        <v>2953758</v>
      </c>
      <c r="AG143" s="4">
        <v>3938344</v>
      </c>
      <c r="AH143" s="4">
        <v>4917361</v>
      </c>
      <c r="AI143" s="4">
        <v>5896378</v>
      </c>
      <c r="AJ143" s="4">
        <v>6875396</v>
      </c>
      <c r="AK143" s="4">
        <v>7854414</v>
      </c>
      <c r="AL143" s="4">
        <v>8833432</v>
      </c>
      <c r="AM143" s="4">
        <v>9812448</v>
      </c>
      <c r="AN143" s="150">
        <v>708909</v>
      </c>
    </row>
    <row r="144" spans="1:40" x14ac:dyDescent="0.2">
      <c r="A144" s="1">
        <v>2023</v>
      </c>
      <c r="B144" s="2" t="s">
        <v>165</v>
      </c>
      <c r="C144" s="2" t="s">
        <v>165</v>
      </c>
      <c r="D144" s="1" t="s">
        <v>515</v>
      </c>
      <c r="E144" s="3">
        <v>25573911</v>
      </c>
      <c r="F144" s="3">
        <v>2057</v>
      </c>
      <c r="G144" s="3">
        <v>82532</v>
      </c>
      <c r="H144" s="1">
        <v>0</v>
      </c>
      <c r="I144" s="3">
        <v>25571854</v>
      </c>
      <c r="J144" s="3">
        <v>25489322</v>
      </c>
      <c r="K144" s="3">
        <v>25489322</v>
      </c>
      <c r="L144" s="3">
        <v>457549</v>
      </c>
      <c r="M144" s="3">
        <v>2063610</v>
      </c>
      <c r="N144" s="3">
        <v>236266</v>
      </c>
      <c r="O144" s="3">
        <v>243597</v>
      </c>
      <c r="P144" s="3">
        <v>1243176</v>
      </c>
      <c r="Q144" s="3">
        <v>21327656</v>
      </c>
      <c r="R144" s="3">
        <v>21245124</v>
      </c>
      <c r="S144" s="3">
        <v>21245124</v>
      </c>
      <c r="T144" s="3">
        <v>2557185</v>
      </c>
      <c r="U144" s="3">
        <v>2557185</v>
      </c>
      <c r="V144" s="3">
        <v>2557185</v>
      </c>
      <c r="W144" s="3">
        <v>2557185</v>
      </c>
      <c r="X144" s="3">
        <v>2543430</v>
      </c>
      <c r="Y144" s="3">
        <v>2543430</v>
      </c>
      <c r="Z144" s="4">
        <v>2543431</v>
      </c>
      <c r="AA144" s="4">
        <v>2543431</v>
      </c>
      <c r="AB144" s="4">
        <v>2543431</v>
      </c>
      <c r="AC144" s="4">
        <v>2543429</v>
      </c>
      <c r="AD144" s="4">
        <v>2557185</v>
      </c>
      <c r="AE144" s="4">
        <v>5114370</v>
      </c>
      <c r="AF144" s="4">
        <v>7671555</v>
      </c>
      <c r="AG144" s="4">
        <v>10228740</v>
      </c>
      <c r="AH144" s="4">
        <v>12772170</v>
      </c>
      <c r="AI144" s="4">
        <v>15315600</v>
      </c>
      <c r="AJ144" s="4">
        <v>17859031</v>
      </c>
      <c r="AK144" s="4">
        <v>20402462</v>
      </c>
      <c r="AL144" s="4">
        <v>22945893</v>
      </c>
      <c r="AM144" s="4">
        <v>25489322</v>
      </c>
      <c r="AN144" s="150">
        <v>1652538</v>
      </c>
    </row>
    <row r="145" spans="1:40" x14ac:dyDescent="0.2">
      <c r="A145" s="1">
        <v>2023</v>
      </c>
      <c r="B145" s="2" t="s">
        <v>166</v>
      </c>
      <c r="C145" s="2" t="s">
        <v>166</v>
      </c>
      <c r="D145" s="1" t="s">
        <v>516</v>
      </c>
      <c r="E145" s="3">
        <v>5916689</v>
      </c>
      <c r="F145" s="3">
        <v>730</v>
      </c>
      <c r="G145" s="3">
        <v>20126</v>
      </c>
      <c r="H145" s="1">
        <v>0</v>
      </c>
      <c r="I145" s="3">
        <v>5915959</v>
      </c>
      <c r="J145" s="3">
        <v>5895833</v>
      </c>
      <c r="K145" s="3">
        <v>5895833</v>
      </c>
      <c r="L145" s="3">
        <v>162356</v>
      </c>
      <c r="M145" s="3">
        <v>547136</v>
      </c>
      <c r="N145" s="3">
        <v>58667</v>
      </c>
      <c r="O145" s="3">
        <v>51660</v>
      </c>
      <c r="P145" s="3">
        <v>303164</v>
      </c>
      <c r="Q145" s="3">
        <v>4792976</v>
      </c>
      <c r="R145" s="3">
        <v>4772850</v>
      </c>
      <c r="S145" s="3">
        <v>4772850</v>
      </c>
      <c r="T145" s="3">
        <v>591596</v>
      </c>
      <c r="U145" s="3">
        <v>591596</v>
      </c>
      <c r="V145" s="3">
        <v>591596</v>
      </c>
      <c r="W145" s="3">
        <v>591596</v>
      </c>
      <c r="X145" s="3">
        <v>588242</v>
      </c>
      <c r="Y145" s="3">
        <v>588242</v>
      </c>
      <c r="Z145" s="4">
        <v>588241</v>
      </c>
      <c r="AA145" s="4">
        <v>588241</v>
      </c>
      <c r="AB145" s="4">
        <v>588241</v>
      </c>
      <c r="AC145" s="4">
        <v>588242</v>
      </c>
      <c r="AD145" s="4">
        <v>591596</v>
      </c>
      <c r="AE145" s="4">
        <v>1183192</v>
      </c>
      <c r="AF145" s="4">
        <v>1774788</v>
      </c>
      <c r="AG145" s="4">
        <v>2366384</v>
      </c>
      <c r="AH145" s="4">
        <v>2954626</v>
      </c>
      <c r="AI145" s="4">
        <v>3542868</v>
      </c>
      <c r="AJ145" s="4">
        <v>4131109</v>
      </c>
      <c r="AK145" s="4">
        <v>4719350</v>
      </c>
      <c r="AL145" s="4">
        <v>5307591</v>
      </c>
      <c r="AM145" s="4">
        <v>5895833</v>
      </c>
      <c r="AN145" s="150">
        <v>394016</v>
      </c>
    </row>
    <row r="146" spans="1:40" x14ac:dyDescent="0.2">
      <c r="A146" s="1">
        <v>2023</v>
      </c>
      <c r="B146" s="2" t="s">
        <v>167</v>
      </c>
      <c r="C146" s="2" t="s">
        <v>167</v>
      </c>
      <c r="D146" s="1" t="s">
        <v>517</v>
      </c>
      <c r="E146" s="3">
        <v>87812011</v>
      </c>
      <c r="F146" s="3">
        <v>8342</v>
      </c>
      <c r="G146" s="3">
        <v>341932</v>
      </c>
      <c r="H146" s="1">
        <v>0</v>
      </c>
      <c r="I146" s="3">
        <v>87803669</v>
      </c>
      <c r="J146" s="3">
        <v>87461737</v>
      </c>
      <c r="K146" s="3">
        <v>87461737</v>
      </c>
      <c r="L146" s="3">
        <v>1921071</v>
      </c>
      <c r="M146" s="3">
        <v>8830037</v>
      </c>
      <c r="N146" s="3">
        <v>1116332</v>
      </c>
      <c r="O146" s="3">
        <v>1083080</v>
      </c>
      <c r="P146" s="3">
        <v>5150531</v>
      </c>
      <c r="Q146" s="3">
        <v>69702618</v>
      </c>
      <c r="R146" s="3">
        <v>69360686</v>
      </c>
      <c r="S146" s="3">
        <v>69360686</v>
      </c>
      <c r="T146" s="3">
        <v>8780367</v>
      </c>
      <c r="U146" s="3">
        <v>8780367</v>
      </c>
      <c r="V146" s="3">
        <v>8780367</v>
      </c>
      <c r="W146" s="3">
        <v>8780367</v>
      </c>
      <c r="X146" s="3">
        <v>8723378</v>
      </c>
      <c r="Y146" s="3">
        <v>8723378</v>
      </c>
      <c r="Z146" s="4">
        <v>8723378</v>
      </c>
      <c r="AA146" s="4">
        <v>8723378</v>
      </c>
      <c r="AB146" s="4">
        <v>8723378</v>
      </c>
      <c r="AC146" s="4">
        <v>8723379</v>
      </c>
      <c r="AD146" s="4">
        <v>8780367</v>
      </c>
      <c r="AE146" s="4">
        <v>17560734</v>
      </c>
      <c r="AF146" s="4">
        <v>26341101</v>
      </c>
      <c r="AG146" s="4">
        <v>35121468</v>
      </c>
      <c r="AH146" s="4">
        <v>43844846</v>
      </c>
      <c r="AI146" s="4">
        <v>52568224</v>
      </c>
      <c r="AJ146" s="4">
        <v>61291602</v>
      </c>
      <c r="AK146" s="4">
        <v>70014980</v>
      </c>
      <c r="AL146" s="4">
        <v>78738358</v>
      </c>
      <c r="AM146" s="4">
        <v>87461737</v>
      </c>
      <c r="AN146" s="150">
        <v>7118887</v>
      </c>
    </row>
    <row r="147" spans="1:40" x14ac:dyDescent="0.2">
      <c r="A147" s="1">
        <v>2023</v>
      </c>
      <c r="B147" s="2" t="s">
        <v>168</v>
      </c>
      <c r="C147" s="2" t="s">
        <v>168</v>
      </c>
      <c r="D147" s="1" t="s">
        <v>518</v>
      </c>
      <c r="E147" s="3">
        <v>6873631</v>
      </c>
      <c r="F147" s="3">
        <v>995</v>
      </c>
      <c r="G147" s="3">
        <v>24112</v>
      </c>
      <c r="H147" s="1">
        <v>0</v>
      </c>
      <c r="I147" s="3">
        <v>6872636</v>
      </c>
      <c r="J147" s="3">
        <v>6848524</v>
      </c>
      <c r="K147" s="3">
        <v>6848524</v>
      </c>
      <c r="L147" s="3">
        <v>221395</v>
      </c>
      <c r="M147" s="3">
        <v>655054</v>
      </c>
      <c r="N147" s="3">
        <v>82040</v>
      </c>
      <c r="O147" s="3">
        <v>76001</v>
      </c>
      <c r="P147" s="3">
        <v>363203</v>
      </c>
      <c r="Q147" s="3">
        <v>5474943</v>
      </c>
      <c r="R147" s="3">
        <v>5450831</v>
      </c>
      <c r="S147" s="3">
        <v>5450831</v>
      </c>
      <c r="T147" s="3">
        <v>687264</v>
      </c>
      <c r="U147" s="3">
        <v>687264</v>
      </c>
      <c r="V147" s="3">
        <v>687264</v>
      </c>
      <c r="W147" s="3">
        <v>687264</v>
      </c>
      <c r="X147" s="3">
        <v>683245</v>
      </c>
      <c r="Y147" s="3">
        <v>683245</v>
      </c>
      <c r="Z147" s="4">
        <v>683245</v>
      </c>
      <c r="AA147" s="4">
        <v>683245</v>
      </c>
      <c r="AB147" s="4">
        <v>683245</v>
      </c>
      <c r="AC147" s="4">
        <v>683243</v>
      </c>
      <c r="AD147" s="4">
        <v>687264</v>
      </c>
      <c r="AE147" s="4">
        <v>1374528</v>
      </c>
      <c r="AF147" s="4">
        <v>2061792</v>
      </c>
      <c r="AG147" s="4">
        <v>2749056</v>
      </c>
      <c r="AH147" s="4">
        <v>3432301</v>
      </c>
      <c r="AI147" s="4">
        <v>4115546</v>
      </c>
      <c r="AJ147" s="4">
        <v>4798791</v>
      </c>
      <c r="AK147" s="4">
        <v>5482036</v>
      </c>
      <c r="AL147" s="4">
        <v>6165281</v>
      </c>
      <c r="AM147" s="4">
        <v>6848524</v>
      </c>
      <c r="AN147" s="150">
        <v>504151</v>
      </c>
    </row>
    <row r="148" spans="1:40" x14ac:dyDescent="0.2">
      <c r="A148" s="1">
        <v>2023</v>
      </c>
      <c r="B148" s="2" t="s">
        <v>169</v>
      </c>
      <c r="C148" s="2" t="s">
        <v>169</v>
      </c>
      <c r="D148" s="1" t="s">
        <v>519</v>
      </c>
      <c r="E148" s="3">
        <v>3536051</v>
      </c>
      <c r="F148" s="1">
        <v>464</v>
      </c>
      <c r="G148" s="3">
        <v>11782</v>
      </c>
      <c r="H148" s="1">
        <v>0</v>
      </c>
      <c r="I148" s="3">
        <v>3535587</v>
      </c>
      <c r="J148" s="3">
        <v>3523805</v>
      </c>
      <c r="K148" s="3">
        <v>3523805</v>
      </c>
      <c r="L148" s="3">
        <v>103318</v>
      </c>
      <c r="M148" s="3">
        <v>307989</v>
      </c>
      <c r="N148" s="3">
        <v>30930</v>
      </c>
      <c r="O148" s="3">
        <v>35839</v>
      </c>
      <c r="P148" s="3">
        <v>181307</v>
      </c>
      <c r="Q148" s="3">
        <v>2876204</v>
      </c>
      <c r="R148" s="3">
        <v>2864422</v>
      </c>
      <c r="S148" s="3">
        <v>2864422</v>
      </c>
      <c r="T148" s="3">
        <v>353559</v>
      </c>
      <c r="U148" s="3">
        <v>353559</v>
      </c>
      <c r="V148" s="3">
        <v>353559</v>
      </c>
      <c r="W148" s="3">
        <v>353559</v>
      </c>
      <c r="X148" s="3">
        <v>351595</v>
      </c>
      <c r="Y148" s="3">
        <v>351595</v>
      </c>
      <c r="Z148" s="4">
        <v>351595</v>
      </c>
      <c r="AA148" s="4">
        <v>351595</v>
      </c>
      <c r="AB148" s="4">
        <v>351595</v>
      </c>
      <c r="AC148" s="4">
        <v>351594</v>
      </c>
      <c r="AD148" s="4">
        <v>353559</v>
      </c>
      <c r="AE148" s="4">
        <v>707118</v>
      </c>
      <c r="AF148" s="4">
        <v>1060677</v>
      </c>
      <c r="AG148" s="4">
        <v>1414236</v>
      </c>
      <c r="AH148" s="4">
        <v>1765831</v>
      </c>
      <c r="AI148" s="4">
        <v>2117426</v>
      </c>
      <c r="AJ148" s="4">
        <v>2469021</v>
      </c>
      <c r="AK148" s="4">
        <v>2820616</v>
      </c>
      <c r="AL148" s="4">
        <v>3172211</v>
      </c>
      <c r="AM148" s="4">
        <v>3523805</v>
      </c>
      <c r="AN148" s="150">
        <v>236908</v>
      </c>
    </row>
    <row r="149" spans="1:40" x14ac:dyDescent="0.2">
      <c r="A149" s="1">
        <v>2023</v>
      </c>
      <c r="B149" s="2" t="s">
        <v>170</v>
      </c>
      <c r="C149" s="2" t="s">
        <v>170</v>
      </c>
      <c r="D149" s="1" t="s">
        <v>520</v>
      </c>
      <c r="E149" s="3">
        <v>3837603</v>
      </c>
      <c r="F149" s="3">
        <v>813</v>
      </c>
      <c r="G149" s="3">
        <v>16200</v>
      </c>
      <c r="H149" s="1">
        <v>0</v>
      </c>
      <c r="I149" s="3">
        <v>3836790</v>
      </c>
      <c r="J149" s="3">
        <v>3820590</v>
      </c>
      <c r="K149" s="3">
        <v>3820590</v>
      </c>
      <c r="L149" s="3">
        <v>180806</v>
      </c>
      <c r="M149" s="3">
        <v>468575</v>
      </c>
      <c r="N149" s="3">
        <v>49104</v>
      </c>
      <c r="O149" s="3">
        <v>53612</v>
      </c>
      <c r="P149" s="3">
        <v>244020</v>
      </c>
      <c r="Q149" s="3">
        <v>2840673</v>
      </c>
      <c r="R149" s="3">
        <v>2824473</v>
      </c>
      <c r="S149" s="3">
        <v>2824473</v>
      </c>
      <c r="T149" s="3">
        <v>383679</v>
      </c>
      <c r="U149" s="3">
        <v>383679</v>
      </c>
      <c r="V149" s="3">
        <v>383679</v>
      </c>
      <c r="W149" s="3">
        <v>383679</v>
      </c>
      <c r="X149" s="3">
        <v>380979</v>
      </c>
      <c r="Y149" s="3">
        <v>380979</v>
      </c>
      <c r="Z149" s="4">
        <v>380979</v>
      </c>
      <c r="AA149" s="4">
        <v>380979</v>
      </c>
      <c r="AB149" s="4">
        <v>380979</v>
      </c>
      <c r="AC149" s="4">
        <v>380979</v>
      </c>
      <c r="AD149" s="4">
        <v>383679</v>
      </c>
      <c r="AE149" s="4">
        <v>767358</v>
      </c>
      <c r="AF149" s="4">
        <v>1151037</v>
      </c>
      <c r="AG149" s="4">
        <v>1534716</v>
      </c>
      <c r="AH149" s="4">
        <v>1915695</v>
      </c>
      <c r="AI149" s="4">
        <v>2296674</v>
      </c>
      <c r="AJ149" s="4">
        <v>2677653</v>
      </c>
      <c r="AK149" s="4">
        <v>3058632</v>
      </c>
      <c r="AL149" s="4">
        <v>3439611</v>
      </c>
      <c r="AM149" s="4">
        <v>3820590</v>
      </c>
      <c r="AN149" s="150">
        <v>318346</v>
      </c>
    </row>
    <row r="150" spans="1:40" x14ac:dyDescent="0.2">
      <c r="A150" s="1">
        <v>2023</v>
      </c>
      <c r="B150" s="2" t="s">
        <v>171</v>
      </c>
      <c r="C150" s="2" t="s">
        <v>171</v>
      </c>
      <c r="D150" s="1" t="s">
        <v>521</v>
      </c>
      <c r="E150" s="3">
        <v>2989660</v>
      </c>
      <c r="F150" s="1">
        <v>365</v>
      </c>
      <c r="G150" s="3">
        <v>10402</v>
      </c>
      <c r="H150" s="1">
        <v>0</v>
      </c>
      <c r="I150" s="3">
        <v>2989295</v>
      </c>
      <c r="J150" s="3">
        <v>2978893</v>
      </c>
      <c r="K150" s="3">
        <v>2978893</v>
      </c>
      <c r="L150" s="3">
        <v>81178</v>
      </c>
      <c r="M150" s="3">
        <v>273832</v>
      </c>
      <c r="N150" s="3">
        <v>24181</v>
      </c>
      <c r="O150" s="3">
        <v>26690</v>
      </c>
      <c r="P150" s="3">
        <v>156681</v>
      </c>
      <c r="Q150" s="3">
        <v>2426733</v>
      </c>
      <c r="R150" s="3">
        <v>2416331</v>
      </c>
      <c r="S150" s="3">
        <v>2416331</v>
      </c>
      <c r="T150" s="3">
        <v>298930</v>
      </c>
      <c r="U150" s="3">
        <v>298930</v>
      </c>
      <c r="V150" s="3">
        <v>298930</v>
      </c>
      <c r="W150" s="3">
        <v>298930</v>
      </c>
      <c r="X150" s="3">
        <v>297196</v>
      </c>
      <c r="Y150" s="3">
        <v>297196</v>
      </c>
      <c r="Z150" s="4">
        <v>297195</v>
      </c>
      <c r="AA150" s="4">
        <v>297195</v>
      </c>
      <c r="AB150" s="4">
        <v>297195</v>
      </c>
      <c r="AC150" s="4">
        <v>297196</v>
      </c>
      <c r="AD150" s="4">
        <v>298930</v>
      </c>
      <c r="AE150" s="4">
        <v>597860</v>
      </c>
      <c r="AF150" s="4">
        <v>896790</v>
      </c>
      <c r="AG150" s="4">
        <v>1195720</v>
      </c>
      <c r="AH150" s="4">
        <v>1492916</v>
      </c>
      <c r="AI150" s="4">
        <v>1790112</v>
      </c>
      <c r="AJ150" s="4">
        <v>2087307</v>
      </c>
      <c r="AK150" s="4">
        <v>2384502</v>
      </c>
      <c r="AL150" s="4">
        <v>2681697</v>
      </c>
      <c r="AM150" s="4">
        <v>2978893</v>
      </c>
      <c r="AN150" s="150">
        <v>224302</v>
      </c>
    </row>
    <row r="151" spans="1:40" x14ac:dyDescent="0.2">
      <c r="A151" s="1">
        <v>2023</v>
      </c>
      <c r="B151" s="2" t="s">
        <v>172</v>
      </c>
      <c r="C151" s="2" t="s">
        <v>172</v>
      </c>
      <c r="D151" s="1" t="s">
        <v>522</v>
      </c>
      <c r="E151" s="3">
        <v>7490007</v>
      </c>
      <c r="F151" s="3">
        <v>1327</v>
      </c>
      <c r="G151" s="3">
        <v>28205</v>
      </c>
      <c r="H151" s="1">
        <v>0</v>
      </c>
      <c r="I151" s="3">
        <v>7488680</v>
      </c>
      <c r="J151" s="3">
        <v>7460475</v>
      </c>
      <c r="K151" s="3">
        <v>7460475</v>
      </c>
      <c r="L151" s="3">
        <v>295193</v>
      </c>
      <c r="M151" s="3">
        <v>766300</v>
      </c>
      <c r="N151" s="3">
        <v>94410</v>
      </c>
      <c r="O151" s="3">
        <v>87143</v>
      </c>
      <c r="P151" s="3">
        <v>424852</v>
      </c>
      <c r="Q151" s="3">
        <v>5820782</v>
      </c>
      <c r="R151" s="3">
        <v>5792577</v>
      </c>
      <c r="S151" s="3">
        <v>5792577</v>
      </c>
      <c r="T151" s="3">
        <v>748868</v>
      </c>
      <c r="U151" s="3">
        <v>748868</v>
      </c>
      <c r="V151" s="3">
        <v>748868</v>
      </c>
      <c r="W151" s="3">
        <v>748868</v>
      </c>
      <c r="X151" s="3">
        <v>744167</v>
      </c>
      <c r="Y151" s="3">
        <v>744167</v>
      </c>
      <c r="Z151" s="4">
        <v>744167</v>
      </c>
      <c r="AA151" s="4">
        <v>744167</v>
      </c>
      <c r="AB151" s="4">
        <v>744167</v>
      </c>
      <c r="AC151" s="4">
        <v>744168</v>
      </c>
      <c r="AD151" s="4">
        <v>748868</v>
      </c>
      <c r="AE151" s="4">
        <v>1497736</v>
      </c>
      <c r="AF151" s="4">
        <v>2246604</v>
      </c>
      <c r="AG151" s="4">
        <v>2995472</v>
      </c>
      <c r="AH151" s="4">
        <v>3739639</v>
      </c>
      <c r="AI151" s="4">
        <v>4483806</v>
      </c>
      <c r="AJ151" s="4">
        <v>5227973</v>
      </c>
      <c r="AK151" s="4">
        <v>5972140</v>
      </c>
      <c r="AL151" s="4">
        <v>6716307</v>
      </c>
      <c r="AM151" s="4">
        <v>7460475</v>
      </c>
      <c r="AN151" s="150">
        <v>577759</v>
      </c>
    </row>
    <row r="152" spans="1:40" x14ac:dyDescent="0.2">
      <c r="A152" s="1">
        <v>2023</v>
      </c>
      <c r="B152" s="2" t="s">
        <v>173</v>
      </c>
      <c r="C152" s="2" t="s">
        <v>173</v>
      </c>
      <c r="D152" s="1" t="s">
        <v>523</v>
      </c>
      <c r="E152" s="3">
        <v>6322687</v>
      </c>
      <c r="F152" s="3">
        <v>1028</v>
      </c>
      <c r="G152" s="3">
        <v>21694</v>
      </c>
      <c r="H152" s="1">
        <v>0</v>
      </c>
      <c r="I152" s="3">
        <v>6321659</v>
      </c>
      <c r="J152" s="3">
        <v>6299965</v>
      </c>
      <c r="K152" s="3">
        <v>6299965</v>
      </c>
      <c r="L152" s="3">
        <v>228775</v>
      </c>
      <c r="M152" s="3">
        <v>532180</v>
      </c>
      <c r="N152" s="3">
        <v>70004</v>
      </c>
      <c r="O152" s="3">
        <v>57958</v>
      </c>
      <c r="P152" s="3">
        <v>326779</v>
      </c>
      <c r="Q152" s="3">
        <v>5105963</v>
      </c>
      <c r="R152" s="3">
        <v>5084269</v>
      </c>
      <c r="S152" s="3">
        <v>5084269</v>
      </c>
      <c r="T152" s="3">
        <v>632166</v>
      </c>
      <c r="U152" s="3">
        <v>632166</v>
      </c>
      <c r="V152" s="3">
        <v>632166</v>
      </c>
      <c r="W152" s="3">
        <v>632166</v>
      </c>
      <c r="X152" s="3">
        <v>628550</v>
      </c>
      <c r="Y152" s="3">
        <v>628550</v>
      </c>
      <c r="Z152" s="4">
        <v>628550</v>
      </c>
      <c r="AA152" s="4">
        <v>628550</v>
      </c>
      <c r="AB152" s="4">
        <v>628550</v>
      </c>
      <c r="AC152" s="4">
        <v>628551</v>
      </c>
      <c r="AD152" s="4">
        <v>632166</v>
      </c>
      <c r="AE152" s="4">
        <v>1264332</v>
      </c>
      <c r="AF152" s="4">
        <v>1896498</v>
      </c>
      <c r="AG152" s="4">
        <v>2528664</v>
      </c>
      <c r="AH152" s="4">
        <v>3157214</v>
      </c>
      <c r="AI152" s="4">
        <v>3785764</v>
      </c>
      <c r="AJ152" s="4">
        <v>4414314</v>
      </c>
      <c r="AK152" s="4">
        <v>5042864</v>
      </c>
      <c r="AL152" s="4">
        <v>5671414</v>
      </c>
      <c r="AM152" s="4">
        <v>6299965</v>
      </c>
      <c r="AN152" s="150">
        <v>471272</v>
      </c>
    </row>
    <row r="153" spans="1:40" x14ac:dyDescent="0.2">
      <c r="A153" s="1">
        <v>2023</v>
      </c>
      <c r="B153" s="2" t="s">
        <v>174</v>
      </c>
      <c r="C153" s="2" t="s">
        <v>174</v>
      </c>
      <c r="D153" s="1" t="s">
        <v>524</v>
      </c>
      <c r="E153" s="3">
        <v>46786523</v>
      </c>
      <c r="F153" s="3">
        <v>4511</v>
      </c>
      <c r="G153" s="3">
        <v>165963</v>
      </c>
      <c r="H153" s="1">
        <v>0</v>
      </c>
      <c r="I153" s="3">
        <v>46782012</v>
      </c>
      <c r="J153" s="3">
        <v>46616049</v>
      </c>
      <c r="K153" s="3">
        <v>46616049</v>
      </c>
      <c r="L153" s="3">
        <v>1010884</v>
      </c>
      <c r="M153" s="3">
        <v>4164542</v>
      </c>
      <c r="N153" s="3">
        <v>458690</v>
      </c>
      <c r="O153" s="3">
        <v>463022</v>
      </c>
      <c r="P153" s="3">
        <v>2499913</v>
      </c>
      <c r="Q153" s="3">
        <v>38184961</v>
      </c>
      <c r="R153" s="3">
        <v>38018998</v>
      </c>
      <c r="S153" s="3">
        <v>38018998</v>
      </c>
      <c r="T153" s="3">
        <v>4678201</v>
      </c>
      <c r="U153" s="3">
        <v>4678201</v>
      </c>
      <c r="V153" s="3">
        <v>4678201</v>
      </c>
      <c r="W153" s="3">
        <v>4678201</v>
      </c>
      <c r="X153" s="3">
        <v>4650541</v>
      </c>
      <c r="Y153" s="3">
        <v>4650541</v>
      </c>
      <c r="Z153" s="4">
        <v>4650541</v>
      </c>
      <c r="AA153" s="4">
        <v>4650541</v>
      </c>
      <c r="AB153" s="4">
        <v>4650541</v>
      </c>
      <c r="AC153" s="4">
        <v>4650540</v>
      </c>
      <c r="AD153" s="4">
        <v>4678201</v>
      </c>
      <c r="AE153" s="4">
        <v>9356402</v>
      </c>
      <c r="AF153" s="4">
        <v>14034603</v>
      </c>
      <c r="AG153" s="4">
        <v>18712804</v>
      </c>
      <c r="AH153" s="4">
        <v>23363345</v>
      </c>
      <c r="AI153" s="4">
        <v>28013886</v>
      </c>
      <c r="AJ153" s="4">
        <v>32664427</v>
      </c>
      <c r="AK153" s="4">
        <v>37314968</v>
      </c>
      <c r="AL153" s="4">
        <v>41965509</v>
      </c>
      <c r="AM153" s="4">
        <v>46616049</v>
      </c>
      <c r="AN153" s="150">
        <v>3422783</v>
      </c>
    </row>
    <row r="154" spans="1:40" x14ac:dyDescent="0.2">
      <c r="A154" s="1">
        <v>2023</v>
      </c>
      <c r="B154" s="2" t="s">
        <v>175</v>
      </c>
      <c r="C154" s="2" t="s">
        <v>175</v>
      </c>
      <c r="D154" s="1" t="s">
        <v>525</v>
      </c>
      <c r="E154" s="3">
        <v>15733859</v>
      </c>
      <c r="F154" s="3">
        <v>1509</v>
      </c>
      <c r="G154" s="3">
        <v>44595</v>
      </c>
      <c r="H154" s="3">
        <v>0</v>
      </c>
      <c r="I154" s="3">
        <v>15732350</v>
      </c>
      <c r="J154" s="3">
        <v>15687755</v>
      </c>
      <c r="K154" s="3">
        <v>15687755</v>
      </c>
      <c r="L154" s="3">
        <v>335783</v>
      </c>
      <c r="M154" s="3">
        <v>1173750</v>
      </c>
      <c r="N154" s="3">
        <v>150079</v>
      </c>
      <c r="O154" s="3">
        <v>138965</v>
      </c>
      <c r="P154" s="3">
        <v>671734</v>
      </c>
      <c r="Q154" s="3">
        <v>13262039</v>
      </c>
      <c r="R154" s="3">
        <v>13217444</v>
      </c>
      <c r="S154" s="3">
        <v>13217444</v>
      </c>
      <c r="T154" s="3">
        <v>1573235</v>
      </c>
      <c r="U154" s="3">
        <v>1573235</v>
      </c>
      <c r="V154" s="3">
        <v>1573235</v>
      </c>
      <c r="W154" s="3">
        <v>1573235</v>
      </c>
      <c r="X154" s="3">
        <v>1565803</v>
      </c>
      <c r="Y154" s="3">
        <v>1565803</v>
      </c>
      <c r="Z154" s="4">
        <v>1565802</v>
      </c>
      <c r="AA154" s="4">
        <v>1565802</v>
      </c>
      <c r="AB154" s="4">
        <v>1565802</v>
      </c>
      <c r="AC154" s="4">
        <v>1565803</v>
      </c>
      <c r="AD154" s="4">
        <v>1573235</v>
      </c>
      <c r="AE154" s="4">
        <v>3146470</v>
      </c>
      <c r="AF154" s="4">
        <v>4719705</v>
      </c>
      <c r="AG154" s="4">
        <v>6292940</v>
      </c>
      <c r="AH154" s="4">
        <v>7858743</v>
      </c>
      <c r="AI154" s="4">
        <v>9424546</v>
      </c>
      <c r="AJ154" s="4">
        <v>10990348</v>
      </c>
      <c r="AK154" s="4">
        <v>12556150</v>
      </c>
      <c r="AL154" s="4">
        <v>14121952</v>
      </c>
      <c r="AM154" s="4">
        <v>15687755</v>
      </c>
      <c r="AN154" s="150">
        <v>935714</v>
      </c>
    </row>
    <row r="155" spans="1:40" x14ac:dyDescent="0.2">
      <c r="A155" s="1">
        <v>2023</v>
      </c>
      <c r="B155" s="2" t="s">
        <v>176</v>
      </c>
      <c r="C155" s="2" t="s">
        <v>176</v>
      </c>
      <c r="D155" s="1" t="s">
        <v>526</v>
      </c>
      <c r="E155" s="3">
        <v>2102153</v>
      </c>
      <c r="F155" s="3">
        <v>299</v>
      </c>
      <c r="G155" s="3">
        <v>8235</v>
      </c>
      <c r="H155" s="1">
        <v>0</v>
      </c>
      <c r="I155" s="3">
        <v>2101854</v>
      </c>
      <c r="J155" s="3">
        <v>2093619</v>
      </c>
      <c r="K155" s="3">
        <v>2093619</v>
      </c>
      <c r="L155" s="3">
        <v>66418</v>
      </c>
      <c r="M155" s="3">
        <v>235049</v>
      </c>
      <c r="N155" s="3">
        <v>23170</v>
      </c>
      <c r="O155" s="3">
        <v>24786</v>
      </c>
      <c r="P155" s="3">
        <v>124049</v>
      </c>
      <c r="Q155" s="3">
        <v>1628382</v>
      </c>
      <c r="R155" s="3">
        <v>1620147</v>
      </c>
      <c r="S155" s="3">
        <v>1620147</v>
      </c>
      <c r="T155" s="3">
        <v>210185</v>
      </c>
      <c r="U155" s="3">
        <v>210185</v>
      </c>
      <c r="V155" s="3">
        <v>210185</v>
      </c>
      <c r="W155" s="3">
        <v>210185</v>
      </c>
      <c r="X155" s="3">
        <v>208813</v>
      </c>
      <c r="Y155" s="3">
        <v>208813</v>
      </c>
      <c r="Z155" s="4">
        <v>208813</v>
      </c>
      <c r="AA155" s="4">
        <v>208813</v>
      </c>
      <c r="AB155" s="4">
        <v>208813</v>
      </c>
      <c r="AC155" s="4">
        <v>208814</v>
      </c>
      <c r="AD155" s="4">
        <v>210185</v>
      </c>
      <c r="AE155" s="4">
        <v>420370</v>
      </c>
      <c r="AF155" s="4">
        <v>630555</v>
      </c>
      <c r="AG155" s="4">
        <v>840740</v>
      </c>
      <c r="AH155" s="4">
        <v>1049553</v>
      </c>
      <c r="AI155" s="4">
        <v>1258366</v>
      </c>
      <c r="AJ155" s="4">
        <v>1467179</v>
      </c>
      <c r="AK155" s="4">
        <v>1675992</v>
      </c>
      <c r="AL155" s="4">
        <v>1884805</v>
      </c>
      <c r="AM155" s="4">
        <v>2093619</v>
      </c>
      <c r="AN155" s="150">
        <v>167685</v>
      </c>
    </row>
    <row r="156" spans="1:40" x14ac:dyDescent="0.2">
      <c r="A156" s="1">
        <v>2023</v>
      </c>
      <c r="B156" s="2" t="s">
        <v>177</v>
      </c>
      <c r="C156" s="2" t="s">
        <v>177</v>
      </c>
      <c r="D156" s="1" t="s">
        <v>527</v>
      </c>
      <c r="E156" s="3">
        <v>2989557</v>
      </c>
      <c r="F156" s="3">
        <v>0</v>
      </c>
      <c r="G156" s="3">
        <v>11010</v>
      </c>
      <c r="H156" s="1">
        <v>0</v>
      </c>
      <c r="I156" s="3">
        <v>2989557</v>
      </c>
      <c r="J156" s="3">
        <v>2978547</v>
      </c>
      <c r="K156" s="3">
        <v>2978547</v>
      </c>
      <c r="L156" s="3">
        <v>0</v>
      </c>
      <c r="M156" s="3">
        <v>312918</v>
      </c>
      <c r="N156" s="3">
        <v>39472</v>
      </c>
      <c r="O156" s="3">
        <v>36204</v>
      </c>
      <c r="P156" s="3">
        <v>165840</v>
      </c>
      <c r="Q156" s="3">
        <v>2435123</v>
      </c>
      <c r="R156" s="3">
        <v>2424113</v>
      </c>
      <c r="S156" s="3">
        <v>2424113</v>
      </c>
      <c r="T156" s="3">
        <v>298956</v>
      </c>
      <c r="U156" s="3">
        <v>298956</v>
      </c>
      <c r="V156" s="3">
        <v>298956</v>
      </c>
      <c r="W156" s="3">
        <v>298956</v>
      </c>
      <c r="X156" s="3">
        <v>297121</v>
      </c>
      <c r="Y156" s="3">
        <v>297121</v>
      </c>
      <c r="Z156" s="4">
        <v>297120</v>
      </c>
      <c r="AA156" s="4">
        <v>297120</v>
      </c>
      <c r="AB156" s="4">
        <v>297120</v>
      </c>
      <c r="AC156" s="4">
        <v>297121</v>
      </c>
      <c r="AD156" s="4">
        <v>298956</v>
      </c>
      <c r="AE156" s="4">
        <v>597912</v>
      </c>
      <c r="AF156" s="4">
        <v>896868</v>
      </c>
      <c r="AG156" s="4">
        <v>1195824</v>
      </c>
      <c r="AH156" s="4">
        <v>1492945</v>
      </c>
      <c r="AI156" s="4">
        <v>1790066</v>
      </c>
      <c r="AJ156" s="4">
        <v>2087186</v>
      </c>
      <c r="AK156" s="4">
        <v>2384306</v>
      </c>
      <c r="AL156" s="4">
        <v>2681426</v>
      </c>
      <c r="AM156" s="4">
        <v>2978547</v>
      </c>
      <c r="AN156" s="150">
        <v>232381</v>
      </c>
    </row>
    <row r="157" spans="1:40" x14ac:dyDescent="0.2">
      <c r="A157" s="1">
        <v>2023</v>
      </c>
      <c r="B157" s="2" t="s">
        <v>178</v>
      </c>
      <c r="C157" s="2" t="s">
        <v>178</v>
      </c>
      <c r="D157" s="1" t="s">
        <v>528</v>
      </c>
      <c r="E157" s="3">
        <v>13166646</v>
      </c>
      <c r="F157" s="3">
        <v>1642</v>
      </c>
      <c r="G157" s="3">
        <v>41666</v>
      </c>
      <c r="H157" s="1">
        <v>0</v>
      </c>
      <c r="I157" s="3">
        <v>13165004</v>
      </c>
      <c r="J157" s="3">
        <v>13123338</v>
      </c>
      <c r="K157" s="3">
        <v>13123338</v>
      </c>
      <c r="L157" s="3">
        <v>365302</v>
      </c>
      <c r="M157" s="3">
        <v>1120379</v>
      </c>
      <c r="N157" s="3">
        <v>133048</v>
      </c>
      <c r="O157" s="3">
        <v>120472</v>
      </c>
      <c r="P157" s="3">
        <v>627617</v>
      </c>
      <c r="Q157" s="3">
        <v>10798186</v>
      </c>
      <c r="R157" s="3">
        <v>10756520</v>
      </c>
      <c r="S157" s="3">
        <v>10756520</v>
      </c>
      <c r="T157" s="3">
        <v>1316500</v>
      </c>
      <c r="U157" s="3">
        <v>1316500</v>
      </c>
      <c r="V157" s="3">
        <v>1316500</v>
      </c>
      <c r="W157" s="3">
        <v>1316500</v>
      </c>
      <c r="X157" s="3">
        <v>1309556</v>
      </c>
      <c r="Y157" s="3">
        <v>1309556</v>
      </c>
      <c r="Z157" s="4">
        <v>1309557</v>
      </c>
      <c r="AA157" s="4">
        <v>1309557</v>
      </c>
      <c r="AB157" s="4">
        <v>1309557</v>
      </c>
      <c r="AC157" s="4">
        <v>1309555</v>
      </c>
      <c r="AD157" s="4">
        <v>1316500</v>
      </c>
      <c r="AE157" s="4">
        <v>2633000</v>
      </c>
      <c r="AF157" s="4">
        <v>3949500</v>
      </c>
      <c r="AG157" s="4">
        <v>5266000</v>
      </c>
      <c r="AH157" s="4">
        <v>6575556</v>
      </c>
      <c r="AI157" s="4">
        <v>7885112</v>
      </c>
      <c r="AJ157" s="4">
        <v>9194669</v>
      </c>
      <c r="AK157" s="4">
        <v>10504226</v>
      </c>
      <c r="AL157" s="4">
        <v>11813783</v>
      </c>
      <c r="AM157" s="4">
        <v>13123338</v>
      </c>
      <c r="AN157" s="150">
        <v>813697</v>
      </c>
    </row>
    <row r="158" spans="1:40" x14ac:dyDescent="0.2">
      <c r="A158" s="1">
        <v>2023</v>
      </c>
      <c r="B158" s="2" t="s">
        <v>179</v>
      </c>
      <c r="C158" s="2" t="s">
        <v>179</v>
      </c>
      <c r="D158" s="1" t="s">
        <v>529</v>
      </c>
      <c r="E158" s="3">
        <v>3454354</v>
      </c>
      <c r="F158" s="3">
        <v>431</v>
      </c>
      <c r="G158" s="3">
        <v>13642</v>
      </c>
      <c r="H158" s="1">
        <v>0</v>
      </c>
      <c r="I158" s="3">
        <v>3453923</v>
      </c>
      <c r="J158" s="3">
        <v>3440281</v>
      </c>
      <c r="K158" s="3">
        <v>3440281</v>
      </c>
      <c r="L158" s="3">
        <v>95938</v>
      </c>
      <c r="M158" s="3">
        <v>385878</v>
      </c>
      <c r="N158" s="3">
        <v>45605</v>
      </c>
      <c r="O158" s="3">
        <v>39983</v>
      </c>
      <c r="P158" s="3">
        <v>205485</v>
      </c>
      <c r="Q158" s="3">
        <v>2681034</v>
      </c>
      <c r="R158" s="3">
        <v>2667392</v>
      </c>
      <c r="S158" s="3">
        <v>2667392</v>
      </c>
      <c r="T158" s="3">
        <v>345392</v>
      </c>
      <c r="U158" s="3">
        <v>345392</v>
      </c>
      <c r="V158" s="3">
        <v>345392</v>
      </c>
      <c r="W158" s="3">
        <v>345392</v>
      </c>
      <c r="X158" s="3">
        <v>343119</v>
      </c>
      <c r="Y158" s="3">
        <v>343119</v>
      </c>
      <c r="Z158" s="4">
        <v>343119</v>
      </c>
      <c r="AA158" s="4">
        <v>343119</v>
      </c>
      <c r="AB158" s="4">
        <v>343119</v>
      </c>
      <c r="AC158" s="4">
        <v>343118</v>
      </c>
      <c r="AD158" s="4">
        <v>345392</v>
      </c>
      <c r="AE158" s="4">
        <v>690784</v>
      </c>
      <c r="AF158" s="4">
        <v>1036176</v>
      </c>
      <c r="AG158" s="4">
        <v>1381568</v>
      </c>
      <c r="AH158" s="4">
        <v>1724687</v>
      </c>
      <c r="AI158" s="4">
        <v>2067806</v>
      </c>
      <c r="AJ158" s="4">
        <v>2410925</v>
      </c>
      <c r="AK158" s="4">
        <v>2754044</v>
      </c>
      <c r="AL158" s="4">
        <v>3097163</v>
      </c>
      <c r="AM158" s="4">
        <v>3440281</v>
      </c>
      <c r="AN158" s="150">
        <v>279916</v>
      </c>
    </row>
    <row r="159" spans="1:40" x14ac:dyDescent="0.2">
      <c r="A159" s="1">
        <v>2023</v>
      </c>
      <c r="B159" s="2" t="s">
        <v>180</v>
      </c>
      <c r="C159" s="2" t="s">
        <v>180</v>
      </c>
      <c r="D159" s="1" t="s">
        <v>530</v>
      </c>
      <c r="E159" s="3">
        <v>2613580</v>
      </c>
      <c r="F159" s="1">
        <v>415</v>
      </c>
      <c r="G159" s="3">
        <v>7444</v>
      </c>
      <c r="H159" s="3">
        <v>0</v>
      </c>
      <c r="I159" s="3">
        <v>2613165</v>
      </c>
      <c r="J159" s="3">
        <v>2605721</v>
      </c>
      <c r="K159" s="3">
        <v>2605721</v>
      </c>
      <c r="L159" s="3">
        <v>92248</v>
      </c>
      <c r="M159" s="3">
        <v>224457</v>
      </c>
      <c r="N159" s="3">
        <v>24564</v>
      </c>
      <c r="O159" s="3">
        <v>24282</v>
      </c>
      <c r="P159" s="3">
        <v>112135</v>
      </c>
      <c r="Q159" s="3">
        <v>2135479</v>
      </c>
      <c r="R159" s="3">
        <v>2128035</v>
      </c>
      <c r="S159" s="3">
        <v>2128035</v>
      </c>
      <c r="T159" s="3">
        <v>261317</v>
      </c>
      <c r="U159" s="3">
        <v>261317</v>
      </c>
      <c r="V159" s="3">
        <v>261317</v>
      </c>
      <c r="W159" s="3">
        <v>261317</v>
      </c>
      <c r="X159" s="3">
        <v>260076</v>
      </c>
      <c r="Y159" s="3">
        <v>260076</v>
      </c>
      <c r="Z159" s="4">
        <v>260075</v>
      </c>
      <c r="AA159" s="4">
        <v>260075</v>
      </c>
      <c r="AB159" s="4">
        <v>260075</v>
      </c>
      <c r="AC159" s="4">
        <v>260076</v>
      </c>
      <c r="AD159" s="4">
        <v>261317</v>
      </c>
      <c r="AE159" s="4">
        <v>522634</v>
      </c>
      <c r="AF159" s="4">
        <v>783951</v>
      </c>
      <c r="AG159" s="4">
        <v>1045268</v>
      </c>
      <c r="AH159" s="4">
        <v>1305344</v>
      </c>
      <c r="AI159" s="4">
        <v>1565420</v>
      </c>
      <c r="AJ159" s="4">
        <v>1825495</v>
      </c>
      <c r="AK159" s="4">
        <v>2085570</v>
      </c>
      <c r="AL159" s="4">
        <v>2345645</v>
      </c>
      <c r="AM159" s="4">
        <v>2605721</v>
      </c>
      <c r="AN159" s="150">
        <v>154433</v>
      </c>
    </row>
    <row r="160" spans="1:40" x14ac:dyDescent="0.2">
      <c r="A160" s="1">
        <v>2023</v>
      </c>
      <c r="B160" s="2" t="s">
        <v>181</v>
      </c>
      <c r="C160" s="2" t="s">
        <v>181</v>
      </c>
      <c r="D160" s="1" t="s">
        <v>531</v>
      </c>
      <c r="E160" s="3">
        <v>1718120</v>
      </c>
      <c r="F160" s="3">
        <v>332</v>
      </c>
      <c r="G160" s="3">
        <v>6599</v>
      </c>
      <c r="H160" s="1">
        <v>0</v>
      </c>
      <c r="I160" s="3">
        <v>1717788</v>
      </c>
      <c r="J160" s="3">
        <v>1711189</v>
      </c>
      <c r="K160" s="3">
        <v>1711189</v>
      </c>
      <c r="L160" s="3">
        <v>73798</v>
      </c>
      <c r="M160" s="3">
        <v>195280</v>
      </c>
      <c r="N160" s="3">
        <v>20379</v>
      </c>
      <c r="O160" s="3">
        <v>21366</v>
      </c>
      <c r="P160" s="3">
        <v>99397</v>
      </c>
      <c r="Q160" s="3">
        <v>1307568</v>
      </c>
      <c r="R160" s="3">
        <v>1300969</v>
      </c>
      <c r="S160" s="3">
        <v>1300969</v>
      </c>
      <c r="T160" s="3">
        <v>171779</v>
      </c>
      <c r="U160" s="3">
        <v>171779</v>
      </c>
      <c r="V160" s="3">
        <v>171779</v>
      </c>
      <c r="W160" s="3">
        <v>171779</v>
      </c>
      <c r="X160" s="3">
        <v>170679</v>
      </c>
      <c r="Y160" s="3">
        <v>170679</v>
      </c>
      <c r="Z160" s="4">
        <v>170679</v>
      </c>
      <c r="AA160" s="4">
        <v>170679</v>
      </c>
      <c r="AB160" s="4">
        <v>170679</v>
      </c>
      <c r="AC160" s="4">
        <v>170678</v>
      </c>
      <c r="AD160" s="4">
        <v>171779</v>
      </c>
      <c r="AE160" s="4">
        <v>343558</v>
      </c>
      <c r="AF160" s="4">
        <v>515337</v>
      </c>
      <c r="AG160" s="4">
        <v>687116</v>
      </c>
      <c r="AH160" s="4">
        <v>857795</v>
      </c>
      <c r="AI160" s="4">
        <v>1028474</v>
      </c>
      <c r="AJ160" s="4">
        <v>1199153</v>
      </c>
      <c r="AK160" s="4">
        <v>1369832</v>
      </c>
      <c r="AL160" s="4">
        <v>1540511</v>
      </c>
      <c r="AM160" s="4">
        <v>1711189</v>
      </c>
      <c r="AN160" s="150">
        <v>138151</v>
      </c>
    </row>
    <row r="161" spans="1:40" x14ac:dyDescent="0.2">
      <c r="A161" s="1">
        <v>2023</v>
      </c>
      <c r="B161" s="2" t="s">
        <v>182</v>
      </c>
      <c r="C161" s="2" t="s">
        <v>182</v>
      </c>
      <c r="D161" s="1" t="s">
        <v>532</v>
      </c>
      <c r="E161" s="3">
        <v>3900571</v>
      </c>
      <c r="F161" s="1">
        <v>713</v>
      </c>
      <c r="G161" s="3">
        <v>14635</v>
      </c>
      <c r="H161" s="1">
        <v>0</v>
      </c>
      <c r="I161" s="3">
        <v>3899858</v>
      </c>
      <c r="J161" s="3">
        <v>3885223</v>
      </c>
      <c r="K161" s="3">
        <v>3885223</v>
      </c>
      <c r="L161" s="3">
        <v>158667</v>
      </c>
      <c r="M161" s="3">
        <v>386079</v>
      </c>
      <c r="N161" s="3">
        <v>40157</v>
      </c>
      <c r="O161" s="3">
        <v>41211</v>
      </c>
      <c r="P161" s="3">
        <v>220441</v>
      </c>
      <c r="Q161" s="3">
        <v>3053303</v>
      </c>
      <c r="R161" s="3">
        <v>3038668</v>
      </c>
      <c r="S161" s="3">
        <v>3038668</v>
      </c>
      <c r="T161" s="3">
        <v>389986</v>
      </c>
      <c r="U161" s="3">
        <v>389986</v>
      </c>
      <c r="V161" s="3">
        <v>389986</v>
      </c>
      <c r="W161" s="3">
        <v>389986</v>
      </c>
      <c r="X161" s="3">
        <v>387547</v>
      </c>
      <c r="Y161" s="3">
        <v>387547</v>
      </c>
      <c r="Z161" s="4">
        <v>387546</v>
      </c>
      <c r="AA161" s="4">
        <v>387546</v>
      </c>
      <c r="AB161" s="4">
        <v>387546</v>
      </c>
      <c r="AC161" s="4">
        <v>387547</v>
      </c>
      <c r="AD161" s="4">
        <v>389986</v>
      </c>
      <c r="AE161" s="4">
        <v>779972</v>
      </c>
      <c r="AF161" s="4">
        <v>1169958</v>
      </c>
      <c r="AG161" s="4">
        <v>1559944</v>
      </c>
      <c r="AH161" s="4">
        <v>1947491</v>
      </c>
      <c r="AI161" s="4">
        <v>2335038</v>
      </c>
      <c r="AJ161" s="4">
        <v>2722584</v>
      </c>
      <c r="AK161" s="4">
        <v>3110130</v>
      </c>
      <c r="AL161" s="4">
        <v>3497676</v>
      </c>
      <c r="AM161" s="4">
        <v>3885223</v>
      </c>
      <c r="AN161" s="150">
        <v>297637</v>
      </c>
    </row>
    <row r="162" spans="1:40" x14ac:dyDescent="0.2">
      <c r="A162" s="1">
        <v>2023</v>
      </c>
      <c r="B162" s="2" t="s">
        <v>183</v>
      </c>
      <c r="C162" s="2" t="s">
        <v>697</v>
      </c>
      <c r="D162" s="1" t="s">
        <v>533</v>
      </c>
      <c r="E162" s="3">
        <v>3399346</v>
      </c>
      <c r="F162" s="1">
        <v>531</v>
      </c>
      <c r="G162" s="3">
        <v>13473</v>
      </c>
      <c r="H162" s="3">
        <v>0</v>
      </c>
      <c r="I162" s="3">
        <v>3398815</v>
      </c>
      <c r="J162" s="3">
        <v>3385342</v>
      </c>
      <c r="K162" s="3">
        <v>3385342</v>
      </c>
      <c r="L162" s="3">
        <v>118077</v>
      </c>
      <c r="M162" s="3">
        <v>388186</v>
      </c>
      <c r="N162" s="3">
        <v>44707</v>
      </c>
      <c r="O162" s="3">
        <v>44111</v>
      </c>
      <c r="P162" s="3">
        <v>202944</v>
      </c>
      <c r="Q162" s="3">
        <v>2600790</v>
      </c>
      <c r="R162" s="3">
        <v>2587317</v>
      </c>
      <c r="S162" s="3">
        <v>2587317</v>
      </c>
      <c r="T162" s="3">
        <v>339882</v>
      </c>
      <c r="U162" s="3">
        <v>339882</v>
      </c>
      <c r="V162" s="3">
        <v>339882</v>
      </c>
      <c r="W162" s="3">
        <v>339882</v>
      </c>
      <c r="X162" s="3">
        <v>337636</v>
      </c>
      <c r="Y162" s="3">
        <v>337636</v>
      </c>
      <c r="Z162" s="4">
        <v>337636</v>
      </c>
      <c r="AA162" s="4">
        <v>337636</v>
      </c>
      <c r="AB162" s="4">
        <v>337636</v>
      </c>
      <c r="AC162" s="4">
        <v>337634</v>
      </c>
      <c r="AD162" s="4">
        <v>339882</v>
      </c>
      <c r="AE162" s="4">
        <v>679764</v>
      </c>
      <c r="AF162" s="4">
        <v>1019646</v>
      </c>
      <c r="AG162" s="4">
        <v>1359528</v>
      </c>
      <c r="AH162" s="4">
        <v>1697164</v>
      </c>
      <c r="AI162" s="4">
        <v>2034800</v>
      </c>
      <c r="AJ162" s="4">
        <v>2372436</v>
      </c>
      <c r="AK162" s="4">
        <v>2710072</v>
      </c>
      <c r="AL162" s="4">
        <v>3047708</v>
      </c>
      <c r="AM162" s="4">
        <v>3385342</v>
      </c>
      <c r="AN162" s="150">
        <v>278446</v>
      </c>
    </row>
    <row r="163" spans="1:40" x14ac:dyDescent="0.2">
      <c r="A163" s="1">
        <v>2023</v>
      </c>
      <c r="B163" s="2" t="s">
        <v>184</v>
      </c>
      <c r="C163" s="2" t="s">
        <v>184</v>
      </c>
      <c r="D163" s="1" t="s">
        <v>534</v>
      </c>
      <c r="E163" s="3">
        <v>14825771</v>
      </c>
      <c r="F163" s="3">
        <v>1542</v>
      </c>
      <c r="G163" s="3">
        <v>53108</v>
      </c>
      <c r="H163" s="3">
        <v>0</v>
      </c>
      <c r="I163" s="3">
        <v>14824229</v>
      </c>
      <c r="J163" s="3">
        <v>14771121</v>
      </c>
      <c r="K163" s="3">
        <v>14771121</v>
      </c>
      <c r="L163" s="3">
        <v>343163</v>
      </c>
      <c r="M163" s="3">
        <v>1372289</v>
      </c>
      <c r="N163" s="3">
        <v>152101</v>
      </c>
      <c r="O163" s="3">
        <v>159100</v>
      </c>
      <c r="P163" s="3">
        <v>799969</v>
      </c>
      <c r="Q163" s="3">
        <v>11997607</v>
      </c>
      <c r="R163" s="3">
        <v>11944499</v>
      </c>
      <c r="S163" s="3">
        <v>11944499</v>
      </c>
      <c r="T163" s="3">
        <v>1482423</v>
      </c>
      <c r="U163" s="3">
        <v>1482423</v>
      </c>
      <c r="V163" s="3">
        <v>1482423</v>
      </c>
      <c r="W163" s="3">
        <v>1482423</v>
      </c>
      <c r="X163" s="3">
        <v>1473572</v>
      </c>
      <c r="Y163" s="3">
        <v>1473572</v>
      </c>
      <c r="Z163" s="4">
        <v>1473571</v>
      </c>
      <c r="AA163" s="4">
        <v>1473571</v>
      </c>
      <c r="AB163" s="4">
        <v>1473571</v>
      </c>
      <c r="AC163" s="4">
        <v>1473572</v>
      </c>
      <c r="AD163" s="4">
        <v>1482423</v>
      </c>
      <c r="AE163" s="4">
        <v>2964846</v>
      </c>
      <c r="AF163" s="4">
        <v>4447269</v>
      </c>
      <c r="AG163" s="4">
        <v>5929692</v>
      </c>
      <c r="AH163" s="4">
        <v>7403264</v>
      </c>
      <c r="AI163" s="4">
        <v>8876836</v>
      </c>
      <c r="AJ163" s="4">
        <v>10350407</v>
      </c>
      <c r="AK163" s="4">
        <v>11823978</v>
      </c>
      <c r="AL163" s="4">
        <v>13297549</v>
      </c>
      <c r="AM163" s="4">
        <v>14771121</v>
      </c>
      <c r="AN163" s="150">
        <v>1176747</v>
      </c>
    </row>
    <row r="164" spans="1:40" x14ac:dyDescent="0.2">
      <c r="A164" s="1">
        <v>2023</v>
      </c>
      <c r="B164" s="2" t="s">
        <v>185</v>
      </c>
      <c r="C164" s="2" t="s">
        <v>185</v>
      </c>
      <c r="D164" s="1" t="s">
        <v>535</v>
      </c>
      <c r="E164" s="3">
        <v>3174640</v>
      </c>
      <c r="F164" s="3">
        <v>580</v>
      </c>
      <c r="G164" s="3">
        <v>10696</v>
      </c>
      <c r="H164" s="1">
        <v>0</v>
      </c>
      <c r="I164" s="3">
        <v>3174060</v>
      </c>
      <c r="J164" s="3">
        <v>3163364</v>
      </c>
      <c r="K164" s="3">
        <v>3163364</v>
      </c>
      <c r="L164" s="3">
        <v>129148</v>
      </c>
      <c r="M164" s="3">
        <v>313778</v>
      </c>
      <c r="N164" s="3">
        <v>41293</v>
      </c>
      <c r="O164" s="3">
        <v>36159</v>
      </c>
      <c r="P164" s="3">
        <v>161117</v>
      </c>
      <c r="Q164" s="3">
        <v>2492565</v>
      </c>
      <c r="R164" s="3">
        <v>2481869</v>
      </c>
      <c r="S164" s="3">
        <v>2481869</v>
      </c>
      <c r="T164" s="3">
        <v>317406</v>
      </c>
      <c r="U164" s="3">
        <v>317406</v>
      </c>
      <c r="V164" s="3">
        <v>317406</v>
      </c>
      <c r="W164" s="3">
        <v>317406</v>
      </c>
      <c r="X164" s="3">
        <v>315623</v>
      </c>
      <c r="Y164" s="3">
        <v>315623</v>
      </c>
      <c r="Z164" s="4">
        <v>315624</v>
      </c>
      <c r="AA164" s="4">
        <v>315624</v>
      </c>
      <c r="AB164" s="4">
        <v>315624</v>
      </c>
      <c r="AC164" s="4">
        <v>315622</v>
      </c>
      <c r="AD164" s="4">
        <v>317406</v>
      </c>
      <c r="AE164" s="4">
        <v>634812</v>
      </c>
      <c r="AF164" s="4">
        <v>952218</v>
      </c>
      <c r="AG164" s="4">
        <v>1269624</v>
      </c>
      <c r="AH164" s="4">
        <v>1585247</v>
      </c>
      <c r="AI164" s="4">
        <v>1900870</v>
      </c>
      <c r="AJ164" s="4">
        <v>2216494</v>
      </c>
      <c r="AK164" s="4">
        <v>2532118</v>
      </c>
      <c r="AL164" s="4">
        <v>2847742</v>
      </c>
      <c r="AM164" s="4">
        <v>3163364</v>
      </c>
      <c r="AN164" s="150">
        <v>211980</v>
      </c>
    </row>
    <row r="165" spans="1:40" x14ac:dyDescent="0.2">
      <c r="A165" s="1">
        <v>2023</v>
      </c>
      <c r="B165" s="2" t="s">
        <v>186</v>
      </c>
      <c r="C165" s="2" t="s">
        <v>186</v>
      </c>
      <c r="D165" s="1" t="s">
        <v>536</v>
      </c>
      <c r="E165" s="3">
        <v>14726887</v>
      </c>
      <c r="F165" s="3">
        <v>1095</v>
      </c>
      <c r="G165" s="3">
        <v>62403</v>
      </c>
      <c r="H165" s="3">
        <v>0</v>
      </c>
      <c r="I165" s="3">
        <v>14725792</v>
      </c>
      <c r="J165" s="3">
        <v>14663389</v>
      </c>
      <c r="K165" s="3">
        <v>14663389</v>
      </c>
      <c r="L165" s="3">
        <v>243534</v>
      </c>
      <c r="M165" s="3">
        <v>1624021</v>
      </c>
      <c r="N165" s="3">
        <v>238646</v>
      </c>
      <c r="O165" s="3">
        <v>189677</v>
      </c>
      <c r="P165" s="3">
        <v>939976</v>
      </c>
      <c r="Q165" s="3">
        <v>11489938</v>
      </c>
      <c r="R165" s="3">
        <v>11427535</v>
      </c>
      <c r="S165" s="3">
        <v>11427535</v>
      </c>
      <c r="T165" s="3">
        <v>1472579</v>
      </c>
      <c r="U165" s="3">
        <v>1472579</v>
      </c>
      <c r="V165" s="3">
        <v>1472579</v>
      </c>
      <c r="W165" s="3">
        <v>1472579</v>
      </c>
      <c r="X165" s="3">
        <v>1462179</v>
      </c>
      <c r="Y165" s="3">
        <v>1462179</v>
      </c>
      <c r="Z165" s="4">
        <v>1462179</v>
      </c>
      <c r="AA165" s="4">
        <v>1462179</v>
      </c>
      <c r="AB165" s="4">
        <v>1462179</v>
      </c>
      <c r="AC165" s="4">
        <v>1462178</v>
      </c>
      <c r="AD165" s="4">
        <v>1472579</v>
      </c>
      <c r="AE165" s="4">
        <v>2945158</v>
      </c>
      <c r="AF165" s="4">
        <v>4417737</v>
      </c>
      <c r="AG165" s="4">
        <v>5890316</v>
      </c>
      <c r="AH165" s="4">
        <v>7352495</v>
      </c>
      <c r="AI165" s="4">
        <v>8814674</v>
      </c>
      <c r="AJ165" s="4">
        <v>10276853</v>
      </c>
      <c r="AK165" s="4">
        <v>11739032</v>
      </c>
      <c r="AL165" s="4">
        <v>13201211</v>
      </c>
      <c r="AM165" s="4">
        <v>14663389</v>
      </c>
      <c r="AN165" s="150">
        <v>1324990</v>
      </c>
    </row>
    <row r="166" spans="1:40" x14ac:dyDescent="0.2">
      <c r="A166" s="1">
        <v>2023</v>
      </c>
      <c r="B166" s="2" t="s">
        <v>187</v>
      </c>
      <c r="C166" s="2" t="s">
        <v>187</v>
      </c>
      <c r="D166" s="1" t="s">
        <v>537</v>
      </c>
      <c r="E166" s="3">
        <v>4565635</v>
      </c>
      <c r="F166" s="3">
        <v>663</v>
      </c>
      <c r="G166" s="3">
        <v>17055</v>
      </c>
      <c r="H166" s="3">
        <v>0</v>
      </c>
      <c r="I166" s="3">
        <v>4564972</v>
      </c>
      <c r="J166" s="3">
        <v>4547917</v>
      </c>
      <c r="K166" s="3">
        <v>4547917</v>
      </c>
      <c r="L166" s="3">
        <v>147597</v>
      </c>
      <c r="M166" s="3">
        <v>455090</v>
      </c>
      <c r="N166" s="3">
        <v>48307</v>
      </c>
      <c r="O166" s="3">
        <v>48989</v>
      </c>
      <c r="P166" s="3">
        <v>256900</v>
      </c>
      <c r="Q166" s="3">
        <v>3608089</v>
      </c>
      <c r="R166" s="3">
        <v>3591034</v>
      </c>
      <c r="S166" s="3">
        <v>3591034</v>
      </c>
      <c r="T166" s="3">
        <v>456497</v>
      </c>
      <c r="U166" s="3">
        <v>456497</v>
      </c>
      <c r="V166" s="3">
        <v>456497</v>
      </c>
      <c r="W166" s="3">
        <v>456497</v>
      </c>
      <c r="X166" s="3">
        <v>453655</v>
      </c>
      <c r="Y166" s="3">
        <v>453655</v>
      </c>
      <c r="Z166" s="4">
        <v>453655</v>
      </c>
      <c r="AA166" s="4">
        <v>453655</v>
      </c>
      <c r="AB166" s="4">
        <v>453655</v>
      </c>
      <c r="AC166" s="4">
        <v>453654</v>
      </c>
      <c r="AD166" s="4">
        <v>456497</v>
      </c>
      <c r="AE166" s="4">
        <v>912994</v>
      </c>
      <c r="AF166" s="4">
        <v>1369491</v>
      </c>
      <c r="AG166" s="4">
        <v>1825988</v>
      </c>
      <c r="AH166" s="4">
        <v>2279643</v>
      </c>
      <c r="AI166" s="4">
        <v>2733298</v>
      </c>
      <c r="AJ166" s="4">
        <v>3186953</v>
      </c>
      <c r="AK166" s="4">
        <v>3640608</v>
      </c>
      <c r="AL166" s="4">
        <v>4094263</v>
      </c>
      <c r="AM166" s="4">
        <v>4547917</v>
      </c>
      <c r="AN166" s="150">
        <v>353443</v>
      </c>
    </row>
    <row r="167" spans="1:40" x14ac:dyDescent="0.2">
      <c r="A167" s="1">
        <v>2023</v>
      </c>
      <c r="B167" s="2" t="s">
        <v>188</v>
      </c>
      <c r="C167" s="2" t="s">
        <v>188</v>
      </c>
      <c r="D167" s="1" t="s">
        <v>538</v>
      </c>
      <c r="E167" s="3">
        <v>52295471</v>
      </c>
      <c r="F167" s="3">
        <v>3997</v>
      </c>
      <c r="G167" s="3">
        <v>180035</v>
      </c>
      <c r="H167" s="1">
        <v>0</v>
      </c>
      <c r="I167" s="3">
        <v>52291474</v>
      </c>
      <c r="J167" s="3">
        <v>52111439</v>
      </c>
      <c r="K167" s="3">
        <v>52111439</v>
      </c>
      <c r="L167" s="3">
        <v>889270</v>
      </c>
      <c r="M167" s="3">
        <v>4535226</v>
      </c>
      <c r="N167" s="3">
        <v>505160</v>
      </c>
      <c r="O167" s="3">
        <v>507434</v>
      </c>
      <c r="P167" s="3">
        <v>2711874</v>
      </c>
      <c r="Q167" s="3">
        <v>43142510</v>
      </c>
      <c r="R167" s="3">
        <v>42962475</v>
      </c>
      <c r="S167" s="3">
        <v>42962475</v>
      </c>
      <c r="T167" s="3">
        <v>5229147</v>
      </c>
      <c r="U167" s="3">
        <v>5229147</v>
      </c>
      <c r="V167" s="3">
        <v>5229147</v>
      </c>
      <c r="W167" s="3">
        <v>5229147</v>
      </c>
      <c r="X167" s="3">
        <v>5199142</v>
      </c>
      <c r="Y167" s="3">
        <v>5199142</v>
      </c>
      <c r="Z167" s="4">
        <v>5199142</v>
      </c>
      <c r="AA167" s="4">
        <v>5199142</v>
      </c>
      <c r="AB167" s="4">
        <v>5199142</v>
      </c>
      <c r="AC167" s="4">
        <v>5199141</v>
      </c>
      <c r="AD167" s="4">
        <v>5229147</v>
      </c>
      <c r="AE167" s="4">
        <v>10458294</v>
      </c>
      <c r="AF167" s="4">
        <v>15687441</v>
      </c>
      <c r="AG167" s="4">
        <v>20916588</v>
      </c>
      <c r="AH167" s="4">
        <v>26115730</v>
      </c>
      <c r="AI167" s="4">
        <v>31314872</v>
      </c>
      <c r="AJ167" s="4">
        <v>36514014</v>
      </c>
      <c r="AK167" s="4">
        <v>41713156</v>
      </c>
      <c r="AL167" s="4">
        <v>46912298</v>
      </c>
      <c r="AM167" s="4">
        <v>52111439</v>
      </c>
      <c r="AN167" s="150">
        <v>3756855</v>
      </c>
    </row>
    <row r="168" spans="1:40" x14ac:dyDescent="0.2">
      <c r="A168" s="1">
        <v>2023</v>
      </c>
      <c r="B168" s="2" t="s">
        <v>189</v>
      </c>
      <c r="C168" s="2" t="s">
        <v>189</v>
      </c>
      <c r="D168" s="1" t="s">
        <v>539</v>
      </c>
      <c r="E168" s="3">
        <v>4742918</v>
      </c>
      <c r="F168" s="3">
        <v>862</v>
      </c>
      <c r="G168" s="3">
        <v>15646</v>
      </c>
      <c r="H168" s="3">
        <v>0</v>
      </c>
      <c r="I168" s="3">
        <v>4742056</v>
      </c>
      <c r="J168" s="3">
        <v>4726410</v>
      </c>
      <c r="K168" s="3">
        <v>4726410</v>
      </c>
      <c r="L168" s="3">
        <v>191876</v>
      </c>
      <c r="M168" s="3">
        <v>397565</v>
      </c>
      <c r="N168" s="3">
        <v>39720</v>
      </c>
      <c r="O168" s="3">
        <v>39957</v>
      </c>
      <c r="P168" s="3">
        <v>235683</v>
      </c>
      <c r="Q168" s="3">
        <v>3837255</v>
      </c>
      <c r="R168" s="3">
        <v>3821609</v>
      </c>
      <c r="S168" s="3">
        <v>3821609</v>
      </c>
      <c r="T168" s="3">
        <v>474206</v>
      </c>
      <c r="U168" s="3">
        <v>474206</v>
      </c>
      <c r="V168" s="3">
        <v>474206</v>
      </c>
      <c r="W168" s="3">
        <v>474206</v>
      </c>
      <c r="X168" s="3">
        <v>471598</v>
      </c>
      <c r="Y168" s="3">
        <v>471598</v>
      </c>
      <c r="Z168" s="4">
        <v>471598</v>
      </c>
      <c r="AA168" s="4">
        <v>471598</v>
      </c>
      <c r="AB168" s="4">
        <v>471598</v>
      </c>
      <c r="AC168" s="4">
        <v>471596</v>
      </c>
      <c r="AD168" s="4">
        <v>474206</v>
      </c>
      <c r="AE168" s="4">
        <v>948412</v>
      </c>
      <c r="AF168" s="4">
        <v>1422618</v>
      </c>
      <c r="AG168" s="4">
        <v>1896824</v>
      </c>
      <c r="AH168" s="4">
        <v>2368422</v>
      </c>
      <c r="AI168" s="4">
        <v>2840020</v>
      </c>
      <c r="AJ168" s="4">
        <v>3311618</v>
      </c>
      <c r="AK168" s="4">
        <v>3783216</v>
      </c>
      <c r="AL168" s="4">
        <v>4254814</v>
      </c>
      <c r="AM168" s="4">
        <v>4726410</v>
      </c>
      <c r="AN168" s="150">
        <v>308898</v>
      </c>
    </row>
    <row r="169" spans="1:40" x14ac:dyDescent="0.2">
      <c r="A169" s="1">
        <v>2023</v>
      </c>
      <c r="B169" s="2" t="s">
        <v>190</v>
      </c>
      <c r="C169" s="2" t="s">
        <v>190</v>
      </c>
      <c r="D169" s="1" t="s">
        <v>540</v>
      </c>
      <c r="E169" s="3">
        <v>3830013</v>
      </c>
      <c r="F169" s="1">
        <v>779</v>
      </c>
      <c r="G169" s="3">
        <v>13651</v>
      </c>
      <c r="H169" s="1">
        <v>0</v>
      </c>
      <c r="I169" s="3">
        <v>3829234</v>
      </c>
      <c r="J169" s="3">
        <v>3815583</v>
      </c>
      <c r="K169" s="3">
        <v>3815583</v>
      </c>
      <c r="L169" s="3">
        <v>173427</v>
      </c>
      <c r="M169" s="3">
        <v>367647</v>
      </c>
      <c r="N169" s="3">
        <v>41999</v>
      </c>
      <c r="O169" s="3">
        <v>41051</v>
      </c>
      <c r="P169" s="3">
        <v>205628</v>
      </c>
      <c r="Q169" s="3">
        <v>2999482</v>
      </c>
      <c r="R169" s="3">
        <v>2985831</v>
      </c>
      <c r="S169" s="3">
        <v>2985831</v>
      </c>
      <c r="T169" s="3">
        <v>382923</v>
      </c>
      <c r="U169" s="3">
        <v>382923</v>
      </c>
      <c r="V169" s="3">
        <v>382923</v>
      </c>
      <c r="W169" s="3">
        <v>382923</v>
      </c>
      <c r="X169" s="3">
        <v>380649</v>
      </c>
      <c r="Y169" s="3">
        <v>380649</v>
      </c>
      <c r="Z169" s="4">
        <v>380648</v>
      </c>
      <c r="AA169" s="4">
        <v>380648</v>
      </c>
      <c r="AB169" s="4">
        <v>380648</v>
      </c>
      <c r="AC169" s="4">
        <v>380649</v>
      </c>
      <c r="AD169" s="4">
        <v>382923</v>
      </c>
      <c r="AE169" s="4">
        <v>765846</v>
      </c>
      <c r="AF169" s="4">
        <v>1148769</v>
      </c>
      <c r="AG169" s="4">
        <v>1531692</v>
      </c>
      <c r="AH169" s="4">
        <v>1912341</v>
      </c>
      <c r="AI169" s="4">
        <v>2292990</v>
      </c>
      <c r="AJ169" s="4">
        <v>2673638</v>
      </c>
      <c r="AK169" s="4">
        <v>3054286</v>
      </c>
      <c r="AL169" s="4">
        <v>3434934</v>
      </c>
      <c r="AM169" s="4">
        <v>3815583</v>
      </c>
      <c r="AN169" s="150">
        <v>267295</v>
      </c>
    </row>
    <row r="170" spans="1:40" x14ac:dyDescent="0.2">
      <c r="A170" s="1">
        <v>2023</v>
      </c>
      <c r="B170" s="2" t="s">
        <v>191</v>
      </c>
      <c r="C170" s="2" t="s">
        <v>191</v>
      </c>
      <c r="D170" s="1" t="s">
        <v>541</v>
      </c>
      <c r="E170" s="3">
        <v>2047021</v>
      </c>
      <c r="F170" s="3">
        <v>464</v>
      </c>
      <c r="G170" s="3">
        <v>7967</v>
      </c>
      <c r="H170" s="3">
        <v>0</v>
      </c>
      <c r="I170" s="3">
        <v>2046557</v>
      </c>
      <c r="J170" s="3">
        <v>2038590</v>
      </c>
      <c r="K170" s="3">
        <v>2038590</v>
      </c>
      <c r="L170" s="3">
        <v>103318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1501910</v>
      </c>
      <c r="R170" s="3">
        <v>1493943</v>
      </c>
      <c r="S170" s="3">
        <v>1493943</v>
      </c>
      <c r="T170" s="3">
        <v>204656</v>
      </c>
      <c r="U170" s="3">
        <v>204656</v>
      </c>
      <c r="V170" s="3">
        <v>204656</v>
      </c>
      <c r="W170" s="3">
        <v>204656</v>
      </c>
      <c r="X170" s="3">
        <v>203328</v>
      </c>
      <c r="Y170" s="3">
        <v>203328</v>
      </c>
      <c r="Z170" s="4">
        <v>203328</v>
      </c>
      <c r="AA170" s="4">
        <v>203328</v>
      </c>
      <c r="AB170" s="4">
        <v>203328</v>
      </c>
      <c r="AC170" s="4">
        <v>203326</v>
      </c>
      <c r="AD170" s="4">
        <v>204656</v>
      </c>
      <c r="AE170" s="4">
        <v>409312</v>
      </c>
      <c r="AF170" s="4">
        <v>613968</v>
      </c>
      <c r="AG170" s="4">
        <v>818624</v>
      </c>
      <c r="AH170" s="4">
        <v>1021952</v>
      </c>
      <c r="AI170" s="4">
        <v>1225280</v>
      </c>
      <c r="AJ170" s="4">
        <v>1428608</v>
      </c>
      <c r="AK170" s="4">
        <v>1631936</v>
      </c>
      <c r="AL170" s="4">
        <v>1835264</v>
      </c>
      <c r="AM170" s="4">
        <v>2038590</v>
      </c>
      <c r="AN170" s="150">
        <v>164890</v>
      </c>
    </row>
    <row r="171" spans="1:40" x14ac:dyDescent="0.2">
      <c r="A171" s="1">
        <v>2023</v>
      </c>
      <c r="B171" s="2" t="s">
        <v>192</v>
      </c>
      <c r="C171" s="2" t="s">
        <v>192</v>
      </c>
      <c r="D171" s="1" t="s">
        <v>542</v>
      </c>
      <c r="E171" s="3">
        <v>4627595</v>
      </c>
      <c r="F171" s="1">
        <v>779</v>
      </c>
      <c r="G171" s="3">
        <v>16449</v>
      </c>
      <c r="H171" s="1">
        <v>0</v>
      </c>
      <c r="I171" s="3">
        <v>4626816</v>
      </c>
      <c r="J171" s="3">
        <v>4610367</v>
      </c>
      <c r="K171" s="3">
        <v>4610367</v>
      </c>
      <c r="L171" s="3">
        <v>173427</v>
      </c>
      <c r="M171" s="3">
        <v>474245</v>
      </c>
      <c r="N171" s="3">
        <v>50864</v>
      </c>
      <c r="O171" s="3">
        <v>54818</v>
      </c>
      <c r="P171" s="3">
        <v>247777</v>
      </c>
      <c r="Q171" s="3">
        <v>3625685</v>
      </c>
      <c r="R171" s="3">
        <v>3609236</v>
      </c>
      <c r="S171" s="3">
        <v>3609236</v>
      </c>
      <c r="T171" s="3">
        <v>462682</v>
      </c>
      <c r="U171" s="3">
        <v>462682</v>
      </c>
      <c r="V171" s="3">
        <v>462682</v>
      </c>
      <c r="W171" s="3">
        <v>462682</v>
      </c>
      <c r="X171" s="3">
        <v>459940</v>
      </c>
      <c r="Y171" s="3">
        <v>459940</v>
      </c>
      <c r="Z171" s="4">
        <v>459940</v>
      </c>
      <c r="AA171" s="4">
        <v>459940</v>
      </c>
      <c r="AB171" s="4">
        <v>459940</v>
      </c>
      <c r="AC171" s="4">
        <v>459939</v>
      </c>
      <c r="AD171" s="4">
        <v>462682</v>
      </c>
      <c r="AE171" s="4">
        <v>925364</v>
      </c>
      <c r="AF171" s="4">
        <v>1388046</v>
      </c>
      <c r="AG171" s="4">
        <v>1850728</v>
      </c>
      <c r="AH171" s="4">
        <v>2310668</v>
      </c>
      <c r="AI171" s="4">
        <v>2770608</v>
      </c>
      <c r="AJ171" s="4">
        <v>3230548</v>
      </c>
      <c r="AK171" s="4">
        <v>3690488</v>
      </c>
      <c r="AL171" s="4">
        <v>4150428</v>
      </c>
      <c r="AM171" s="4">
        <v>4610367</v>
      </c>
      <c r="AN171" s="150">
        <v>326748</v>
      </c>
    </row>
    <row r="172" spans="1:40" x14ac:dyDescent="0.2">
      <c r="A172" s="1">
        <v>2023</v>
      </c>
      <c r="B172" s="2" t="s">
        <v>193</v>
      </c>
      <c r="C172" s="2" t="s">
        <v>193</v>
      </c>
      <c r="D172" s="1" t="s">
        <v>543</v>
      </c>
      <c r="E172" s="3">
        <v>285780</v>
      </c>
      <c r="F172" s="1">
        <v>17</v>
      </c>
      <c r="G172" s="3">
        <v>3563</v>
      </c>
      <c r="H172" s="1">
        <v>0</v>
      </c>
      <c r="I172" s="3">
        <v>285763</v>
      </c>
      <c r="J172" s="3">
        <v>282200</v>
      </c>
      <c r="K172" s="3">
        <v>282200</v>
      </c>
      <c r="L172" s="3">
        <v>3690</v>
      </c>
      <c r="M172" s="3">
        <v>110884</v>
      </c>
      <c r="N172" s="3">
        <v>2841</v>
      </c>
      <c r="O172" s="3">
        <v>11836</v>
      </c>
      <c r="P172" s="3">
        <v>55258</v>
      </c>
      <c r="Q172" s="3">
        <v>101254</v>
      </c>
      <c r="R172" s="3">
        <v>97691</v>
      </c>
      <c r="S172" s="3">
        <v>97691</v>
      </c>
      <c r="T172" s="3">
        <v>28576</v>
      </c>
      <c r="U172" s="3">
        <v>28576</v>
      </c>
      <c r="V172" s="3">
        <v>28576</v>
      </c>
      <c r="W172" s="3">
        <v>28576</v>
      </c>
      <c r="X172" s="3">
        <v>27983</v>
      </c>
      <c r="Y172" s="3">
        <v>27983</v>
      </c>
      <c r="Z172" s="4">
        <v>27983</v>
      </c>
      <c r="AA172" s="4">
        <v>27983</v>
      </c>
      <c r="AB172" s="4">
        <v>27983</v>
      </c>
      <c r="AC172" s="4">
        <v>27981</v>
      </c>
      <c r="AD172" s="4">
        <v>28576</v>
      </c>
      <c r="AE172" s="4">
        <v>57152</v>
      </c>
      <c r="AF172" s="4">
        <v>85728</v>
      </c>
      <c r="AG172" s="4">
        <v>114304</v>
      </c>
      <c r="AH172" s="4">
        <v>142287</v>
      </c>
      <c r="AI172" s="4">
        <v>170270</v>
      </c>
      <c r="AJ172" s="4">
        <v>198253</v>
      </c>
      <c r="AK172" s="4">
        <v>226236</v>
      </c>
      <c r="AL172" s="4">
        <v>254219</v>
      </c>
      <c r="AM172" s="4">
        <v>282200</v>
      </c>
      <c r="AN172" s="150">
        <v>71386</v>
      </c>
    </row>
    <row r="173" spans="1:40" x14ac:dyDescent="0.2">
      <c r="A173" s="1">
        <v>2023</v>
      </c>
      <c r="B173" s="2" t="s">
        <v>194</v>
      </c>
      <c r="C173" s="2" t="s">
        <v>194</v>
      </c>
      <c r="D173" s="1" t="s">
        <v>544</v>
      </c>
      <c r="E173" s="3">
        <v>2786861</v>
      </c>
      <c r="F173" s="1">
        <v>614</v>
      </c>
      <c r="G173" s="3">
        <v>10708</v>
      </c>
      <c r="H173" s="1">
        <v>0</v>
      </c>
      <c r="I173" s="3">
        <v>2786247</v>
      </c>
      <c r="J173" s="3">
        <v>2775539</v>
      </c>
      <c r="K173" s="3">
        <v>2775539</v>
      </c>
      <c r="L173" s="3">
        <v>140141</v>
      </c>
      <c r="M173" s="3">
        <v>291997</v>
      </c>
      <c r="N173" s="3">
        <v>30082</v>
      </c>
      <c r="O173" s="3">
        <v>29609</v>
      </c>
      <c r="P173" s="3">
        <v>161296</v>
      </c>
      <c r="Q173" s="3">
        <v>2133122</v>
      </c>
      <c r="R173" s="3">
        <v>2122414</v>
      </c>
      <c r="S173" s="3">
        <v>2122414</v>
      </c>
      <c r="T173" s="3">
        <v>278625</v>
      </c>
      <c r="U173" s="3">
        <v>278625</v>
      </c>
      <c r="V173" s="3">
        <v>278625</v>
      </c>
      <c r="W173" s="3">
        <v>278625</v>
      </c>
      <c r="X173" s="3">
        <v>276840</v>
      </c>
      <c r="Y173" s="3">
        <v>276840</v>
      </c>
      <c r="Z173" s="4">
        <v>276840</v>
      </c>
      <c r="AA173" s="4">
        <v>276840</v>
      </c>
      <c r="AB173" s="4">
        <v>276840</v>
      </c>
      <c r="AC173" s="4">
        <v>276839</v>
      </c>
      <c r="AD173" s="4">
        <v>278625</v>
      </c>
      <c r="AE173" s="4">
        <v>557250</v>
      </c>
      <c r="AF173" s="4">
        <v>835875</v>
      </c>
      <c r="AG173" s="4">
        <v>1114500</v>
      </c>
      <c r="AH173" s="4">
        <v>1391340</v>
      </c>
      <c r="AI173" s="4">
        <v>1668180</v>
      </c>
      <c r="AJ173" s="4">
        <v>1945020</v>
      </c>
      <c r="AK173" s="4">
        <v>2221860</v>
      </c>
      <c r="AL173" s="4">
        <v>2498700</v>
      </c>
      <c r="AM173" s="4">
        <v>2775539</v>
      </c>
      <c r="AN173" s="150">
        <v>214069</v>
      </c>
    </row>
    <row r="174" spans="1:40" x14ac:dyDescent="0.2">
      <c r="A174" s="1">
        <v>2023</v>
      </c>
      <c r="B174" s="2" t="s">
        <v>195</v>
      </c>
      <c r="C174" s="2" t="s">
        <v>195</v>
      </c>
      <c r="D174" s="1" t="s">
        <v>545</v>
      </c>
      <c r="E174" s="3">
        <v>4923284</v>
      </c>
      <c r="F174" s="1">
        <v>531</v>
      </c>
      <c r="G174" s="3">
        <v>15509</v>
      </c>
      <c r="H174" s="1">
        <v>0</v>
      </c>
      <c r="I174" s="3">
        <v>4922753</v>
      </c>
      <c r="J174" s="3">
        <v>4907244</v>
      </c>
      <c r="K174" s="3">
        <v>4907244</v>
      </c>
      <c r="L174" s="3">
        <v>118077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4060298</v>
      </c>
      <c r="R174" s="3">
        <v>4044789</v>
      </c>
      <c r="S174" s="3">
        <v>4044789</v>
      </c>
      <c r="T174" s="3">
        <v>492275</v>
      </c>
      <c r="U174" s="3">
        <v>492275</v>
      </c>
      <c r="V174" s="3">
        <v>492275</v>
      </c>
      <c r="W174" s="3">
        <v>492275</v>
      </c>
      <c r="X174" s="3">
        <v>489691</v>
      </c>
      <c r="Y174" s="3">
        <v>489691</v>
      </c>
      <c r="Z174" s="4">
        <v>489691</v>
      </c>
      <c r="AA174" s="4">
        <v>489691</v>
      </c>
      <c r="AB174" s="4">
        <v>489691</v>
      </c>
      <c r="AC174" s="4">
        <v>489689</v>
      </c>
      <c r="AD174" s="4">
        <v>492275</v>
      </c>
      <c r="AE174" s="4">
        <v>984550</v>
      </c>
      <c r="AF174" s="4">
        <v>1476825</v>
      </c>
      <c r="AG174" s="4">
        <v>1969100</v>
      </c>
      <c r="AH174" s="4">
        <v>2458791</v>
      </c>
      <c r="AI174" s="4">
        <v>2948482</v>
      </c>
      <c r="AJ174" s="4">
        <v>3438173</v>
      </c>
      <c r="AK174" s="4">
        <v>3927864</v>
      </c>
      <c r="AL174" s="4">
        <v>4417555</v>
      </c>
      <c r="AM174" s="4">
        <v>4907244</v>
      </c>
      <c r="AN174" s="150">
        <v>310579</v>
      </c>
    </row>
    <row r="175" spans="1:40" x14ac:dyDescent="0.2">
      <c r="A175" s="1">
        <v>2023</v>
      </c>
      <c r="B175" s="2" t="s">
        <v>196</v>
      </c>
      <c r="C175" s="2" t="s">
        <v>196</v>
      </c>
      <c r="D175" s="1" t="s">
        <v>546</v>
      </c>
      <c r="E175" s="3">
        <v>3061843</v>
      </c>
      <c r="F175" s="1">
        <v>332</v>
      </c>
      <c r="G175" s="3">
        <v>12520</v>
      </c>
      <c r="H175" s="1">
        <v>0</v>
      </c>
      <c r="I175" s="3">
        <v>3061511</v>
      </c>
      <c r="J175" s="3">
        <v>3048991</v>
      </c>
      <c r="K175" s="3">
        <v>3048991</v>
      </c>
      <c r="L175" s="3">
        <v>73798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2349339</v>
      </c>
      <c r="R175" s="3">
        <v>2336819</v>
      </c>
      <c r="S175" s="3">
        <v>2336819</v>
      </c>
      <c r="T175" s="3">
        <v>306151</v>
      </c>
      <c r="U175" s="3">
        <v>306151</v>
      </c>
      <c r="V175" s="3">
        <v>306151</v>
      </c>
      <c r="W175" s="3">
        <v>306151</v>
      </c>
      <c r="X175" s="3">
        <v>304065</v>
      </c>
      <c r="Y175" s="3">
        <v>304065</v>
      </c>
      <c r="Z175" s="4">
        <v>304064</v>
      </c>
      <c r="AA175" s="4">
        <v>304064</v>
      </c>
      <c r="AB175" s="4">
        <v>304064</v>
      </c>
      <c r="AC175" s="4">
        <v>304065</v>
      </c>
      <c r="AD175" s="4">
        <v>306151</v>
      </c>
      <c r="AE175" s="4">
        <v>612302</v>
      </c>
      <c r="AF175" s="4">
        <v>918453</v>
      </c>
      <c r="AG175" s="4">
        <v>1224604</v>
      </c>
      <c r="AH175" s="4">
        <v>1528669</v>
      </c>
      <c r="AI175" s="4">
        <v>1832734</v>
      </c>
      <c r="AJ175" s="4">
        <v>2136798</v>
      </c>
      <c r="AK175" s="4">
        <v>2440862</v>
      </c>
      <c r="AL175" s="4">
        <v>2744926</v>
      </c>
      <c r="AM175" s="4">
        <v>3048991</v>
      </c>
      <c r="AN175" s="150">
        <v>260359</v>
      </c>
    </row>
    <row r="176" spans="1:40" x14ac:dyDescent="0.2">
      <c r="A176" s="1">
        <v>2023</v>
      </c>
      <c r="B176" s="2" t="s">
        <v>197</v>
      </c>
      <c r="C176" s="2" t="s">
        <v>197</v>
      </c>
      <c r="D176" s="1" t="s">
        <v>547</v>
      </c>
      <c r="E176" s="3">
        <v>3353189</v>
      </c>
      <c r="F176" s="3">
        <v>614</v>
      </c>
      <c r="G176" s="3">
        <v>15449</v>
      </c>
      <c r="H176" s="1">
        <v>0</v>
      </c>
      <c r="I176" s="3">
        <v>3352575</v>
      </c>
      <c r="J176" s="3">
        <v>3337126</v>
      </c>
      <c r="K176" s="3">
        <v>3337126</v>
      </c>
      <c r="L176" s="3">
        <v>136527</v>
      </c>
      <c r="M176" s="3">
        <v>434461</v>
      </c>
      <c r="N176" s="3">
        <v>39245</v>
      </c>
      <c r="O176" s="3">
        <v>47310</v>
      </c>
      <c r="P176" s="3">
        <v>232713</v>
      </c>
      <c r="Q176" s="3">
        <v>2462319</v>
      </c>
      <c r="R176" s="3">
        <v>2446870</v>
      </c>
      <c r="S176" s="3">
        <v>2446870</v>
      </c>
      <c r="T176" s="3">
        <v>335258</v>
      </c>
      <c r="U176" s="3">
        <v>335258</v>
      </c>
      <c r="V176" s="3">
        <v>335258</v>
      </c>
      <c r="W176" s="3">
        <v>335258</v>
      </c>
      <c r="X176" s="3">
        <v>332682</v>
      </c>
      <c r="Y176" s="3">
        <v>332682</v>
      </c>
      <c r="Z176" s="4">
        <v>332683</v>
      </c>
      <c r="AA176" s="4">
        <v>332683</v>
      </c>
      <c r="AB176" s="4">
        <v>332683</v>
      </c>
      <c r="AC176" s="4">
        <v>332681</v>
      </c>
      <c r="AD176" s="4">
        <v>335258</v>
      </c>
      <c r="AE176" s="4">
        <v>670516</v>
      </c>
      <c r="AF176" s="4">
        <v>1005774</v>
      </c>
      <c r="AG176" s="4">
        <v>1341032</v>
      </c>
      <c r="AH176" s="4">
        <v>1673714</v>
      </c>
      <c r="AI176" s="4">
        <v>2006396</v>
      </c>
      <c r="AJ176" s="4">
        <v>2339079</v>
      </c>
      <c r="AK176" s="4">
        <v>2671762</v>
      </c>
      <c r="AL176" s="4">
        <v>3004445</v>
      </c>
      <c r="AM176" s="4">
        <v>3337126</v>
      </c>
      <c r="AN176" s="150">
        <v>314808</v>
      </c>
    </row>
    <row r="177" spans="1:40" x14ac:dyDescent="0.2">
      <c r="A177" s="1">
        <v>2023</v>
      </c>
      <c r="B177" s="2" t="s">
        <v>198</v>
      </c>
      <c r="C177" s="2" t="s">
        <v>198</v>
      </c>
      <c r="D177" s="1" t="s">
        <v>548</v>
      </c>
      <c r="E177" s="3">
        <v>3270507</v>
      </c>
      <c r="F177" s="3">
        <v>630</v>
      </c>
      <c r="G177" s="3">
        <v>14530</v>
      </c>
      <c r="H177" s="1">
        <v>0</v>
      </c>
      <c r="I177" s="3">
        <v>3269877</v>
      </c>
      <c r="J177" s="3">
        <v>3255347</v>
      </c>
      <c r="K177" s="3">
        <v>3255347</v>
      </c>
      <c r="L177" s="3">
        <v>140217</v>
      </c>
      <c r="M177" s="3">
        <v>395690</v>
      </c>
      <c r="N177" s="3">
        <v>40238</v>
      </c>
      <c r="O177" s="3">
        <v>41749</v>
      </c>
      <c r="P177" s="3">
        <v>218866</v>
      </c>
      <c r="Q177" s="3">
        <v>2433117</v>
      </c>
      <c r="R177" s="3">
        <v>2418587</v>
      </c>
      <c r="S177" s="3">
        <v>2418587</v>
      </c>
      <c r="T177" s="3">
        <v>326988</v>
      </c>
      <c r="U177" s="3">
        <v>326988</v>
      </c>
      <c r="V177" s="3">
        <v>326988</v>
      </c>
      <c r="W177" s="3">
        <v>326988</v>
      </c>
      <c r="X177" s="3">
        <v>324566</v>
      </c>
      <c r="Y177" s="3">
        <v>324566</v>
      </c>
      <c r="Z177" s="4">
        <v>324566</v>
      </c>
      <c r="AA177" s="4">
        <v>324566</v>
      </c>
      <c r="AB177" s="4">
        <v>324566</v>
      </c>
      <c r="AC177" s="4">
        <v>324565</v>
      </c>
      <c r="AD177" s="4">
        <v>326988</v>
      </c>
      <c r="AE177" s="4">
        <v>653976</v>
      </c>
      <c r="AF177" s="4">
        <v>980964</v>
      </c>
      <c r="AG177" s="4">
        <v>1307952</v>
      </c>
      <c r="AH177" s="4">
        <v>1632518</v>
      </c>
      <c r="AI177" s="4">
        <v>1957084</v>
      </c>
      <c r="AJ177" s="4">
        <v>2281650</v>
      </c>
      <c r="AK177" s="4">
        <v>2606216</v>
      </c>
      <c r="AL177" s="4">
        <v>2930782</v>
      </c>
      <c r="AM177" s="4">
        <v>3255347</v>
      </c>
      <c r="AN177" s="150">
        <v>298616</v>
      </c>
    </row>
    <row r="178" spans="1:40" x14ac:dyDescent="0.2">
      <c r="A178" s="1">
        <v>2023</v>
      </c>
      <c r="B178" s="2" t="s">
        <v>199</v>
      </c>
      <c r="C178" s="2" t="s">
        <v>199</v>
      </c>
      <c r="D178" s="1" t="s">
        <v>549</v>
      </c>
      <c r="E178" s="3">
        <v>9836712</v>
      </c>
      <c r="F178" s="3">
        <v>1244</v>
      </c>
      <c r="G178" s="3">
        <v>29578</v>
      </c>
      <c r="H178" s="1">
        <v>0</v>
      </c>
      <c r="I178" s="3">
        <v>9835468</v>
      </c>
      <c r="J178" s="3">
        <v>9805890</v>
      </c>
      <c r="K178" s="3">
        <v>9805890</v>
      </c>
      <c r="L178" s="3">
        <v>276744</v>
      </c>
      <c r="M178" s="3">
        <v>830561</v>
      </c>
      <c r="N178" s="3">
        <v>99890</v>
      </c>
      <c r="O178" s="3">
        <v>96814</v>
      </c>
      <c r="P178" s="3">
        <v>445533</v>
      </c>
      <c r="Q178" s="3">
        <v>8085926</v>
      </c>
      <c r="R178" s="3">
        <v>8056348</v>
      </c>
      <c r="S178" s="3">
        <v>8056348</v>
      </c>
      <c r="T178" s="3">
        <v>983547</v>
      </c>
      <c r="U178" s="3">
        <v>983547</v>
      </c>
      <c r="V178" s="3">
        <v>983547</v>
      </c>
      <c r="W178" s="3">
        <v>983547</v>
      </c>
      <c r="X178" s="3">
        <v>978617</v>
      </c>
      <c r="Y178" s="3">
        <v>978617</v>
      </c>
      <c r="Z178" s="4">
        <v>978617</v>
      </c>
      <c r="AA178" s="4">
        <v>978617</v>
      </c>
      <c r="AB178" s="4">
        <v>978617</v>
      </c>
      <c r="AC178" s="4">
        <v>978617</v>
      </c>
      <c r="AD178" s="4">
        <v>983547</v>
      </c>
      <c r="AE178" s="4">
        <v>1967094</v>
      </c>
      <c r="AF178" s="4">
        <v>2950641</v>
      </c>
      <c r="AG178" s="4">
        <v>3934188</v>
      </c>
      <c r="AH178" s="4">
        <v>4912805</v>
      </c>
      <c r="AI178" s="4">
        <v>5891422</v>
      </c>
      <c r="AJ178" s="4">
        <v>6870039</v>
      </c>
      <c r="AK178" s="4">
        <v>7848656</v>
      </c>
      <c r="AL178" s="4">
        <v>8827273</v>
      </c>
      <c r="AM178" s="4">
        <v>9805890</v>
      </c>
      <c r="AN178" s="150">
        <v>646173</v>
      </c>
    </row>
    <row r="179" spans="1:40" x14ac:dyDescent="0.2">
      <c r="A179" s="1">
        <v>2023</v>
      </c>
      <c r="B179" s="2" t="s">
        <v>200</v>
      </c>
      <c r="C179" s="2" t="s">
        <v>200</v>
      </c>
      <c r="D179" s="1" t="s">
        <v>550</v>
      </c>
      <c r="E179" s="3">
        <v>3672191</v>
      </c>
      <c r="F179" s="3">
        <v>531</v>
      </c>
      <c r="G179" s="3">
        <v>16095</v>
      </c>
      <c r="H179" s="3">
        <v>0</v>
      </c>
      <c r="I179" s="3">
        <v>3671660</v>
      </c>
      <c r="J179" s="3">
        <v>3655565</v>
      </c>
      <c r="K179" s="3">
        <v>3655565</v>
      </c>
      <c r="L179" s="3">
        <v>118077</v>
      </c>
      <c r="M179" s="3">
        <v>439369</v>
      </c>
      <c r="N179" s="3">
        <v>47798</v>
      </c>
      <c r="O179" s="3">
        <v>48564</v>
      </c>
      <c r="P179" s="3">
        <v>242445</v>
      </c>
      <c r="Q179" s="3">
        <v>2775407</v>
      </c>
      <c r="R179" s="3">
        <v>2759312</v>
      </c>
      <c r="S179" s="3">
        <v>2759312</v>
      </c>
      <c r="T179" s="3">
        <v>367166</v>
      </c>
      <c r="U179" s="3">
        <v>367166</v>
      </c>
      <c r="V179" s="3">
        <v>367166</v>
      </c>
      <c r="W179" s="3">
        <v>367166</v>
      </c>
      <c r="X179" s="3">
        <v>364484</v>
      </c>
      <c r="Y179" s="3">
        <v>364484</v>
      </c>
      <c r="Z179" s="4">
        <v>364483</v>
      </c>
      <c r="AA179" s="4">
        <v>364483</v>
      </c>
      <c r="AB179" s="4">
        <v>364483</v>
      </c>
      <c r="AC179" s="4">
        <v>364484</v>
      </c>
      <c r="AD179" s="4">
        <v>367166</v>
      </c>
      <c r="AE179" s="4">
        <v>734332</v>
      </c>
      <c r="AF179" s="4">
        <v>1101498</v>
      </c>
      <c r="AG179" s="4">
        <v>1468664</v>
      </c>
      <c r="AH179" s="4">
        <v>1833148</v>
      </c>
      <c r="AI179" s="4">
        <v>2197632</v>
      </c>
      <c r="AJ179" s="4">
        <v>2562115</v>
      </c>
      <c r="AK179" s="4">
        <v>2926598</v>
      </c>
      <c r="AL179" s="4">
        <v>3291081</v>
      </c>
      <c r="AM179" s="4">
        <v>3655565</v>
      </c>
      <c r="AN179" s="150">
        <v>321851</v>
      </c>
    </row>
    <row r="180" spans="1:40" x14ac:dyDescent="0.2">
      <c r="A180" s="1">
        <v>2023</v>
      </c>
      <c r="B180" s="2" t="s">
        <v>201</v>
      </c>
      <c r="C180" s="2" t="s">
        <v>201</v>
      </c>
      <c r="D180" s="1" t="s">
        <v>551</v>
      </c>
      <c r="E180" s="3">
        <v>2024625</v>
      </c>
      <c r="F180" s="1">
        <v>448</v>
      </c>
      <c r="G180" s="3">
        <v>10741</v>
      </c>
      <c r="H180" s="1">
        <v>0</v>
      </c>
      <c r="I180" s="3">
        <v>2024177</v>
      </c>
      <c r="J180" s="3">
        <v>2013436</v>
      </c>
      <c r="K180" s="3">
        <v>2013436</v>
      </c>
      <c r="L180" s="3">
        <v>99628</v>
      </c>
      <c r="M180" s="3">
        <v>304778</v>
      </c>
      <c r="N180" s="3">
        <v>25934</v>
      </c>
      <c r="O180" s="3">
        <v>32423</v>
      </c>
      <c r="P180" s="3">
        <v>161797</v>
      </c>
      <c r="Q180" s="3">
        <v>1399617</v>
      </c>
      <c r="R180" s="3">
        <v>1388876</v>
      </c>
      <c r="S180" s="3">
        <v>1388876</v>
      </c>
      <c r="T180" s="3">
        <v>202418</v>
      </c>
      <c r="U180" s="3">
        <v>202418</v>
      </c>
      <c r="V180" s="3">
        <v>202418</v>
      </c>
      <c r="W180" s="3">
        <v>202418</v>
      </c>
      <c r="X180" s="3">
        <v>200627</v>
      </c>
      <c r="Y180" s="3">
        <v>200627</v>
      </c>
      <c r="Z180" s="4">
        <v>200628</v>
      </c>
      <c r="AA180" s="4">
        <v>200628</v>
      </c>
      <c r="AB180" s="4">
        <v>200628</v>
      </c>
      <c r="AC180" s="4">
        <v>200626</v>
      </c>
      <c r="AD180" s="4">
        <v>202418</v>
      </c>
      <c r="AE180" s="4">
        <v>404836</v>
      </c>
      <c r="AF180" s="4">
        <v>607254</v>
      </c>
      <c r="AG180" s="4">
        <v>809672</v>
      </c>
      <c r="AH180" s="4">
        <v>1010299</v>
      </c>
      <c r="AI180" s="4">
        <v>1210926</v>
      </c>
      <c r="AJ180" s="4">
        <v>1411554</v>
      </c>
      <c r="AK180" s="4">
        <v>1612182</v>
      </c>
      <c r="AL180" s="4">
        <v>1812810</v>
      </c>
      <c r="AM180" s="4">
        <v>2013436</v>
      </c>
      <c r="AN180" s="150">
        <v>212787</v>
      </c>
    </row>
    <row r="181" spans="1:40" x14ac:dyDescent="0.2">
      <c r="A181" s="1">
        <v>2023</v>
      </c>
      <c r="B181" s="2" t="s">
        <v>202</v>
      </c>
      <c r="C181" s="2" t="s">
        <v>202</v>
      </c>
      <c r="D181" s="1" t="s">
        <v>552</v>
      </c>
      <c r="E181" s="3">
        <v>14517089</v>
      </c>
      <c r="F181" s="3">
        <v>1692</v>
      </c>
      <c r="G181" s="3">
        <v>44357</v>
      </c>
      <c r="H181" s="1">
        <v>0</v>
      </c>
      <c r="I181" s="3">
        <v>14515397</v>
      </c>
      <c r="J181" s="3">
        <v>14471040</v>
      </c>
      <c r="K181" s="3">
        <v>14471040</v>
      </c>
      <c r="L181" s="3">
        <v>376371</v>
      </c>
      <c r="M181" s="3">
        <v>1223259</v>
      </c>
      <c r="N181" s="3">
        <v>149952</v>
      </c>
      <c r="O181" s="3">
        <v>146543</v>
      </c>
      <c r="P181" s="3">
        <v>668156</v>
      </c>
      <c r="Q181" s="3">
        <v>11951116</v>
      </c>
      <c r="R181" s="3">
        <v>11906759</v>
      </c>
      <c r="S181" s="3">
        <v>11906759</v>
      </c>
      <c r="T181" s="3">
        <v>1451540</v>
      </c>
      <c r="U181" s="3">
        <v>1451540</v>
      </c>
      <c r="V181" s="3">
        <v>1451540</v>
      </c>
      <c r="W181" s="3">
        <v>1451540</v>
      </c>
      <c r="X181" s="3">
        <v>1444147</v>
      </c>
      <c r="Y181" s="3">
        <v>1444147</v>
      </c>
      <c r="Z181" s="4">
        <v>1444147</v>
      </c>
      <c r="AA181" s="4">
        <v>1444147</v>
      </c>
      <c r="AB181" s="4">
        <v>1444147</v>
      </c>
      <c r="AC181" s="4">
        <v>1444145</v>
      </c>
      <c r="AD181" s="4">
        <v>1451540</v>
      </c>
      <c r="AE181" s="4">
        <v>2903080</v>
      </c>
      <c r="AF181" s="4">
        <v>4354620</v>
      </c>
      <c r="AG181" s="4">
        <v>5806160</v>
      </c>
      <c r="AH181" s="4">
        <v>7250307</v>
      </c>
      <c r="AI181" s="4">
        <v>8694454</v>
      </c>
      <c r="AJ181" s="4">
        <v>10138601</v>
      </c>
      <c r="AK181" s="4">
        <v>11582748</v>
      </c>
      <c r="AL181" s="4">
        <v>13026895</v>
      </c>
      <c r="AM181" s="4">
        <v>14471040</v>
      </c>
      <c r="AN181" s="150">
        <v>922015</v>
      </c>
    </row>
    <row r="182" spans="1:40" x14ac:dyDescent="0.2">
      <c r="A182" s="1">
        <v>2023</v>
      </c>
      <c r="B182" s="2" t="s">
        <v>203</v>
      </c>
      <c r="C182" s="2" t="s">
        <v>203</v>
      </c>
      <c r="D182" s="1" t="s">
        <v>553</v>
      </c>
      <c r="E182" s="3">
        <v>44073968</v>
      </c>
      <c r="F182" s="3">
        <v>4395</v>
      </c>
      <c r="G182" s="3">
        <v>125594</v>
      </c>
      <c r="H182" s="1">
        <v>0</v>
      </c>
      <c r="I182" s="3">
        <v>44069573</v>
      </c>
      <c r="J182" s="3">
        <v>43943979</v>
      </c>
      <c r="K182" s="3">
        <v>43943979</v>
      </c>
      <c r="L182" s="3">
        <v>977828</v>
      </c>
      <c r="M182" s="3">
        <v>3263436</v>
      </c>
      <c r="N182" s="3">
        <v>497121</v>
      </c>
      <c r="O182" s="3">
        <v>365835</v>
      </c>
      <c r="P182" s="3">
        <v>1891832</v>
      </c>
      <c r="Q182" s="3">
        <v>37073521</v>
      </c>
      <c r="R182" s="3">
        <v>36947927</v>
      </c>
      <c r="S182" s="3">
        <v>36947927</v>
      </c>
      <c r="T182" s="3">
        <v>4406957</v>
      </c>
      <c r="U182" s="3">
        <v>4406957</v>
      </c>
      <c r="V182" s="3">
        <v>4406957</v>
      </c>
      <c r="W182" s="3">
        <v>4406957</v>
      </c>
      <c r="X182" s="3">
        <v>4386025</v>
      </c>
      <c r="Y182" s="3">
        <v>4386025</v>
      </c>
      <c r="Z182" s="4">
        <v>4386025</v>
      </c>
      <c r="AA182" s="4">
        <v>4386025</v>
      </c>
      <c r="AB182" s="4">
        <v>4386025</v>
      </c>
      <c r="AC182" s="4">
        <v>4386026</v>
      </c>
      <c r="AD182" s="4">
        <v>4406957</v>
      </c>
      <c r="AE182" s="4">
        <v>8813914</v>
      </c>
      <c r="AF182" s="4">
        <v>13220871</v>
      </c>
      <c r="AG182" s="4">
        <v>17627828</v>
      </c>
      <c r="AH182" s="4">
        <v>22013853</v>
      </c>
      <c r="AI182" s="4">
        <v>26399878</v>
      </c>
      <c r="AJ182" s="4">
        <v>30785903</v>
      </c>
      <c r="AK182" s="4">
        <v>35171928</v>
      </c>
      <c r="AL182" s="4">
        <v>39557953</v>
      </c>
      <c r="AM182" s="4">
        <v>43943979</v>
      </c>
      <c r="AN182" s="150">
        <v>2691658</v>
      </c>
    </row>
    <row r="183" spans="1:40" x14ac:dyDescent="0.2">
      <c r="A183" s="1">
        <v>2023</v>
      </c>
      <c r="B183" s="2" t="s">
        <v>204</v>
      </c>
      <c r="C183" s="2" t="s">
        <v>204</v>
      </c>
      <c r="D183" s="1" t="s">
        <v>554</v>
      </c>
      <c r="E183" s="3">
        <v>3132944</v>
      </c>
      <c r="F183" s="3">
        <v>365</v>
      </c>
      <c r="G183" s="3">
        <v>12043</v>
      </c>
      <c r="H183" s="1">
        <v>0</v>
      </c>
      <c r="I183" s="3">
        <v>3132579</v>
      </c>
      <c r="J183" s="3">
        <v>3120536</v>
      </c>
      <c r="K183" s="3">
        <v>3120536</v>
      </c>
      <c r="L183" s="3">
        <v>81178</v>
      </c>
      <c r="M183" s="3">
        <v>321159</v>
      </c>
      <c r="N183" s="3">
        <v>35373</v>
      </c>
      <c r="O183" s="3">
        <v>31302</v>
      </c>
      <c r="P183" s="3">
        <v>181405</v>
      </c>
      <c r="Q183" s="3">
        <v>2482162</v>
      </c>
      <c r="R183" s="3">
        <v>2470119</v>
      </c>
      <c r="S183" s="3">
        <v>2470119</v>
      </c>
      <c r="T183" s="3">
        <v>313258</v>
      </c>
      <c r="U183" s="3">
        <v>313258</v>
      </c>
      <c r="V183" s="3">
        <v>313258</v>
      </c>
      <c r="W183" s="3">
        <v>313258</v>
      </c>
      <c r="X183" s="3">
        <v>311251</v>
      </c>
      <c r="Y183" s="3">
        <v>311251</v>
      </c>
      <c r="Z183" s="4">
        <v>311251</v>
      </c>
      <c r="AA183" s="4">
        <v>311251</v>
      </c>
      <c r="AB183" s="4">
        <v>311251</v>
      </c>
      <c r="AC183" s="4">
        <v>311249</v>
      </c>
      <c r="AD183" s="4">
        <v>313258</v>
      </c>
      <c r="AE183" s="4">
        <v>626516</v>
      </c>
      <c r="AF183" s="4">
        <v>939774</v>
      </c>
      <c r="AG183" s="4">
        <v>1253032</v>
      </c>
      <c r="AH183" s="4">
        <v>1564283</v>
      </c>
      <c r="AI183" s="4">
        <v>1875534</v>
      </c>
      <c r="AJ183" s="4">
        <v>2186785</v>
      </c>
      <c r="AK183" s="4">
        <v>2498036</v>
      </c>
      <c r="AL183" s="4">
        <v>2809287</v>
      </c>
      <c r="AM183" s="4">
        <v>3120536</v>
      </c>
      <c r="AN183" s="150">
        <v>232473</v>
      </c>
    </row>
    <row r="184" spans="1:40" x14ac:dyDescent="0.2">
      <c r="A184" s="1">
        <v>2023</v>
      </c>
      <c r="B184" s="2" t="s">
        <v>205</v>
      </c>
      <c r="C184" s="2" t="s">
        <v>205</v>
      </c>
      <c r="D184" s="1" t="s">
        <v>555</v>
      </c>
      <c r="E184" s="3">
        <v>23541615</v>
      </c>
      <c r="F184" s="3">
        <v>2786</v>
      </c>
      <c r="G184" s="3">
        <v>80852</v>
      </c>
      <c r="H184" s="1">
        <v>0</v>
      </c>
      <c r="I184" s="3">
        <v>23538829</v>
      </c>
      <c r="J184" s="3">
        <v>23457977</v>
      </c>
      <c r="K184" s="3">
        <v>23457977</v>
      </c>
      <c r="L184" s="3">
        <v>619906</v>
      </c>
      <c r="M184" s="3">
        <v>2121671</v>
      </c>
      <c r="N184" s="3">
        <v>283565</v>
      </c>
      <c r="O184" s="3">
        <v>251142</v>
      </c>
      <c r="P184" s="3">
        <v>1219616</v>
      </c>
      <c r="Q184" s="3">
        <v>19042929</v>
      </c>
      <c r="R184" s="3">
        <v>18962077</v>
      </c>
      <c r="S184" s="3">
        <v>18962077</v>
      </c>
      <c r="T184" s="3">
        <v>2353883</v>
      </c>
      <c r="U184" s="3">
        <v>2353883</v>
      </c>
      <c r="V184" s="3">
        <v>2353883</v>
      </c>
      <c r="W184" s="3">
        <v>2353883</v>
      </c>
      <c r="X184" s="3">
        <v>2340408</v>
      </c>
      <c r="Y184" s="3">
        <v>2340408</v>
      </c>
      <c r="Z184" s="4">
        <v>2340407</v>
      </c>
      <c r="AA184" s="4">
        <v>2340407</v>
      </c>
      <c r="AB184" s="4">
        <v>2340407</v>
      </c>
      <c r="AC184" s="4">
        <v>2340408</v>
      </c>
      <c r="AD184" s="4">
        <v>2353883</v>
      </c>
      <c r="AE184" s="4">
        <v>4707766</v>
      </c>
      <c r="AF184" s="4">
        <v>7061649</v>
      </c>
      <c r="AG184" s="4">
        <v>9415532</v>
      </c>
      <c r="AH184" s="4">
        <v>11755940</v>
      </c>
      <c r="AI184" s="4">
        <v>14096348</v>
      </c>
      <c r="AJ184" s="4">
        <v>16436755</v>
      </c>
      <c r="AK184" s="4">
        <v>18777162</v>
      </c>
      <c r="AL184" s="4">
        <v>21117569</v>
      </c>
      <c r="AM184" s="4">
        <v>23457977</v>
      </c>
      <c r="AN184" s="150">
        <v>1801279</v>
      </c>
    </row>
    <row r="185" spans="1:40" x14ac:dyDescent="0.2">
      <c r="A185" s="1">
        <v>2023</v>
      </c>
      <c r="B185" s="2" t="s">
        <v>206</v>
      </c>
      <c r="C185" s="2" t="s">
        <v>206</v>
      </c>
      <c r="D185" s="1" t="s">
        <v>556</v>
      </c>
      <c r="E185" s="3">
        <v>9543181</v>
      </c>
      <c r="F185" s="3">
        <v>1061</v>
      </c>
      <c r="G185" s="3">
        <v>36457</v>
      </c>
      <c r="H185" s="1">
        <v>0</v>
      </c>
      <c r="I185" s="3">
        <v>9542120</v>
      </c>
      <c r="J185" s="3">
        <v>9505663</v>
      </c>
      <c r="K185" s="3">
        <v>9505663</v>
      </c>
      <c r="L185" s="3">
        <v>239769</v>
      </c>
      <c r="M185" s="3">
        <v>961568</v>
      </c>
      <c r="N185" s="3">
        <v>111519</v>
      </c>
      <c r="O185" s="3">
        <v>114450</v>
      </c>
      <c r="P185" s="3">
        <v>549151</v>
      </c>
      <c r="Q185" s="3">
        <v>7565663</v>
      </c>
      <c r="R185" s="3">
        <v>7529206</v>
      </c>
      <c r="S185" s="3">
        <v>7529206</v>
      </c>
      <c r="T185" s="3">
        <v>954212</v>
      </c>
      <c r="U185" s="3">
        <v>954212</v>
      </c>
      <c r="V185" s="3">
        <v>954212</v>
      </c>
      <c r="W185" s="3">
        <v>954212</v>
      </c>
      <c r="X185" s="3">
        <v>948136</v>
      </c>
      <c r="Y185" s="3">
        <v>948136</v>
      </c>
      <c r="Z185" s="4">
        <v>948136</v>
      </c>
      <c r="AA185" s="4">
        <v>948136</v>
      </c>
      <c r="AB185" s="4">
        <v>948136</v>
      </c>
      <c r="AC185" s="4">
        <v>948135</v>
      </c>
      <c r="AD185" s="4">
        <v>954212</v>
      </c>
      <c r="AE185" s="4">
        <v>1908424</v>
      </c>
      <c r="AF185" s="4">
        <v>2862636</v>
      </c>
      <c r="AG185" s="4">
        <v>3816848</v>
      </c>
      <c r="AH185" s="4">
        <v>4764984</v>
      </c>
      <c r="AI185" s="4">
        <v>5713120</v>
      </c>
      <c r="AJ185" s="4">
        <v>6661256</v>
      </c>
      <c r="AK185" s="4">
        <v>7609392</v>
      </c>
      <c r="AL185" s="4">
        <v>8557528</v>
      </c>
      <c r="AM185" s="4">
        <v>9505663</v>
      </c>
      <c r="AN185" s="150">
        <v>826417</v>
      </c>
    </row>
    <row r="186" spans="1:40" x14ac:dyDescent="0.2">
      <c r="A186" s="1">
        <v>2023</v>
      </c>
      <c r="B186" s="2" t="s">
        <v>207</v>
      </c>
      <c r="C186" s="2" t="s">
        <v>207</v>
      </c>
      <c r="D186" s="1" t="s">
        <v>557</v>
      </c>
      <c r="E186" s="3">
        <v>5234143</v>
      </c>
      <c r="F186" s="3">
        <v>0</v>
      </c>
      <c r="G186" s="3">
        <v>20347</v>
      </c>
      <c r="H186" s="3">
        <v>0</v>
      </c>
      <c r="I186" s="3">
        <v>5234143</v>
      </c>
      <c r="J186" s="3">
        <v>5213796</v>
      </c>
      <c r="K186" s="3">
        <v>5213796</v>
      </c>
      <c r="L186" s="3">
        <v>0</v>
      </c>
      <c r="M186" s="3">
        <v>551359</v>
      </c>
      <c r="N186" s="3">
        <v>58240</v>
      </c>
      <c r="O186" s="3">
        <v>54985</v>
      </c>
      <c r="P186" s="3">
        <v>306491</v>
      </c>
      <c r="Q186" s="3">
        <v>4263068</v>
      </c>
      <c r="R186" s="3">
        <v>4242721</v>
      </c>
      <c r="S186" s="3">
        <v>4242721</v>
      </c>
      <c r="T186" s="3">
        <v>523414</v>
      </c>
      <c r="U186" s="3">
        <v>523414</v>
      </c>
      <c r="V186" s="3">
        <v>523414</v>
      </c>
      <c r="W186" s="3">
        <v>523414</v>
      </c>
      <c r="X186" s="3">
        <v>520023</v>
      </c>
      <c r="Y186" s="3">
        <v>520023</v>
      </c>
      <c r="Z186" s="4">
        <v>520024</v>
      </c>
      <c r="AA186" s="4">
        <v>520024</v>
      </c>
      <c r="AB186" s="4">
        <v>520024</v>
      </c>
      <c r="AC186" s="4">
        <v>520022</v>
      </c>
      <c r="AD186" s="4">
        <v>523414</v>
      </c>
      <c r="AE186" s="4">
        <v>1046828</v>
      </c>
      <c r="AF186" s="4">
        <v>1570242</v>
      </c>
      <c r="AG186" s="4">
        <v>2093656</v>
      </c>
      <c r="AH186" s="4">
        <v>2613679</v>
      </c>
      <c r="AI186" s="4">
        <v>3133702</v>
      </c>
      <c r="AJ186" s="4">
        <v>3653726</v>
      </c>
      <c r="AK186" s="4">
        <v>4173750</v>
      </c>
      <c r="AL186" s="4">
        <v>4693774</v>
      </c>
      <c r="AM186" s="4">
        <v>5213796</v>
      </c>
      <c r="AN186" s="150">
        <v>401251</v>
      </c>
    </row>
    <row r="187" spans="1:40" x14ac:dyDescent="0.2">
      <c r="A187" s="1">
        <v>2023</v>
      </c>
      <c r="B187" s="2" t="s">
        <v>208</v>
      </c>
      <c r="C187" s="2" t="s">
        <v>208</v>
      </c>
      <c r="D187" s="1" t="s">
        <v>558</v>
      </c>
      <c r="E187" s="3">
        <v>2522575</v>
      </c>
      <c r="F187" s="3">
        <v>315</v>
      </c>
      <c r="G187" s="3">
        <v>7601</v>
      </c>
      <c r="H187" s="3">
        <v>0</v>
      </c>
      <c r="I187" s="3">
        <v>2522260</v>
      </c>
      <c r="J187" s="3">
        <v>2514659</v>
      </c>
      <c r="K187" s="3">
        <v>2514659</v>
      </c>
      <c r="L187" s="3">
        <v>59268</v>
      </c>
      <c r="M187" s="3">
        <v>232955</v>
      </c>
      <c r="N187" s="3">
        <v>28743</v>
      </c>
      <c r="O187" s="3">
        <v>24269</v>
      </c>
      <c r="P187" s="3">
        <v>114496</v>
      </c>
      <c r="Q187" s="3">
        <v>2062529</v>
      </c>
      <c r="R187" s="3">
        <v>2054928</v>
      </c>
      <c r="S187" s="3">
        <v>2054928</v>
      </c>
      <c r="T187" s="3">
        <v>252226</v>
      </c>
      <c r="U187" s="3">
        <v>252226</v>
      </c>
      <c r="V187" s="3">
        <v>252226</v>
      </c>
      <c r="W187" s="3">
        <v>252226</v>
      </c>
      <c r="X187" s="3">
        <v>250959</v>
      </c>
      <c r="Y187" s="3">
        <v>250959</v>
      </c>
      <c r="Z187" s="4">
        <v>250959</v>
      </c>
      <c r="AA187" s="4">
        <v>250959</v>
      </c>
      <c r="AB187" s="4">
        <v>250959</v>
      </c>
      <c r="AC187" s="4">
        <v>250960</v>
      </c>
      <c r="AD187" s="4">
        <v>252226</v>
      </c>
      <c r="AE187" s="4">
        <v>504452</v>
      </c>
      <c r="AF187" s="4">
        <v>756678</v>
      </c>
      <c r="AG187" s="4">
        <v>1008904</v>
      </c>
      <c r="AH187" s="4">
        <v>1259863</v>
      </c>
      <c r="AI187" s="4">
        <v>1510822</v>
      </c>
      <c r="AJ187" s="4">
        <v>1761781</v>
      </c>
      <c r="AK187" s="4">
        <v>2012740</v>
      </c>
      <c r="AL187" s="4">
        <v>2263699</v>
      </c>
      <c r="AM187" s="4">
        <v>2514659</v>
      </c>
      <c r="AN187" s="150">
        <v>146368</v>
      </c>
    </row>
    <row r="188" spans="1:40" x14ac:dyDescent="0.2">
      <c r="A188" s="1">
        <v>2023</v>
      </c>
      <c r="B188" s="2" t="s">
        <v>209</v>
      </c>
      <c r="C188" s="2" t="s">
        <v>209</v>
      </c>
      <c r="D188" s="1" t="s">
        <v>559</v>
      </c>
      <c r="E188" s="3">
        <v>3271446</v>
      </c>
      <c r="F188" s="3">
        <v>481</v>
      </c>
      <c r="G188" s="3">
        <v>12221</v>
      </c>
      <c r="H188" s="3">
        <v>0</v>
      </c>
      <c r="I188" s="3">
        <v>3270965</v>
      </c>
      <c r="J188" s="3">
        <v>3258744</v>
      </c>
      <c r="K188" s="3">
        <v>3258744</v>
      </c>
      <c r="L188" s="3">
        <v>107008</v>
      </c>
      <c r="M188" s="3">
        <v>350848</v>
      </c>
      <c r="N188" s="3">
        <v>37512</v>
      </c>
      <c r="O188" s="3">
        <v>35290</v>
      </c>
      <c r="P188" s="3">
        <v>184088</v>
      </c>
      <c r="Q188" s="3">
        <v>2556219</v>
      </c>
      <c r="R188" s="3">
        <v>2543998</v>
      </c>
      <c r="S188" s="3">
        <v>2543998</v>
      </c>
      <c r="T188" s="3">
        <v>327097</v>
      </c>
      <c r="U188" s="3">
        <v>327097</v>
      </c>
      <c r="V188" s="3">
        <v>327097</v>
      </c>
      <c r="W188" s="3">
        <v>327097</v>
      </c>
      <c r="X188" s="3">
        <v>325059</v>
      </c>
      <c r="Y188" s="3">
        <v>325059</v>
      </c>
      <c r="Z188" s="4">
        <v>325060</v>
      </c>
      <c r="AA188" s="4">
        <v>325060</v>
      </c>
      <c r="AB188" s="4">
        <v>325060</v>
      </c>
      <c r="AC188" s="4">
        <v>325058</v>
      </c>
      <c r="AD188" s="4">
        <v>327097</v>
      </c>
      <c r="AE188" s="4">
        <v>654194</v>
      </c>
      <c r="AF188" s="4">
        <v>981291</v>
      </c>
      <c r="AG188" s="4">
        <v>1308388</v>
      </c>
      <c r="AH188" s="4">
        <v>1633447</v>
      </c>
      <c r="AI188" s="4">
        <v>1958506</v>
      </c>
      <c r="AJ188" s="4">
        <v>2283566</v>
      </c>
      <c r="AK188" s="4">
        <v>2608626</v>
      </c>
      <c r="AL188" s="4">
        <v>2933686</v>
      </c>
      <c r="AM188" s="4">
        <v>3258744</v>
      </c>
      <c r="AN188" s="150">
        <v>242324</v>
      </c>
    </row>
    <row r="189" spans="1:40" x14ac:dyDescent="0.2">
      <c r="A189" s="1">
        <v>2023</v>
      </c>
      <c r="B189" s="2" t="s">
        <v>210</v>
      </c>
      <c r="C189" s="2" t="s">
        <v>210</v>
      </c>
      <c r="D189" s="1" t="s">
        <v>560</v>
      </c>
      <c r="E189" s="3">
        <v>8126437</v>
      </c>
      <c r="F189" s="3">
        <v>1012</v>
      </c>
      <c r="G189" s="3">
        <v>29894</v>
      </c>
      <c r="H189" s="1">
        <v>0</v>
      </c>
      <c r="I189" s="3">
        <v>8125425</v>
      </c>
      <c r="J189" s="3">
        <v>8095531</v>
      </c>
      <c r="K189" s="3">
        <v>8095531</v>
      </c>
      <c r="L189" s="3">
        <v>225085</v>
      </c>
      <c r="M189" s="3">
        <v>821310</v>
      </c>
      <c r="N189" s="3">
        <v>92789</v>
      </c>
      <c r="O189" s="3">
        <v>89731</v>
      </c>
      <c r="P189" s="3">
        <v>450291</v>
      </c>
      <c r="Q189" s="3">
        <v>6446219</v>
      </c>
      <c r="R189" s="3">
        <v>6416325</v>
      </c>
      <c r="S189" s="3">
        <v>6416325</v>
      </c>
      <c r="T189" s="3">
        <v>812543</v>
      </c>
      <c r="U189" s="3">
        <v>812543</v>
      </c>
      <c r="V189" s="3">
        <v>812543</v>
      </c>
      <c r="W189" s="3">
        <v>812543</v>
      </c>
      <c r="X189" s="3">
        <v>807560</v>
      </c>
      <c r="Y189" s="3">
        <v>807560</v>
      </c>
      <c r="Z189" s="4">
        <v>807560</v>
      </c>
      <c r="AA189" s="4">
        <v>807560</v>
      </c>
      <c r="AB189" s="4">
        <v>807560</v>
      </c>
      <c r="AC189" s="4">
        <v>807559</v>
      </c>
      <c r="AD189" s="4">
        <v>812543</v>
      </c>
      <c r="AE189" s="4">
        <v>1625086</v>
      </c>
      <c r="AF189" s="4">
        <v>2437629</v>
      </c>
      <c r="AG189" s="4">
        <v>3250172</v>
      </c>
      <c r="AH189" s="4">
        <v>4057732</v>
      </c>
      <c r="AI189" s="4">
        <v>4865292</v>
      </c>
      <c r="AJ189" s="4">
        <v>5672852</v>
      </c>
      <c r="AK189" s="4">
        <v>6480412</v>
      </c>
      <c r="AL189" s="4">
        <v>7287972</v>
      </c>
      <c r="AM189" s="4">
        <v>8095531</v>
      </c>
      <c r="AN189" s="150">
        <v>607135</v>
      </c>
    </row>
    <row r="190" spans="1:40" x14ac:dyDescent="0.2">
      <c r="A190" s="1">
        <v>2023</v>
      </c>
      <c r="B190" s="2" t="s">
        <v>211</v>
      </c>
      <c r="C190" s="2" t="s">
        <v>211</v>
      </c>
      <c r="D190" s="1" t="s">
        <v>561</v>
      </c>
      <c r="E190" s="3">
        <v>5134023</v>
      </c>
      <c r="F190" s="3">
        <v>647</v>
      </c>
      <c r="G190" s="3">
        <v>18345</v>
      </c>
      <c r="H190" s="1">
        <v>0</v>
      </c>
      <c r="I190" s="3">
        <v>5133376</v>
      </c>
      <c r="J190" s="3">
        <v>5115031</v>
      </c>
      <c r="K190" s="3">
        <v>5115031</v>
      </c>
      <c r="L190" s="3">
        <v>143907</v>
      </c>
      <c r="M190" s="3">
        <v>472439</v>
      </c>
      <c r="N190" s="3">
        <v>55806</v>
      </c>
      <c r="O190" s="3">
        <v>47705</v>
      </c>
      <c r="P190" s="3">
        <v>276329</v>
      </c>
      <c r="Q190" s="3">
        <v>4137190</v>
      </c>
      <c r="R190" s="3">
        <v>4118845</v>
      </c>
      <c r="S190" s="3">
        <v>4118845</v>
      </c>
      <c r="T190" s="3">
        <v>513338</v>
      </c>
      <c r="U190" s="3">
        <v>513338</v>
      </c>
      <c r="V190" s="3">
        <v>513338</v>
      </c>
      <c r="W190" s="3">
        <v>513338</v>
      </c>
      <c r="X190" s="3">
        <v>510280</v>
      </c>
      <c r="Y190" s="3">
        <v>510280</v>
      </c>
      <c r="Z190" s="4">
        <v>510280</v>
      </c>
      <c r="AA190" s="4">
        <v>510280</v>
      </c>
      <c r="AB190" s="4">
        <v>510280</v>
      </c>
      <c r="AC190" s="4">
        <v>510279</v>
      </c>
      <c r="AD190" s="4">
        <v>513338</v>
      </c>
      <c r="AE190" s="4">
        <v>1026676</v>
      </c>
      <c r="AF190" s="4">
        <v>1540014</v>
      </c>
      <c r="AG190" s="4">
        <v>2053352</v>
      </c>
      <c r="AH190" s="4">
        <v>2563632</v>
      </c>
      <c r="AI190" s="4">
        <v>3073912</v>
      </c>
      <c r="AJ190" s="4">
        <v>3584192</v>
      </c>
      <c r="AK190" s="4">
        <v>4094472</v>
      </c>
      <c r="AL190" s="4">
        <v>4604752</v>
      </c>
      <c r="AM190" s="4">
        <v>5115031</v>
      </c>
      <c r="AN190" s="150">
        <v>372424</v>
      </c>
    </row>
    <row r="191" spans="1:40" x14ac:dyDescent="0.2">
      <c r="A191" s="1">
        <v>2023</v>
      </c>
      <c r="B191" s="2" t="s">
        <v>212</v>
      </c>
      <c r="C191" s="2" t="s">
        <v>212</v>
      </c>
      <c r="D191" s="1" t="s">
        <v>562</v>
      </c>
      <c r="E191" s="3">
        <v>5574754</v>
      </c>
      <c r="F191" s="1">
        <v>846</v>
      </c>
      <c r="G191" s="3">
        <v>19069</v>
      </c>
      <c r="H191" s="1">
        <v>0</v>
      </c>
      <c r="I191" s="3">
        <v>5573908</v>
      </c>
      <c r="J191" s="3">
        <v>5554839</v>
      </c>
      <c r="K191" s="3">
        <v>5554839</v>
      </c>
      <c r="L191" s="3">
        <v>188186</v>
      </c>
      <c r="M191" s="3">
        <v>523393</v>
      </c>
      <c r="N191" s="3">
        <v>64417</v>
      </c>
      <c r="O191" s="3">
        <v>63140</v>
      </c>
      <c r="P191" s="3">
        <v>287242</v>
      </c>
      <c r="Q191" s="3">
        <v>4447530</v>
      </c>
      <c r="R191" s="3">
        <v>4428461</v>
      </c>
      <c r="S191" s="3">
        <v>4428461</v>
      </c>
      <c r="T191" s="3">
        <v>557391</v>
      </c>
      <c r="U191" s="3">
        <v>557391</v>
      </c>
      <c r="V191" s="3">
        <v>557391</v>
      </c>
      <c r="W191" s="3">
        <v>557391</v>
      </c>
      <c r="X191" s="3">
        <v>554213</v>
      </c>
      <c r="Y191" s="3">
        <v>554213</v>
      </c>
      <c r="Z191" s="4">
        <v>554212</v>
      </c>
      <c r="AA191" s="4">
        <v>554212</v>
      </c>
      <c r="AB191" s="4">
        <v>554212</v>
      </c>
      <c r="AC191" s="4">
        <v>554213</v>
      </c>
      <c r="AD191" s="4">
        <v>557391</v>
      </c>
      <c r="AE191" s="4">
        <v>1114782</v>
      </c>
      <c r="AF191" s="4">
        <v>1672173</v>
      </c>
      <c r="AG191" s="4">
        <v>2229564</v>
      </c>
      <c r="AH191" s="4">
        <v>2783777</v>
      </c>
      <c r="AI191" s="4">
        <v>3337990</v>
      </c>
      <c r="AJ191" s="4">
        <v>3892202</v>
      </c>
      <c r="AK191" s="4">
        <v>4446414</v>
      </c>
      <c r="AL191" s="4">
        <v>5000626</v>
      </c>
      <c r="AM191" s="4">
        <v>5554839</v>
      </c>
      <c r="AN191" s="150">
        <v>386727</v>
      </c>
    </row>
    <row r="192" spans="1:40" x14ac:dyDescent="0.2">
      <c r="A192" s="1">
        <v>2023</v>
      </c>
      <c r="B192" s="2" t="s">
        <v>213</v>
      </c>
      <c r="C192" s="2" t="s">
        <v>213</v>
      </c>
      <c r="D192" s="1" t="s">
        <v>563</v>
      </c>
      <c r="E192" s="3">
        <v>2232174</v>
      </c>
      <c r="F192" s="3">
        <v>381</v>
      </c>
      <c r="G192" s="3">
        <v>11722</v>
      </c>
      <c r="H192" s="3">
        <v>0</v>
      </c>
      <c r="I192" s="3">
        <v>2231793</v>
      </c>
      <c r="J192" s="3">
        <v>2220071</v>
      </c>
      <c r="K192" s="3">
        <v>2220071</v>
      </c>
      <c r="L192" s="3">
        <v>84869</v>
      </c>
      <c r="M192" s="3">
        <v>298612</v>
      </c>
      <c r="N192" s="3">
        <v>38266</v>
      </c>
      <c r="O192" s="3">
        <v>29580</v>
      </c>
      <c r="P192" s="3">
        <v>176574</v>
      </c>
      <c r="Q192" s="3">
        <v>1603892</v>
      </c>
      <c r="R192" s="3">
        <v>1592170</v>
      </c>
      <c r="S192" s="3">
        <v>1592170</v>
      </c>
      <c r="T192" s="3">
        <v>223179</v>
      </c>
      <c r="U192" s="3">
        <v>223179</v>
      </c>
      <c r="V192" s="3">
        <v>223179</v>
      </c>
      <c r="W192" s="3">
        <v>223179</v>
      </c>
      <c r="X192" s="3">
        <v>221226</v>
      </c>
      <c r="Y192" s="3">
        <v>221226</v>
      </c>
      <c r="Z192" s="4">
        <v>221226</v>
      </c>
      <c r="AA192" s="4">
        <v>221226</v>
      </c>
      <c r="AB192" s="4">
        <v>221226</v>
      </c>
      <c r="AC192" s="4">
        <v>221225</v>
      </c>
      <c r="AD192" s="4">
        <v>223179</v>
      </c>
      <c r="AE192" s="4">
        <v>446358</v>
      </c>
      <c r="AF192" s="4">
        <v>669537</v>
      </c>
      <c r="AG192" s="4">
        <v>892716</v>
      </c>
      <c r="AH192" s="4">
        <v>1113942</v>
      </c>
      <c r="AI192" s="4">
        <v>1335168</v>
      </c>
      <c r="AJ192" s="4">
        <v>1556394</v>
      </c>
      <c r="AK192" s="4">
        <v>1777620</v>
      </c>
      <c r="AL192" s="4">
        <v>1998846</v>
      </c>
      <c r="AM192" s="4">
        <v>2220071</v>
      </c>
      <c r="AN192" s="150">
        <v>243570</v>
      </c>
    </row>
    <row r="193" spans="1:40" x14ac:dyDescent="0.2">
      <c r="A193" s="1">
        <v>2023</v>
      </c>
      <c r="B193" s="2" t="s">
        <v>214</v>
      </c>
      <c r="C193" s="2" t="s">
        <v>214</v>
      </c>
      <c r="D193" s="1" t="s">
        <v>564</v>
      </c>
      <c r="E193" s="3">
        <v>6255153</v>
      </c>
      <c r="F193" s="1">
        <v>813</v>
      </c>
      <c r="G193" s="3">
        <v>22746</v>
      </c>
      <c r="H193" s="3">
        <v>0</v>
      </c>
      <c r="I193" s="3">
        <v>6254340</v>
      </c>
      <c r="J193" s="3">
        <v>6231594</v>
      </c>
      <c r="K193" s="3">
        <v>6231594</v>
      </c>
      <c r="L193" s="3">
        <v>180806</v>
      </c>
      <c r="M193" s="3">
        <v>614549</v>
      </c>
      <c r="N193" s="3">
        <v>65825</v>
      </c>
      <c r="O193" s="3">
        <v>60808</v>
      </c>
      <c r="P193" s="3">
        <v>342629</v>
      </c>
      <c r="Q193" s="3">
        <v>4989723</v>
      </c>
      <c r="R193" s="3">
        <v>4966977</v>
      </c>
      <c r="S193" s="3">
        <v>4966977</v>
      </c>
      <c r="T193" s="3">
        <v>625434</v>
      </c>
      <c r="U193" s="3">
        <v>625434</v>
      </c>
      <c r="V193" s="3">
        <v>625434</v>
      </c>
      <c r="W193" s="3">
        <v>625434</v>
      </c>
      <c r="X193" s="3">
        <v>621643</v>
      </c>
      <c r="Y193" s="3">
        <v>621643</v>
      </c>
      <c r="Z193" s="4">
        <v>621643</v>
      </c>
      <c r="AA193" s="4">
        <v>621643</v>
      </c>
      <c r="AB193" s="4">
        <v>621643</v>
      </c>
      <c r="AC193" s="4">
        <v>621643</v>
      </c>
      <c r="AD193" s="4">
        <v>625434</v>
      </c>
      <c r="AE193" s="4">
        <v>1250868</v>
      </c>
      <c r="AF193" s="4">
        <v>1876302</v>
      </c>
      <c r="AG193" s="4">
        <v>2501736</v>
      </c>
      <c r="AH193" s="4">
        <v>3123379</v>
      </c>
      <c r="AI193" s="4">
        <v>3745022</v>
      </c>
      <c r="AJ193" s="4">
        <v>4366665</v>
      </c>
      <c r="AK193" s="4">
        <v>4988308</v>
      </c>
      <c r="AL193" s="4">
        <v>5609951</v>
      </c>
      <c r="AM193" s="4">
        <v>6231594</v>
      </c>
      <c r="AN193" s="150">
        <v>462826</v>
      </c>
    </row>
    <row r="194" spans="1:40" x14ac:dyDescent="0.2">
      <c r="A194" s="1">
        <v>2023</v>
      </c>
      <c r="B194" s="2" t="s">
        <v>215</v>
      </c>
      <c r="C194" s="2" t="s">
        <v>215</v>
      </c>
      <c r="D194" s="1" t="s">
        <v>565</v>
      </c>
      <c r="E194" s="3">
        <v>2363910</v>
      </c>
      <c r="F194" s="3">
        <v>265</v>
      </c>
      <c r="G194" s="3">
        <v>8038</v>
      </c>
      <c r="H194" s="3">
        <v>0</v>
      </c>
      <c r="I194" s="3">
        <v>2363645</v>
      </c>
      <c r="J194" s="3">
        <v>2355607</v>
      </c>
      <c r="K194" s="3">
        <v>2355607</v>
      </c>
      <c r="L194" s="3">
        <v>59039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1876521</v>
      </c>
      <c r="R194" s="3">
        <v>1868483</v>
      </c>
      <c r="S194" s="3">
        <v>1868483</v>
      </c>
      <c r="T194" s="3">
        <v>236365</v>
      </c>
      <c r="U194" s="3">
        <v>236365</v>
      </c>
      <c r="V194" s="3">
        <v>236365</v>
      </c>
      <c r="W194" s="3">
        <v>236365</v>
      </c>
      <c r="X194" s="3">
        <v>235025</v>
      </c>
      <c r="Y194" s="3">
        <v>235025</v>
      </c>
      <c r="Z194" s="4">
        <v>235024</v>
      </c>
      <c r="AA194" s="4">
        <v>235024</v>
      </c>
      <c r="AB194" s="4">
        <v>235024</v>
      </c>
      <c r="AC194" s="4">
        <v>235025</v>
      </c>
      <c r="AD194" s="4">
        <v>236365</v>
      </c>
      <c r="AE194" s="4">
        <v>472730</v>
      </c>
      <c r="AF194" s="4">
        <v>709095</v>
      </c>
      <c r="AG194" s="4">
        <v>945460</v>
      </c>
      <c r="AH194" s="4">
        <v>1180485</v>
      </c>
      <c r="AI194" s="4">
        <v>1415510</v>
      </c>
      <c r="AJ194" s="4">
        <v>1650534</v>
      </c>
      <c r="AK194" s="4">
        <v>1885558</v>
      </c>
      <c r="AL194" s="4">
        <v>2120582</v>
      </c>
      <c r="AM194" s="4">
        <v>2355607</v>
      </c>
      <c r="AN194" s="150">
        <v>163103</v>
      </c>
    </row>
    <row r="195" spans="1:40" x14ac:dyDescent="0.2">
      <c r="A195" s="1">
        <v>2023</v>
      </c>
      <c r="B195" s="2" t="s">
        <v>216</v>
      </c>
      <c r="C195" s="2" t="s">
        <v>216</v>
      </c>
      <c r="D195" s="1" t="s">
        <v>566</v>
      </c>
      <c r="E195" s="3">
        <v>1558397</v>
      </c>
      <c r="F195" s="3">
        <v>83</v>
      </c>
      <c r="G195" s="3">
        <v>5209</v>
      </c>
      <c r="H195" s="3">
        <v>0</v>
      </c>
      <c r="I195" s="3">
        <v>1558314</v>
      </c>
      <c r="J195" s="3">
        <v>1553105</v>
      </c>
      <c r="K195" s="3">
        <v>1553105</v>
      </c>
      <c r="L195" s="3">
        <v>18450</v>
      </c>
      <c r="M195" s="3">
        <v>142970</v>
      </c>
      <c r="N195" s="3">
        <v>16755</v>
      </c>
      <c r="O195" s="3">
        <v>13342</v>
      </c>
      <c r="P195" s="3">
        <v>78466</v>
      </c>
      <c r="Q195" s="3">
        <v>1288331</v>
      </c>
      <c r="R195" s="3">
        <v>1283122</v>
      </c>
      <c r="S195" s="3">
        <v>1283122</v>
      </c>
      <c r="T195" s="3">
        <v>155831</v>
      </c>
      <c r="U195" s="3">
        <v>155831</v>
      </c>
      <c r="V195" s="3">
        <v>155831</v>
      </c>
      <c r="W195" s="3">
        <v>155831</v>
      </c>
      <c r="X195" s="3">
        <v>154964</v>
      </c>
      <c r="Y195" s="3">
        <v>154964</v>
      </c>
      <c r="Z195" s="4">
        <v>154963</v>
      </c>
      <c r="AA195" s="4">
        <v>154963</v>
      </c>
      <c r="AB195" s="4">
        <v>154963</v>
      </c>
      <c r="AC195" s="4">
        <v>154964</v>
      </c>
      <c r="AD195" s="4">
        <v>155831</v>
      </c>
      <c r="AE195" s="4">
        <v>311662</v>
      </c>
      <c r="AF195" s="4">
        <v>467493</v>
      </c>
      <c r="AG195" s="4">
        <v>623324</v>
      </c>
      <c r="AH195" s="4">
        <v>778288</v>
      </c>
      <c r="AI195" s="4">
        <v>933252</v>
      </c>
      <c r="AJ195" s="4">
        <v>1088215</v>
      </c>
      <c r="AK195" s="4">
        <v>1243178</v>
      </c>
      <c r="AL195" s="4">
        <v>1398141</v>
      </c>
      <c r="AM195" s="4">
        <v>1553105</v>
      </c>
      <c r="AN195" s="150">
        <v>115112</v>
      </c>
    </row>
    <row r="196" spans="1:40" x14ac:dyDescent="0.2">
      <c r="A196" s="1">
        <v>2023</v>
      </c>
      <c r="B196" s="2" t="s">
        <v>217</v>
      </c>
      <c r="C196" s="2" t="s">
        <v>217</v>
      </c>
      <c r="D196" s="1" t="s">
        <v>567</v>
      </c>
      <c r="E196" s="3">
        <v>1332034</v>
      </c>
      <c r="F196" s="1">
        <v>299</v>
      </c>
      <c r="G196" s="3">
        <v>4257</v>
      </c>
      <c r="H196" s="3">
        <v>0</v>
      </c>
      <c r="I196" s="3">
        <v>1331735</v>
      </c>
      <c r="J196" s="3">
        <v>1327478</v>
      </c>
      <c r="K196" s="3">
        <v>1327478</v>
      </c>
      <c r="L196" s="3">
        <v>66418</v>
      </c>
      <c r="M196" s="3">
        <v>121112</v>
      </c>
      <c r="N196" s="3">
        <v>17478</v>
      </c>
      <c r="O196" s="3">
        <v>13279</v>
      </c>
      <c r="P196" s="3">
        <v>66323</v>
      </c>
      <c r="Q196" s="3">
        <v>1047125</v>
      </c>
      <c r="R196" s="3">
        <v>1042868</v>
      </c>
      <c r="S196" s="3">
        <v>1042868</v>
      </c>
      <c r="T196" s="3">
        <v>133174</v>
      </c>
      <c r="U196" s="3">
        <v>133174</v>
      </c>
      <c r="V196" s="3">
        <v>133174</v>
      </c>
      <c r="W196" s="3">
        <v>133174</v>
      </c>
      <c r="X196" s="3">
        <v>132464</v>
      </c>
      <c r="Y196" s="3">
        <v>132464</v>
      </c>
      <c r="Z196" s="4">
        <v>132464</v>
      </c>
      <c r="AA196" s="4">
        <v>132464</v>
      </c>
      <c r="AB196" s="4">
        <v>132464</v>
      </c>
      <c r="AC196" s="4">
        <v>132462</v>
      </c>
      <c r="AD196" s="4">
        <v>133174</v>
      </c>
      <c r="AE196" s="4">
        <v>266348</v>
      </c>
      <c r="AF196" s="4">
        <v>399522</v>
      </c>
      <c r="AG196" s="4">
        <v>532696</v>
      </c>
      <c r="AH196" s="4">
        <v>665160</v>
      </c>
      <c r="AI196" s="4">
        <v>797624</v>
      </c>
      <c r="AJ196" s="4">
        <v>930088</v>
      </c>
      <c r="AK196" s="4">
        <v>1062552</v>
      </c>
      <c r="AL196" s="4">
        <v>1195016</v>
      </c>
      <c r="AM196" s="4">
        <v>1327478</v>
      </c>
      <c r="AN196" s="150">
        <v>88044</v>
      </c>
    </row>
    <row r="197" spans="1:40" x14ac:dyDescent="0.2">
      <c r="A197" s="1">
        <v>2023</v>
      </c>
      <c r="B197" s="2" t="s">
        <v>218</v>
      </c>
      <c r="C197" s="2" t="s">
        <v>218</v>
      </c>
      <c r="D197" s="1" t="s">
        <v>568</v>
      </c>
      <c r="E197" s="3">
        <v>1204326</v>
      </c>
      <c r="F197" s="3">
        <v>100</v>
      </c>
      <c r="G197" s="3">
        <v>4402</v>
      </c>
      <c r="H197" s="3">
        <v>0</v>
      </c>
      <c r="I197" s="3">
        <v>1204226</v>
      </c>
      <c r="J197" s="3">
        <v>1199824</v>
      </c>
      <c r="K197" s="3">
        <v>1199824</v>
      </c>
      <c r="L197" s="3">
        <v>22139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936932</v>
      </c>
      <c r="R197" s="3">
        <v>932530</v>
      </c>
      <c r="S197" s="3">
        <v>932530</v>
      </c>
      <c r="T197" s="3">
        <v>120423</v>
      </c>
      <c r="U197" s="3">
        <v>120423</v>
      </c>
      <c r="V197" s="3">
        <v>120423</v>
      </c>
      <c r="W197" s="3">
        <v>120423</v>
      </c>
      <c r="X197" s="3">
        <v>119689</v>
      </c>
      <c r="Y197" s="3">
        <v>119689</v>
      </c>
      <c r="Z197" s="4">
        <v>119689</v>
      </c>
      <c r="AA197" s="4">
        <v>119689</v>
      </c>
      <c r="AB197" s="4">
        <v>119689</v>
      </c>
      <c r="AC197" s="4">
        <v>119687</v>
      </c>
      <c r="AD197" s="4">
        <v>120423</v>
      </c>
      <c r="AE197" s="4">
        <v>240846</v>
      </c>
      <c r="AF197" s="4">
        <v>361269</v>
      </c>
      <c r="AG197" s="4">
        <v>481692</v>
      </c>
      <c r="AH197" s="4">
        <v>601381</v>
      </c>
      <c r="AI197" s="4">
        <v>721070</v>
      </c>
      <c r="AJ197" s="4">
        <v>840759</v>
      </c>
      <c r="AK197" s="4">
        <v>960448</v>
      </c>
      <c r="AL197" s="4">
        <v>1080137</v>
      </c>
      <c r="AM197" s="4">
        <v>1199824</v>
      </c>
      <c r="AN197" s="150">
        <v>91992</v>
      </c>
    </row>
    <row r="198" spans="1:40" x14ac:dyDescent="0.2">
      <c r="A198" s="1">
        <v>2023</v>
      </c>
      <c r="B198" s="2" t="s">
        <v>219</v>
      </c>
      <c r="C198" s="2" t="s">
        <v>219</v>
      </c>
      <c r="D198" s="1" t="s">
        <v>569</v>
      </c>
      <c r="E198" s="3">
        <v>3594939</v>
      </c>
      <c r="F198" s="1">
        <v>531</v>
      </c>
      <c r="G198" s="3">
        <v>14152</v>
      </c>
      <c r="H198" s="3">
        <v>0</v>
      </c>
      <c r="I198" s="3">
        <v>3594408</v>
      </c>
      <c r="J198" s="3">
        <v>3580256</v>
      </c>
      <c r="K198" s="3">
        <v>3580256</v>
      </c>
      <c r="L198" s="3">
        <v>118077</v>
      </c>
      <c r="M198" s="3">
        <v>425902</v>
      </c>
      <c r="N198" s="3">
        <v>49523</v>
      </c>
      <c r="O198" s="3">
        <v>52597</v>
      </c>
      <c r="P198" s="3">
        <v>213177</v>
      </c>
      <c r="Q198" s="3">
        <v>2735132</v>
      </c>
      <c r="R198" s="3">
        <v>2720980</v>
      </c>
      <c r="S198" s="3">
        <v>2720980</v>
      </c>
      <c r="T198" s="3">
        <v>359441</v>
      </c>
      <c r="U198" s="3">
        <v>359441</v>
      </c>
      <c r="V198" s="3">
        <v>359441</v>
      </c>
      <c r="W198" s="3">
        <v>359441</v>
      </c>
      <c r="X198" s="3">
        <v>357082</v>
      </c>
      <c r="Y198" s="3">
        <v>357082</v>
      </c>
      <c r="Z198" s="4">
        <v>357082</v>
      </c>
      <c r="AA198" s="4">
        <v>357082</v>
      </c>
      <c r="AB198" s="4">
        <v>357082</v>
      </c>
      <c r="AC198" s="4">
        <v>357082</v>
      </c>
      <c r="AD198" s="4">
        <v>359441</v>
      </c>
      <c r="AE198" s="4">
        <v>718882</v>
      </c>
      <c r="AF198" s="4">
        <v>1078323</v>
      </c>
      <c r="AG198" s="4">
        <v>1437764</v>
      </c>
      <c r="AH198" s="4">
        <v>1794846</v>
      </c>
      <c r="AI198" s="4">
        <v>2151928</v>
      </c>
      <c r="AJ198" s="4">
        <v>2509010</v>
      </c>
      <c r="AK198" s="4">
        <v>2866092</v>
      </c>
      <c r="AL198" s="4">
        <v>3223174</v>
      </c>
      <c r="AM198" s="4">
        <v>3580256</v>
      </c>
      <c r="AN198" s="150">
        <v>281004</v>
      </c>
    </row>
    <row r="199" spans="1:40" x14ac:dyDescent="0.2">
      <c r="A199" s="1">
        <v>2023</v>
      </c>
      <c r="B199" s="2" t="s">
        <v>220</v>
      </c>
      <c r="C199" s="2" t="s">
        <v>220</v>
      </c>
      <c r="D199" s="1" t="s">
        <v>570</v>
      </c>
      <c r="E199" s="3">
        <v>12855712</v>
      </c>
      <c r="F199" s="3">
        <v>1161</v>
      </c>
      <c r="G199" s="3">
        <v>43469</v>
      </c>
      <c r="H199" s="1">
        <v>0</v>
      </c>
      <c r="I199" s="3">
        <v>12854551</v>
      </c>
      <c r="J199" s="3">
        <v>12811082</v>
      </c>
      <c r="K199" s="3">
        <v>12811082</v>
      </c>
      <c r="L199" s="3">
        <v>258294</v>
      </c>
      <c r="M199" s="3">
        <v>1145653</v>
      </c>
      <c r="N199" s="3">
        <v>151634</v>
      </c>
      <c r="O199" s="3">
        <v>136152</v>
      </c>
      <c r="P199" s="3">
        <v>654774</v>
      </c>
      <c r="Q199" s="3">
        <v>10508044</v>
      </c>
      <c r="R199" s="3">
        <v>10464575</v>
      </c>
      <c r="S199" s="3">
        <v>10464575</v>
      </c>
      <c r="T199" s="3">
        <v>1285455</v>
      </c>
      <c r="U199" s="3">
        <v>1285455</v>
      </c>
      <c r="V199" s="3">
        <v>1285455</v>
      </c>
      <c r="W199" s="3">
        <v>1285455</v>
      </c>
      <c r="X199" s="3">
        <v>1278210</v>
      </c>
      <c r="Y199" s="3">
        <v>1278210</v>
      </c>
      <c r="Z199" s="4">
        <v>1278211</v>
      </c>
      <c r="AA199" s="4">
        <v>1278211</v>
      </c>
      <c r="AB199" s="4">
        <v>1278211</v>
      </c>
      <c r="AC199" s="4">
        <v>1278209</v>
      </c>
      <c r="AD199" s="4">
        <v>1285455</v>
      </c>
      <c r="AE199" s="4">
        <v>2570910</v>
      </c>
      <c r="AF199" s="4">
        <v>3856365</v>
      </c>
      <c r="AG199" s="4">
        <v>5141820</v>
      </c>
      <c r="AH199" s="4">
        <v>6420030</v>
      </c>
      <c r="AI199" s="4">
        <v>7698240</v>
      </c>
      <c r="AJ199" s="4">
        <v>8976451</v>
      </c>
      <c r="AK199" s="4">
        <v>10254662</v>
      </c>
      <c r="AL199" s="4">
        <v>11532873</v>
      </c>
      <c r="AM199" s="4">
        <v>12811082</v>
      </c>
      <c r="AN199" s="150">
        <v>873943</v>
      </c>
    </row>
    <row r="200" spans="1:40" x14ac:dyDescent="0.2">
      <c r="A200" s="1">
        <v>2023</v>
      </c>
      <c r="B200" s="2" t="s">
        <v>221</v>
      </c>
      <c r="C200" s="2" t="s">
        <v>221</v>
      </c>
      <c r="D200" s="1" t="s">
        <v>571</v>
      </c>
      <c r="E200" s="3">
        <v>7721992</v>
      </c>
      <c r="F200" s="3">
        <v>945</v>
      </c>
      <c r="G200" s="3">
        <v>26592</v>
      </c>
      <c r="H200" s="3">
        <v>0</v>
      </c>
      <c r="I200" s="3">
        <v>7721047</v>
      </c>
      <c r="J200" s="3">
        <v>7694455</v>
      </c>
      <c r="K200" s="3">
        <v>7694455</v>
      </c>
      <c r="L200" s="3">
        <v>210326</v>
      </c>
      <c r="M200" s="3">
        <v>718137</v>
      </c>
      <c r="N200" s="3">
        <v>88172</v>
      </c>
      <c r="O200" s="3">
        <v>81130</v>
      </c>
      <c r="P200" s="3">
        <v>400557</v>
      </c>
      <c r="Q200" s="3">
        <v>6222725</v>
      </c>
      <c r="R200" s="3">
        <v>6196133</v>
      </c>
      <c r="S200" s="3">
        <v>6196133</v>
      </c>
      <c r="T200" s="3">
        <v>772105</v>
      </c>
      <c r="U200" s="3">
        <v>772105</v>
      </c>
      <c r="V200" s="3">
        <v>772105</v>
      </c>
      <c r="W200" s="3">
        <v>772105</v>
      </c>
      <c r="X200" s="3">
        <v>767673</v>
      </c>
      <c r="Y200" s="3">
        <v>767673</v>
      </c>
      <c r="Z200" s="4">
        <v>767672</v>
      </c>
      <c r="AA200" s="4">
        <v>767672</v>
      </c>
      <c r="AB200" s="4">
        <v>767672</v>
      </c>
      <c r="AC200" s="4">
        <v>767673</v>
      </c>
      <c r="AD200" s="4">
        <v>772105</v>
      </c>
      <c r="AE200" s="4">
        <v>1544210</v>
      </c>
      <c r="AF200" s="4">
        <v>2316315</v>
      </c>
      <c r="AG200" s="4">
        <v>3088420</v>
      </c>
      <c r="AH200" s="4">
        <v>3856093</v>
      </c>
      <c r="AI200" s="4">
        <v>4623766</v>
      </c>
      <c r="AJ200" s="4">
        <v>5391438</v>
      </c>
      <c r="AK200" s="4">
        <v>6159110</v>
      </c>
      <c r="AL200" s="4">
        <v>6926782</v>
      </c>
      <c r="AM200" s="4">
        <v>7694455</v>
      </c>
      <c r="AN200" s="150">
        <v>528611</v>
      </c>
    </row>
    <row r="201" spans="1:40" x14ac:dyDescent="0.2">
      <c r="A201" s="1">
        <v>2023</v>
      </c>
      <c r="B201" s="2" t="s">
        <v>222</v>
      </c>
      <c r="C201" s="2" t="s">
        <v>222</v>
      </c>
      <c r="D201" s="1" t="s">
        <v>572</v>
      </c>
      <c r="E201" s="3">
        <v>1701397</v>
      </c>
      <c r="F201" s="3">
        <v>365</v>
      </c>
      <c r="G201" s="3">
        <v>5342</v>
      </c>
      <c r="H201" s="3">
        <v>0</v>
      </c>
      <c r="I201" s="3">
        <v>1701032</v>
      </c>
      <c r="J201" s="3">
        <v>1695690</v>
      </c>
      <c r="K201" s="3">
        <v>1695690</v>
      </c>
      <c r="L201" s="3">
        <v>81178</v>
      </c>
      <c r="M201" s="3">
        <v>166635</v>
      </c>
      <c r="N201" s="3">
        <v>20374</v>
      </c>
      <c r="O201" s="3">
        <v>16796</v>
      </c>
      <c r="P201" s="3">
        <v>80469</v>
      </c>
      <c r="Q201" s="3">
        <v>1335580</v>
      </c>
      <c r="R201" s="3">
        <v>1330238</v>
      </c>
      <c r="S201" s="3">
        <v>1330238</v>
      </c>
      <c r="T201" s="3">
        <v>170103</v>
      </c>
      <c r="U201" s="3">
        <v>170103</v>
      </c>
      <c r="V201" s="3">
        <v>170103</v>
      </c>
      <c r="W201" s="3">
        <v>170103</v>
      </c>
      <c r="X201" s="3">
        <v>169213</v>
      </c>
      <c r="Y201" s="3">
        <v>169213</v>
      </c>
      <c r="Z201" s="4">
        <v>169213</v>
      </c>
      <c r="AA201" s="4">
        <v>169213</v>
      </c>
      <c r="AB201" s="4">
        <v>169213</v>
      </c>
      <c r="AC201" s="4">
        <v>169213</v>
      </c>
      <c r="AD201" s="4">
        <v>170103</v>
      </c>
      <c r="AE201" s="4">
        <v>340206</v>
      </c>
      <c r="AF201" s="4">
        <v>510309</v>
      </c>
      <c r="AG201" s="4">
        <v>680412</v>
      </c>
      <c r="AH201" s="4">
        <v>849625</v>
      </c>
      <c r="AI201" s="4">
        <v>1018838</v>
      </c>
      <c r="AJ201" s="4">
        <v>1188051</v>
      </c>
      <c r="AK201" s="4">
        <v>1357264</v>
      </c>
      <c r="AL201" s="4">
        <v>1526477</v>
      </c>
      <c r="AM201" s="4">
        <v>1695690</v>
      </c>
      <c r="AN201" s="150">
        <v>110198</v>
      </c>
    </row>
    <row r="202" spans="1:40" x14ac:dyDescent="0.2">
      <c r="A202" s="1">
        <v>2023</v>
      </c>
      <c r="B202" s="2" t="s">
        <v>223</v>
      </c>
      <c r="C202" s="2" t="s">
        <v>223</v>
      </c>
      <c r="D202" s="1" t="s">
        <v>573</v>
      </c>
      <c r="E202" s="3">
        <v>34431874</v>
      </c>
      <c r="F202" s="3">
        <v>4096</v>
      </c>
      <c r="G202" s="3">
        <v>109373</v>
      </c>
      <c r="H202" s="1">
        <v>0</v>
      </c>
      <c r="I202" s="3">
        <v>34427778</v>
      </c>
      <c r="J202" s="3">
        <v>34318405</v>
      </c>
      <c r="K202" s="3">
        <v>34318405</v>
      </c>
      <c r="L202" s="3">
        <v>911410</v>
      </c>
      <c r="M202" s="3">
        <v>2869570</v>
      </c>
      <c r="N202" s="3">
        <v>381897</v>
      </c>
      <c r="O202" s="3">
        <v>314672</v>
      </c>
      <c r="P202" s="3">
        <v>1647490</v>
      </c>
      <c r="Q202" s="3">
        <v>28302739</v>
      </c>
      <c r="R202" s="3">
        <v>28193366</v>
      </c>
      <c r="S202" s="3">
        <v>28193366</v>
      </c>
      <c r="T202" s="3">
        <v>3442778</v>
      </c>
      <c r="U202" s="3">
        <v>3442778</v>
      </c>
      <c r="V202" s="3">
        <v>3442778</v>
      </c>
      <c r="W202" s="3">
        <v>3442778</v>
      </c>
      <c r="X202" s="3">
        <v>3424549</v>
      </c>
      <c r="Y202" s="3">
        <v>3424549</v>
      </c>
      <c r="Z202" s="4">
        <v>3424549</v>
      </c>
      <c r="AA202" s="4">
        <v>3424549</v>
      </c>
      <c r="AB202" s="4">
        <v>3424549</v>
      </c>
      <c r="AC202" s="4">
        <v>3424548</v>
      </c>
      <c r="AD202" s="4">
        <v>3442778</v>
      </c>
      <c r="AE202" s="4">
        <v>6885556</v>
      </c>
      <c r="AF202" s="4">
        <v>10328334</v>
      </c>
      <c r="AG202" s="4">
        <v>13771112</v>
      </c>
      <c r="AH202" s="4">
        <v>17195661</v>
      </c>
      <c r="AI202" s="4">
        <v>20620210</v>
      </c>
      <c r="AJ202" s="4">
        <v>24044759</v>
      </c>
      <c r="AK202" s="4">
        <v>27469308</v>
      </c>
      <c r="AL202" s="4">
        <v>30893857</v>
      </c>
      <c r="AM202" s="4">
        <v>34318405</v>
      </c>
      <c r="AN202" s="150">
        <v>2234639</v>
      </c>
    </row>
    <row r="203" spans="1:40" x14ac:dyDescent="0.2">
      <c r="A203" s="1">
        <v>2023</v>
      </c>
      <c r="B203" s="2" t="s">
        <v>224</v>
      </c>
      <c r="C203" s="2" t="s">
        <v>224</v>
      </c>
      <c r="D203" s="1" t="s">
        <v>574</v>
      </c>
      <c r="E203" s="3">
        <v>3875616</v>
      </c>
      <c r="F203" s="3">
        <v>614</v>
      </c>
      <c r="G203" s="3">
        <v>14150</v>
      </c>
      <c r="H203" s="3">
        <v>0</v>
      </c>
      <c r="I203" s="3">
        <v>3875002</v>
      </c>
      <c r="J203" s="3">
        <v>3860852</v>
      </c>
      <c r="K203" s="3">
        <v>3860852</v>
      </c>
      <c r="L203" s="3">
        <v>136527</v>
      </c>
      <c r="M203" s="3">
        <v>370972</v>
      </c>
      <c r="N203" s="3">
        <v>37791</v>
      </c>
      <c r="O203" s="3">
        <v>42128</v>
      </c>
      <c r="P203" s="3">
        <v>213141</v>
      </c>
      <c r="Q203" s="3">
        <v>3074443</v>
      </c>
      <c r="R203" s="3">
        <v>3060293</v>
      </c>
      <c r="S203" s="3">
        <v>3060293</v>
      </c>
      <c r="T203" s="3">
        <v>387500</v>
      </c>
      <c r="U203" s="3">
        <v>387500</v>
      </c>
      <c r="V203" s="3">
        <v>387500</v>
      </c>
      <c r="W203" s="3">
        <v>387500</v>
      </c>
      <c r="X203" s="3">
        <v>385142</v>
      </c>
      <c r="Y203" s="3">
        <v>385142</v>
      </c>
      <c r="Z203" s="4">
        <v>385142</v>
      </c>
      <c r="AA203" s="4">
        <v>385142</v>
      </c>
      <c r="AB203" s="4">
        <v>385142</v>
      </c>
      <c r="AC203" s="4">
        <v>385142</v>
      </c>
      <c r="AD203" s="4">
        <v>387500</v>
      </c>
      <c r="AE203" s="4">
        <v>775000</v>
      </c>
      <c r="AF203" s="4">
        <v>1162500</v>
      </c>
      <c r="AG203" s="4">
        <v>1550000</v>
      </c>
      <c r="AH203" s="4">
        <v>1935142</v>
      </c>
      <c r="AI203" s="4">
        <v>2320284</v>
      </c>
      <c r="AJ203" s="4">
        <v>2705426</v>
      </c>
      <c r="AK203" s="4">
        <v>3090568</v>
      </c>
      <c r="AL203" s="4">
        <v>3475710</v>
      </c>
      <c r="AM203" s="4">
        <v>3860852</v>
      </c>
      <c r="AN203" s="150">
        <v>286866</v>
      </c>
    </row>
    <row r="204" spans="1:40" x14ac:dyDescent="0.2">
      <c r="A204" s="1">
        <v>2023</v>
      </c>
      <c r="B204" s="2" t="s">
        <v>225</v>
      </c>
      <c r="C204" s="2" t="s">
        <v>225</v>
      </c>
      <c r="D204" s="1" t="s">
        <v>575</v>
      </c>
      <c r="E204" s="3">
        <v>9672455</v>
      </c>
      <c r="F204" s="3">
        <v>1393</v>
      </c>
      <c r="G204" s="3">
        <v>33357</v>
      </c>
      <c r="H204" s="1">
        <v>0</v>
      </c>
      <c r="I204" s="3">
        <v>9671062</v>
      </c>
      <c r="J204" s="3">
        <v>9637705</v>
      </c>
      <c r="K204" s="3">
        <v>9637705</v>
      </c>
      <c r="L204" s="3">
        <v>309953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7707788</v>
      </c>
      <c r="R204" s="3">
        <v>7674431</v>
      </c>
      <c r="S204" s="3">
        <v>7674431</v>
      </c>
      <c r="T204" s="3">
        <v>967106</v>
      </c>
      <c r="U204" s="3">
        <v>967106</v>
      </c>
      <c r="V204" s="3">
        <v>967106</v>
      </c>
      <c r="W204" s="3">
        <v>967106</v>
      </c>
      <c r="X204" s="3">
        <v>961547</v>
      </c>
      <c r="Y204" s="3">
        <v>961547</v>
      </c>
      <c r="Z204" s="4">
        <v>961547</v>
      </c>
      <c r="AA204" s="4">
        <v>961547</v>
      </c>
      <c r="AB204" s="4">
        <v>961547</v>
      </c>
      <c r="AC204" s="4">
        <v>961546</v>
      </c>
      <c r="AD204" s="4">
        <v>967106</v>
      </c>
      <c r="AE204" s="4">
        <v>1934212</v>
      </c>
      <c r="AF204" s="4">
        <v>2901318</v>
      </c>
      <c r="AG204" s="4">
        <v>3868424</v>
      </c>
      <c r="AH204" s="4">
        <v>4829971</v>
      </c>
      <c r="AI204" s="4">
        <v>5791518</v>
      </c>
      <c r="AJ204" s="4">
        <v>6753065</v>
      </c>
      <c r="AK204" s="4">
        <v>7714612</v>
      </c>
      <c r="AL204" s="4">
        <v>8676159</v>
      </c>
      <c r="AM204" s="4">
        <v>9637705</v>
      </c>
      <c r="AN204" s="150">
        <v>657704</v>
      </c>
    </row>
    <row r="205" spans="1:40" x14ac:dyDescent="0.2">
      <c r="A205" s="1">
        <v>2023</v>
      </c>
      <c r="B205" s="2" t="s">
        <v>226</v>
      </c>
      <c r="C205" s="2" t="s">
        <v>226</v>
      </c>
      <c r="D205" s="1" t="s">
        <v>576</v>
      </c>
      <c r="E205" s="3">
        <v>2572492</v>
      </c>
      <c r="F205" s="3">
        <v>464</v>
      </c>
      <c r="G205" s="3">
        <v>11311</v>
      </c>
      <c r="H205" s="3">
        <v>0</v>
      </c>
      <c r="I205" s="3">
        <v>2572028</v>
      </c>
      <c r="J205" s="3">
        <v>2560717</v>
      </c>
      <c r="K205" s="3">
        <v>2560717</v>
      </c>
      <c r="L205" s="3">
        <v>103318</v>
      </c>
      <c r="M205" s="3">
        <v>307535</v>
      </c>
      <c r="N205" s="3">
        <v>39401</v>
      </c>
      <c r="O205" s="3">
        <v>33029</v>
      </c>
      <c r="P205" s="3">
        <v>170384</v>
      </c>
      <c r="Q205" s="3">
        <v>1918361</v>
      </c>
      <c r="R205" s="3">
        <v>1907050</v>
      </c>
      <c r="S205" s="3">
        <v>1907050</v>
      </c>
      <c r="T205" s="3">
        <v>257203</v>
      </c>
      <c r="U205" s="3">
        <v>257203</v>
      </c>
      <c r="V205" s="3">
        <v>257203</v>
      </c>
      <c r="W205" s="3">
        <v>257203</v>
      </c>
      <c r="X205" s="3">
        <v>255318</v>
      </c>
      <c r="Y205" s="3">
        <v>255318</v>
      </c>
      <c r="Z205" s="4">
        <v>255317</v>
      </c>
      <c r="AA205" s="4">
        <v>255317</v>
      </c>
      <c r="AB205" s="4">
        <v>255317</v>
      </c>
      <c r="AC205" s="4">
        <v>255318</v>
      </c>
      <c r="AD205" s="4">
        <v>257203</v>
      </c>
      <c r="AE205" s="4">
        <v>514406</v>
      </c>
      <c r="AF205" s="4">
        <v>771609</v>
      </c>
      <c r="AG205" s="4">
        <v>1028812</v>
      </c>
      <c r="AH205" s="4">
        <v>1284130</v>
      </c>
      <c r="AI205" s="4">
        <v>1539448</v>
      </c>
      <c r="AJ205" s="4">
        <v>1794765</v>
      </c>
      <c r="AK205" s="4">
        <v>2050082</v>
      </c>
      <c r="AL205" s="4">
        <v>2305399</v>
      </c>
      <c r="AM205" s="4">
        <v>2560717</v>
      </c>
      <c r="AN205" s="150">
        <v>229963</v>
      </c>
    </row>
    <row r="206" spans="1:40" x14ac:dyDescent="0.2">
      <c r="A206" s="1">
        <v>2023</v>
      </c>
      <c r="B206" s="2" t="s">
        <v>227</v>
      </c>
      <c r="C206" s="2" t="s">
        <v>227</v>
      </c>
      <c r="D206" s="1" t="s">
        <v>577</v>
      </c>
      <c r="E206" s="3">
        <v>5261705</v>
      </c>
      <c r="F206" s="3">
        <v>1061</v>
      </c>
      <c r="G206" s="3">
        <v>21905</v>
      </c>
      <c r="H206" s="1">
        <v>0</v>
      </c>
      <c r="I206" s="3">
        <v>5260644</v>
      </c>
      <c r="J206" s="3">
        <v>5238739</v>
      </c>
      <c r="K206" s="3">
        <v>5238739</v>
      </c>
      <c r="L206" s="3">
        <v>236155</v>
      </c>
      <c r="M206" s="3">
        <v>590798</v>
      </c>
      <c r="N206" s="3">
        <v>55277</v>
      </c>
      <c r="O206" s="3">
        <v>65633</v>
      </c>
      <c r="P206" s="3">
        <v>329963</v>
      </c>
      <c r="Q206" s="3">
        <v>3982818</v>
      </c>
      <c r="R206" s="3">
        <v>3960913</v>
      </c>
      <c r="S206" s="3">
        <v>3960913</v>
      </c>
      <c r="T206" s="3">
        <v>526064</v>
      </c>
      <c r="U206" s="3">
        <v>526064</v>
      </c>
      <c r="V206" s="3">
        <v>526064</v>
      </c>
      <c r="W206" s="3">
        <v>526064</v>
      </c>
      <c r="X206" s="3">
        <v>522414</v>
      </c>
      <c r="Y206" s="3">
        <v>522414</v>
      </c>
      <c r="Z206" s="4">
        <v>522414</v>
      </c>
      <c r="AA206" s="4">
        <v>522414</v>
      </c>
      <c r="AB206" s="4">
        <v>522414</v>
      </c>
      <c r="AC206" s="4">
        <v>522413</v>
      </c>
      <c r="AD206" s="4">
        <v>526064</v>
      </c>
      <c r="AE206" s="4">
        <v>1052128</v>
      </c>
      <c r="AF206" s="4">
        <v>1578192</v>
      </c>
      <c r="AG206" s="4">
        <v>2104256</v>
      </c>
      <c r="AH206" s="4">
        <v>2626670</v>
      </c>
      <c r="AI206" s="4">
        <v>3149084</v>
      </c>
      <c r="AJ206" s="4">
        <v>3671498</v>
      </c>
      <c r="AK206" s="4">
        <v>4193912</v>
      </c>
      <c r="AL206" s="4">
        <v>4716326</v>
      </c>
      <c r="AM206" s="4">
        <v>5238739</v>
      </c>
      <c r="AN206" s="150">
        <v>453320</v>
      </c>
    </row>
    <row r="207" spans="1:40" x14ac:dyDescent="0.2">
      <c r="A207" s="1">
        <v>2023</v>
      </c>
      <c r="B207" s="2" t="s">
        <v>228</v>
      </c>
      <c r="C207" s="2" t="s">
        <v>228</v>
      </c>
      <c r="D207" s="1" t="s">
        <v>578</v>
      </c>
      <c r="E207" s="3">
        <v>4075818</v>
      </c>
      <c r="F207" s="3">
        <v>348</v>
      </c>
      <c r="G207" s="3">
        <v>12661</v>
      </c>
      <c r="H207" s="1">
        <v>0</v>
      </c>
      <c r="I207" s="3">
        <v>4075470</v>
      </c>
      <c r="J207" s="3">
        <v>4062809</v>
      </c>
      <c r="K207" s="3">
        <v>4062809</v>
      </c>
      <c r="L207" s="3">
        <v>77489</v>
      </c>
      <c r="M207" s="3">
        <v>350026</v>
      </c>
      <c r="N207" s="3">
        <v>41835</v>
      </c>
      <c r="O207" s="3">
        <v>37086</v>
      </c>
      <c r="P207" s="3">
        <v>190707</v>
      </c>
      <c r="Q207" s="3">
        <v>3378327</v>
      </c>
      <c r="R207" s="3">
        <v>3365666</v>
      </c>
      <c r="S207" s="3">
        <v>3365666</v>
      </c>
      <c r="T207" s="3">
        <v>407547</v>
      </c>
      <c r="U207" s="3">
        <v>407547</v>
      </c>
      <c r="V207" s="3">
        <v>407547</v>
      </c>
      <c r="W207" s="3">
        <v>407547</v>
      </c>
      <c r="X207" s="3">
        <v>405437</v>
      </c>
      <c r="Y207" s="3">
        <v>405437</v>
      </c>
      <c r="Z207" s="4">
        <v>405437</v>
      </c>
      <c r="AA207" s="4">
        <v>405437</v>
      </c>
      <c r="AB207" s="4">
        <v>405437</v>
      </c>
      <c r="AC207" s="4">
        <v>405436</v>
      </c>
      <c r="AD207" s="4">
        <v>407547</v>
      </c>
      <c r="AE207" s="4">
        <v>815094</v>
      </c>
      <c r="AF207" s="4">
        <v>1222641</v>
      </c>
      <c r="AG207" s="4">
        <v>1630188</v>
      </c>
      <c r="AH207" s="4">
        <v>2035625</v>
      </c>
      <c r="AI207" s="4">
        <v>2441062</v>
      </c>
      <c r="AJ207" s="4">
        <v>2846499</v>
      </c>
      <c r="AK207" s="4">
        <v>3251936</v>
      </c>
      <c r="AL207" s="4">
        <v>3657373</v>
      </c>
      <c r="AM207" s="4">
        <v>4062809</v>
      </c>
      <c r="AN207" s="150">
        <v>255429</v>
      </c>
    </row>
    <row r="208" spans="1:40" x14ac:dyDescent="0.2">
      <c r="A208" s="1">
        <v>2023</v>
      </c>
      <c r="B208" s="2" t="s">
        <v>229</v>
      </c>
      <c r="C208" s="2" t="s">
        <v>229</v>
      </c>
      <c r="D208" s="1" t="s">
        <v>579</v>
      </c>
      <c r="E208" s="3">
        <v>22281571</v>
      </c>
      <c r="F208" s="3">
        <v>1343</v>
      </c>
      <c r="G208" s="3">
        <v>69833</v>
      </c>
      <c r="H208" s="3">
        <v>0</v>
      </c>
      <c r="I208" s="3">
        <v>22280228</v>
      </c>
      <c r="J208" s="3">
        <v>22210395</v>
      </c>
      <c r="K208" s="3">
        <v>22210395</v>
      </c>
      <c r="L208" s="3">
        <v>298884</v>
      </c>
      <c r="M208" s="3">
        <v>1836879</v>
      </c>
      <c r="N208" s="3">
        <v>238103</v>
      </c>
      <c r="O208" s="3">
        <v>204705</v>
      </c>
      <c r="P208" s="3">
        <v>1051896</v>
      </c>
      <c r="Q208" s="3">
        <v>18649761</v>
      </c>
      <c r="R208" s="3">
        <v>18579928</v>
      </c>
      <c r="S208" s="3">
        <v>18579928</v>
      </c>
      <c r="T208" s="3">
        <v>2228023</v>
      </c>
      <c r="U208" s="3">
        <v>2228023</v>
      </c>
      <c r="V208" s="3">
        <v>2228023</v>
      </c>
      <c r="W208" s="3">
        <v>2228023</v>
      </c>
      <c r="X208" s="3">
        <v>2216384</v>
      </c>
      <c r="Y208" s="3">
        <v>2216384</v>
      </c>
      <c r="Z208" s="4">
        <v>2216384</v>
      </c>
      <c r="AA208" s="4">
        <v>2216384</v>
      </c>
      <c r="AB208" s="4">
        <v>2216384</v>
      </c>
      <c r="AC208" s="4">
        <v>2216383</v>
      </c>
      <c r="AD208" s="4">
        <v>2228023</v>
      </c>
      <c r="AE208" s="4">
        <v>4456046</v>
      </c>
      <c r="AF208" s="4">
        <v>6684069</v>
      </c>
      <c r="AG208" s="4">
        <v>8912092</v>
      </c>
      <c r="AH208" s="4">
        <v>11128476</v>
      </c>
      <c r="AI208" s="4">
        <v>13344860</v>
      </c>
      <c r="AJ208" s="4">
        <v>15561244</v>
      </c>
      <c r="AK208" s="4">
        <v>17777628</v>
      </c>
      <c r="AL208" s="4">
        <v>19994012</v>
      </c>
      <c r="AM208" s="4">
        <v>22210395</v>
      </c>
      <c r="AN208" s="150">
        <v>1404460</v>
      </c>
    </row>
    <row r="209" spans="1:40" x14ac:dyDescent="0.2">
      <c r="A209" s="1">
        <v>2023</v>
      </c>
      <c r="B209" s="2" t="s">
        <v>230</v>
      </c>
      <c r="C209" s="2" t="s">
        <v>230</v>
      </c>
      <c r="D209" s="1" t="s">
        <v>580</v>
      </c>
      <c r="E209" s="3">
        <v>5001632</v>
      </c>
      <c r="F209" s="3">
        <v>663</v>
      </c>
      <c r="G209" s="3">
        <v>18951</v>
      </c>
      <c r="H209" s="1">
        <v>0</v>
      </c>
      <c r="I209" s="3">
        <v>5000969</v>
      </c>
      <c r="J209" s="3">
        <v>4982018</v>
      </c>
      <c r="K209" s="3">
        <v>4982018</v>
      </c>
      <c r="L209" s="3">
        <v>147597</v>
      </c>
      <c r="M209" s="3">
        <v>531574</v>
      </c>
      <c r="N209" s="3">
        <v>55479</v>
      </c>
      <c r="O209" s="3">
        <v>59715</v>
      </c>
      <c r="P209" s="3">
        <v>285453</v>
      </c>
      <c r="Q209" s="3">
        <v>3921151</v>
      </c>
      <c r="R209" s="3">
        <v>3902200</v>
      </c>
      <c r="S209" s="3">
        <v>3902200</v>
      </c>
      <c r="T209" s="3">
        <v>500097</v>
      </c>
      <c r="U209" s="3">
        <v>500097</v>
      </c>
      <c r="V209" s="3">
        <v>500097</v>
      </c>
      <c r="W209" s="3">
        <v>500097</v>
      </c>
      <c r="X209" s="3">
        <v>496938</v>
      </c>
      <c r="Y209" s="3">
        <v>496938</v>
      </c>
      <c r="Z209" s="4">
        <v>496939</v>
      </c>
      <c r="AA209" s="4">
        <v>496939</v>
      </c>
      <c r="AB209" s="4">
        <v>496939</v>
      </c>
      <c r="AC209" s="4">
        <v>496937</v>
      </c>
      <c r="AD209" s="4">
        <v>500097</v>
      </c>
      <c r="AE209" s="4">
        <v>1000194</v>
      </c>
      <c r="AF209" s="4">
        <v>1500291</v>
      </c>
      <c r="AG209" s="4">
        <v>2000388</v>
      </c>
      <c r="AH209" s="4">
        <v>2497326</v>
      </c>
      <c r="AI209" s="4">
        <v>2994264</v>
      </c>
      <c r="AJ209" s="4">
        <v>3491203</v>
      </c>
      <c r="AK209" s="4">
        <v>3988142</v>
      </c>
      <c r="AL209" s="4">
        <v>4485081</v>
      </c>
      <c r="AM209" s="4">
        <v>4982018</v>
      </c>
      <c r="AN209" s="150">
        <v>391968</v>
      </c>
    </row>
    <row r="210" spans="1:40" x14ac:dyDescent="0.2">
      <c r="A210" s="1">
        <v>2023</v>
      </c>
      <c r="B210" s="2" t="s">
        <v>231</v>
      </c>
      <c r="C210" s="2" t="s">
        <v>231</v>
      </c>
      <c r="D210" s="1" t="s">
        <v>581</v>
      </c>
      <c r="E210" s="3">
        <v>3453829</v>
      </c>
      <c r="F210" s="1">
        <v>746</v>
      </c>
      <c r="G210" s="3">
        <v>12219</v>
      </c>
      <c r="H210" s="3">
        <v>0</v>
      </c>
      <c r="I210" s="3">
        <v>3453083</v>
      </c>
      <c r="J210" s="3">
        <v>3440864</v>
      </c>
      <c r="K210" s="3">
        <v>3440864</v>
      </c>
      <c r="L210" s="3">
        <v>166047</v>
      </c>
      <c r="M210" s="3">
        <v>351983</v>
      </c>
      <c r="N210" s="3">
        <v>42608</v>
      </c>
      <c r="O210" s="3">
        <v>39701</v>
      </c>
      <c r="P210" s="3">
        <v>184052</v>
      </c>
      <c r="Q210" s="3">
        <v>2668692</v>
      </c>
      <c r="R210" s="3">
        <v>2656473</v>
      </c>
      <c r="S210" s="3">
        <v>2656473</v>
      </c>
      <c r="T210" s="3">
        <v>345308</v>
      </c>
      <c r="U210" s="3">
        <v>345308</v>
      </c>
      <c r="V210" s="3">
        <v>345308</v>
      </c>
      <c r="W210" s="3">
        <v>345308</v>
      </c>
      <c r="X210" s="3">
        <v>343272</v>
      </c>
      <c r="Y210" s="3">
        <v>343272</v>
      </c>
      <c r="Z210" s="4">
        <v>343272</v>
      </c>
      <c r="AA210" s="4">
        <v>343272</v>
      </c>
      <c r="AB210" s="4">
        <v>343272</v>
      </c>
      <c r="AC210" s="4">
        <v>343272</v>
      </c>
      <c r="AD210" s="4">
        <v>345308</v>
      </c>
      <c r="AE210" s="4">
        <v>690616</v>
      </c>
      <c r="AF210" s="4">
        <v>1035924</v>
      </c>
      <c r="AG210" s="4">
        <v>1381232</v>
      </c>
      <c r="AH210" s="4">
        <v>1724504</v>
      </c>
      <c r="AI210" s="4">
        <v>2067776</v>
      </c>
      <c r="AJ210" s="4">
        <v>2411048</v>
      </c>
      <c r="AK210" s="4">
        <v>2754320</v>
      </c>
      <c r="AL210" s="4">
        <v>3097592</v>
      </c>
      <c r="AM210" s="4">
        <v>3440864</v>
      </c>
      <c r="AN210" s="150">
        <v>239805</v>
      </c>
    </row>
    <row r="211" spans="1:40" x14ac:dyDescent="0.2">
      <c r="A211" s="1">
        <v>2023</v>
      </c>
      <c r="B211" s="2" t="s">
        <v>232</v>
      </c>
      <c r="C211" s="2" t="s">
        <v>232</v>
      </c>
      <c r="D211" s="1" t="s">
        <v>801</v>
      </c>
      <c r="E211" s="3">
        <v>7501669</v>
      </c>
      <c r="F211" s="3">
        <v>879</v>
      </c>
      <c r="G211" s="3">
        <v>26442</v>
      </c>
      <c r="H211" s="1">
        <v>0</v>
      </c>
      <c r="I211" s="3">
        <v>7500790</v>
      </c>
      <c r="J211" s="3">
        <v>7474348</v>
      </c>
      <c r="K211" s="3">
        <v>7474348</v>
      </c>
      <c r="L211" s="3">
        <v>195566</v>
      </c>
      <c r="M211" s="3">
        <v>719261</v>
      </c>
      <c r="N211" s="3">
        <v>79293</v>
      </c>
      <c r="O211" s="3">
        <v>78870</v>
      </c>
      <c r="P211" s="3">
        <v>398303</v>
      </c>
      <c r="Q211" s="3">
        <v>6029497</v>
      </c>
      <c r="R211" s="3">
        <v>6003055</v>
      </c>
      <c r="S211" s="3">
        <v>6003055</v>
      </c>
      <c r="T211" s="3">
        <v>750079</v>
      </c>
      <c r="U211" s="3">
        <v>750079</v>
      </c>
      <c r="V211" s="3">
        <v>750079</v>
      </c>
      <c r="W211" s="3">
        <v>750079</v>
      </c>
      <c r="X211" s="3">
        <v>745672</v>
      </c>
      <c r="Y211" s="3">
        <v>745672</v>
      </c>
      <c r="Z211" s="4">
        <v>745672</v>
      </c>
      <c r="AA211" s="4">
        <v>745672</v>
      </c>
      <c r="AB211" s="4">
        <v>745672</v>
      </c>
      <c r="AC211" s="4">
        <v>745672</v>
      </c>
      <c r="AD211" s="4">
        <v>750079</v>
      </c>
      <c r="AE211" s="4">
        <v>1500158</v>
      </c>
      <c r="AF211" s="4">
        <v>2250237</v>
      </c>
      <c r="AG211" s="4">
        <v>3000316</v>
      </c>
      <c r="AH211" s="4">
        <v>3745988</v>
      </c>
      <c r="AI211" s="4">
        <v>4491660</v>
      </c>
      <c r="AJ211" s="4">
        <v>5237332</v>
      </c>
      <c r="AK211" s="4">
        <v>5983004</v>
      </c>
      <c r="AL211" s="4">
        <v>6728676</v>
      </c>
      <c r="AM211" s="4">
        <v>7474348</v>
      </c>
      <c r="AN211" s="150">
        <v>548202</v>
      </c>
    </row>
    <row r="212" spans="1:40" x14ac:dyDescent="0.2">
      <c r="A212" s="1">
        <v>2023</v>
      </c>
      <c r="B212" s="2" t="s">
        <v>234</v>
      </c>
      <c r="C212" s="2" t="s">
        <v>234</v>
      </c>
      <c r="D212" s="1" t="s">
        <v>582</v>
      </c>
      <c r="E212" s="3">
        <v>3072956</v>
      </c>
      <c r="F212" s="3">
        <v>448</v>
      </c>
      <c r="G212" s="3">
        <v>11834</v>
      </c>
      <c r="H212" s="1">
        <v>0</v>
      </c>
      <c r="I212" s="3">
        <v>3072508</v>
      </c>
      <c r="J212" s="3">
        <v>3060674</v>
      </c>
      <c r="K212" s="3">
        <v>3060674</v>
      </c>
      <c r="L212" s="3">
        <v>99628</v>
      </c>
      <c r="M212" s="3">
        <v>331313</v>
      </c>
      <c r="N212" s="3">
        <v>41590</v>
      </c>
      <c r="O212" s="3">
        <v>35746</v>
      </c>
      <c r="P212" s="3">
        <v>178256</v>
      </c>
      <c r="Q212" s="3">
        <v>2385975</v>
      </c>
      <c r="R212" s="3">
        <v>2374141</v>
      </c>
      <c r="S212" s="3">
        <v>2374141</v>
      </c>
      <c r="T212" s="3">
        <v>307251</v>
      </c>
      <c r="U212" s="3">
        <v>307251</v>
      </c>
      <c r="V212" s="3">
        <v>307251</v>
      </c>
      <c r="W212" s="3">
        <v>307251</v>
      </c>
      <c r="X212" s="3">
        <v>305278</v>
      </c>
      <c r="Y212" s="3">
        <v>305278</v>
      </c>
      <c r="Z212" s="4">
        <v>305279</v>
      </c>
      <c r="AA212" s="4">
        <v>305279</v>
      </c>
      <c r="AB212" s="4">
        <v>305279</v>
      </c>
      <c r="AC212" s="4">
        <v>305277</v>
      </c>
      <c r="AD212" s="4">
        <v>307251</v>
      </c>
      <c r="AE212" s="4">
        <v>614502</v>
      </c>
      <c r="AF212" s="4">
        <v>921753</v>
      </c>
      <c r="AG212" s="4">
        <v>1229004</v>
      </c>
      <c r="AH212" s="4">
        <v>1534282</v>
      </c>
      <c r="AI212" s="4">
        <v>1839560</v>
      </c>
      <c r="AJ212" s="4">
        <v>2144839</v>
      </c>
      <c r="AK212" s="4">
        <v>2450118</v>
      </c>
      <c r="AL212" s="4">
        <v>2755397</v>
      </c>
      <c r="AM212" s="4">
        <v>3060674</v>
      </c>
      <c r="AN212" s="150">
        <v>243890</v>
      </c>
    </row>
    <row r="213" spans="1:40" x14ac:dyDescent="0.2">
      <c r="A213" s="1">
        <v>2023</v>
      </c>
      <c r="B213" s="2" t="s">
        <v>235</v>
      </c>
      <c r="C213" s="2" t="s">
        <v>235</v>
      </c>
      <c r="D213" s="1" t="s">
        <v>583</v>
      </c>
      <c r="E213" s="3">
        <v>3360093</v>
      </c>
      <c r="F213" s="3">
        <v>564</v>
      </c>
      <c r="G213" s="3">
        <v>13031</v>
      </c>
      <c r="H213" s="1">
        <v>0</v>
      </c>
      <c r="I213" s="3">
        <v>3359529</v>
      </c>
      <c r="J213" s="3">
        <v>3346498</v>
      </c>
      <c r="K213" s="3">
        <v>3346498</v>
      </c>
      <c r="L213" s="3">
        <v>125457</v>
      </c>
      <c r="M213" s="3">
        <v>357659</v>
      </c>
      <c r="N213" s="3">
        <v>37635</v>
      </c>
      <c r="O213" s="3">
        <v>37524</v>
      </c>
      <c r="P213" s="3">
        <v>204311</v>
      </c>
      <c r="Q213" s="3">
        <v>2596943</v>
      </c>
      <c r="R213" s="3">
        <v>2583912</v>
      </c>
      <c r="S213" s="3">
        <v>2583912</v>
      </c>
      <c r="T213" s="3">
        <v>335953</v>
      </c>
      <c r="U213" s="3">
        <v>335953</v>
      </c>
      <c r="V213" s="3">
        <v>335953</v>
      </c>
      <c r="W213" s="3">
        <v>335953</v>
      </c>
      <c r="X213" s="3">
        <v>333781</v>
      </c>
      <c r="Y213" s="3">
        <v>333781</v>
      </c>
      <c r="Z213" s="4">
        <v>333781</v>
      </c>
      <c r="AA213" s="4">
        <v>333781</v>
      </c>
      <c r="AB213" s="4">
        <v>333781</v>
      </c>
      <c r="AC213" s="4">
        <v>333781</v>
      </c>
      <c r="AD213" s="4">
        <v>335953</v>
      </c>
      <c r="AE213" s="4">
        <v>671906</v>
      </c>
      <c r="AF213" s="4">
        <v>1007859</v>
      </c>
      <c r="AG213" s="4">
        <v>1343812</v>
      </c>
      <c r="AH213" s="4">
        <v>1677593</v>
      </c>
      <c r="AI213" s="4">
        <v>2011374</v>
      </c>
      <c r="AJ213" s="4">
        <v>2345155</v>
      </c>
      <c r="AK213" s="4">
        <v>2678936</v>
      </c>
      <c r="AL213" s="4">
        <v>3012717</v>
      </c>
      <c r="AM213" s="4">
        <v>3346498</v>
      </c>
      <c r="AN213" s="150">
        <v>270160</v>
      </c>
    </row>
    <row r="214" spans="1:40" x14ac:dyDescent="0.2">
      <c r="A214" s="1">
        <v>2023</v>
      </c>
      <c r="B214" s="2" t="s">
        <v>236</v>
      </c>
      <c r="C214" s="2" t="s">
        <v>236</v>
      </c>
      <c r="D214" s="1" t="s">
        <v>584</v>
      </c>
      <c r="E214" s="3">
        <v>994395</v>
      </c>
      <c r="F214" s="1">
        <v>332</v>
      </c>
      <c r="G214" s="3">
        <v>6076</v>
      </c>
      <c r="H214" s="1">
        <v>0</v>
      </c>
      <c r="I214" s="3">
        <v>994063</v>
      </c>
      <c r="J214" s="3">
        <v>987987</v>
      </c>
      <c r="K214" s="3">
        <v>987987</v>
      </c>
      <c r="L214" s="3">
        <v>73798</v>
      </c>
      <c r="M214" s="3">
        <v>169610</v>
      </c>
      <c r="N214" s="3">
        <v>17189</v>
      </c>
      <c r="O214" s="3">
        <v>18989</v>
      </c>
      <c r="P214" s="3">
        <v>92783</v>
      </c>
      <c r="Q214" s="3">
        <v>621694</v>
      </c>
      <c r="R214" s="3">
        <v>615618</v>
      </c>
      <c r="S214" s="3">
        <v>615618</v>
      </c>
      <c r="T214" s="3">
        <v>99406</v>
      </c>
      <c r="U214" s="3">
        <v>99406</v>
      </c>
      <c r="V214" s="3">
        <v>99406</v>
      </c>
      <c r="W214" s="3">
        <v>99406</v>
      </c>
      <c r="X214" s="3">
        <v>98394</v>
      </c>
      <c r="Y214" s="3">
        <v>98394</v>
      </c>
      <c r="Z214" s="4">
        <v>98394</v>
      </c>
      <c r="AA214" s="4">
        <v>98394</v>
      </c>
      <c r="AB214" s="4">
        <v>98394</v>
      </c>
      <c r="AC214" s="4">
        <v>98393</v>
      </c>
      <c r="AD214" s="4">
        <v>99406</v>
      </c>
      <c r="AE214" s="4">
        <v>198812</v>
      </c>
      <c r="AF214" s="4">
        <v>298218</v>
      </c>
      <c r="AG214" s="4">
        <v>397624</v>
      </c>
      <c r="AH214" s="4">
        <v>496018</v>
      </c>
      <c r="AI214" s="4">
        <v>594412</v>
      </c>
      <c r="AJ214" s="4">
        <v>692806</v>
      </c>
      <c r="AK214" s="4">
        <v>791200</v>
      </c>
      <c r="AL214" s="4">
        <v>889594</v>
      </c>
      <c r="AM214" s="4">
        <v>987987</v>
      </c>
      <c r="AN214" s="150">
        <v>135900</v>
      </c>
    </row>
    <row r="215" spans="1:40" x14ac:dyDescent="0.2">
      <c r="A215" s="1">
        <v>2023</v>
      </c>
      <c r="B215" s="2" t="s">
        <v>237</v>
      </c>
      <c r="C215" s="2" t="s">
        <v>237</v>
      </c>
      <c r="D215" s="1" t="s">
        <v>585</v>
      </c>
      <c r="E215" s="3">
        <v>13510517</v>
      </c>
      <c r="F215" s="3">
        <v>1974</v>
      </c>
      <c r="G215" s="3">
        <v>46224</v>
      </c>
      <c r="H215" s="1">
        <v>0</v>
      </c>
      <c r="I215" s="3">
        <v>13508543</v>
      </c>
      <c r="J215" s="3">
        <v>13462319</v>
      </c>
      <c r="K215" s="3">
        <v>13462319</v>
      </c>
      <c r="L215" s="3">
        <v>439100</v>
      </c>
      <c r="M215" s="3">
        <v>1158804</v>
      </c>
      <c r="N215" s="3">
        <v>120963</v>
      </c>
      <c r="O215" s="3">
        <v>121489</v>
      </c>
      <c r="P215" s="3">
        <v>696279</v>
      </c>
      <c r="Q215" s="3">
        <v>10971908</v>
      </c>
      <c r="R215" s="3">
        <v>10925684</v>
      </c>
      <c r="S215" s="3">
        <v>10925684</v>
      </c>
      <c r="T215" s="3">
        <v>1350854</v>
      </c>
      <c r="U215" s="3">
        <v>1350854</v>
      </c>
      <c r="V215" s="3">
        <v>1350854</v>
      </c>
      <c r="W215" s="3">
        <v>1350854</v>
      </c>
      <c r="X215" s="3">
        <v>1343151</v>
      </c>
      <c r="Y215" s="3">
        <v>1343151</v>
      </c>
      <c r="Z215" s="4">
        <v>1343150</v>
      </c>
      <c r="AA215" s="4">
        <v>1343150</v>
      </c>
      <c r="AB215" s="4">
        <v>1343150</v>
      </c>
      <c r="AC215" s="4">
        <v>1343151</v>
      </c>
      <c r="AD215" s="4">
        <v>1350854</v>
      </c>
      <c r="AE215" s="4">
        <v>2701708</v>
      </c>
      <c r="AF215" s="4">
        <v>4052562</v>
      </c>
      <c r="AG215" s="4">
        <v>5403416</v>
      </c>
      <c r="AH215" s="4">
        <v>6746567</v>
      </c>
      <c r="AI215" s="4">
        <v>8089718</v>
      </c>
      <c r="AJ215" s="4">
        <v>9432868</v>
      </c>
      <c r="AK215" s="4">
        <v>10776018</v>
      </c>
      <c r="AL215" s="4">
        <v>12119168</v>
      </c>
      <c r="AM215" s="4">
        <v>13462319</v>
      </c>
      <c r="AN215" s="150">
        <v>926852</v>
      </c>
    </row>
    <row r="216" spans="1:40" x14ac:dyDescent="0.2">
      <c r="A216" s="1">
        <v>2023</v>
      </c>
      <c r="B216" s="2" t="s">
        <v>238</v>
      </c>
      <c r="C216" s="2" t="s">
        <v>238</v>
      </c>
      <c r="D216" s="1" t="s">
        <v>586</v>
      </c>
      <c r="E216" s="3">
        <v>19985101</v>
      </c>
      <c r="F216" s="3">
        <v>2504</v>
      </c>
      <c r="G216" s="3">
        <v>73933</v>
      </c>
      <c r="H216" s="1">
        <v>0</v>
      </c>
      <c r="I216" s="3">
        <v>19982597</v>
      </c>
      <c r="J216" s="3">
        <v>19908664</v>
      </c>
      <c r="K216" s="3">
        <v>19908664</v>
      </c>
      <c r="L216" s="3">
        <v>553564</v>
      </c>
      <c r="M216" s="3">
        <v>1949390</v>
      </c>
      <c r="N216" s="3">
        <v>213331</v>
      </c>
      <c r="O216" s="3">
        <v>218778</v>
      </c>
      <c r="P216" s="3">
        <v>1113653</v>
      </c>
      <c r="Q216" s="3">
        <v>15933881</v>
      </c>
      <c r="R216" s="3">
        <v>15859948</v>
      </c>
      <c r="S216" s="3">
        <v>15859948</v>
      </c>
      <c r="T216" s="3">
        <v>1998260</v>
      </c>
      <c r="U216" s="3">
        <v>1998260</v>
      </c>
      <c r="V216" s="3">
        <v>1998260</v>
      </c>
      <c r="W216" s="3">
        <v>1998260</v>
      </c>
      <c r="X216" s="3">
        <v>1985937</v>
      </c>
      <c r="Y216" s="3">
        <v>1985937</v>
      </c>
      <c r="Z216" s="4">
        <v>1985938</v>
      </c>
      <c r="AA216" s="4">
        <v>1985938</v>
      </c>
      <c r="AB216" s="4">
        <v>1985938</v>
      </c>
      <c r="AC216" s="4">
        <v>1985936</v>
      </c>
      <c r="AD216" s="4">
        <v>1998260</v>
      </c>
      <c r="AE216" s="4">
        <v>3996520</v>
      </c>
      <c r="AF216" s="4">
        <v>5994780</v>
      </c>
      <c r="AG216" s="4">
        <v>7993040</v>
      </c>
      <c r="AH216" s="4">
        <v>9978977</v>
      </c>
      <c r="AI216" s="4">
        <v>11964914</v>
      </c>
      <c r="AJ216" s="4">
        <v>13950852</v>
      </c>
      <c r="AK216" s="4">
        <v>15936790</v>
      </c>
      <c r="AL216" s="4">
        <v>17922728</v>
      </c>
      <c r="AM216" s="4">
        <v>19908664</v>
      </c>
      <c r="AN216" s="150">
        <v>1483088</v>
      </c>
    </row>
    <row r="217" spans="1:40" x14ac:dyDescent="0.2">
      <c r="A217" s="1">
        <v>2023</v>
      </c>
      <c r="B217" s="2" t="s">
        <v>239</v>
      </c>
      <c r="C217" s="2" t="s">
        <v>239</v>
      </c>
      <c r="D217" s="1" t="s">
        <v>587</v>
      </c>
      <c r="E217" s="3">
        <v>2743970</v>
      </c>
      <c r="F217" s="3">
        <v>498</v>
      </c>
      <c r="G217" s="3">
        <v>10808</v>
      </c>
      <c r="H217" s="1">
        <v>0</v>
      </c>
      <c r="I217" s="3">
        <v>2743472</v>
      </c>
      <c r="J217" s="3">
        <v>2732664</v>
      </c>
      <c r="K217" s="3">
        <v>2732664</v>
      </c>
      <c r="L217" s="3">
        <v>110697</v>
      </c>
      <c r="M217" s="3">
        <v>317636</v>
      </c>
      <c r="N217" s="3">
        <v>32683</v>
      </c>
      <c r="O217" s="3">
        <v>34125</v>
      </c>
      <c r="P217" s="3">
        <v>162799</v>
      </c>
      <c r="Q217" s="3">
        <v>2085532</v>
      </c>
      <c r="R217" s="3">
        <v>2074724</v>
      </c>
      <c r="S217" s="3">
        <v>2074724</v>
      </c>
      <c r="T217" s="3">
        <v>274347</v>
      </c>
      <c r="U217" s="3">
        <v>274347</v>
      </c>
      <c r="V217" s="3">
        <v>274347</v>
      </c>
      <c r="W217" s="3">
        <v>274347</v>
      </c>
      <c r="X217" s="3">
        <v>272546</v>
      </c>
      <c r="Y217" s="3">
        <v>272546</v>
      </c>
      <c r="Z217" s="4">
        <v>272546</v>
      </c>
      <c r="AA217" s="4">
        <v>272546</v>
      </c>
      <c r="AB217" s="4">
        <v>272546</v>
      </c>
      <c r="AC217" s="4">
        <v>272546</v>
      </c>
      <c r="AD217" s="4">
        <v>274347</v>
      </c>
      <c r="AE217" s="4">
        <v>548694</v>
      </c>
      <c r="AF217" s="4">
        <v>823041</v>
      </c>
      <c r="AG217" s="4">
        <v>1097388</v>
      </c>
      <c r="AH217" s="4">
        <v>1369934</v>
      </c>
      <c r="AI217" s="4">
        <v>1642480</v>
      </c>
      <c r="AJ217" s="4">
        <v>1915026</v>
      </c>
      <c r="AK217" s="4">
        <v>2187572</v>
      </c>
      <c r="AL217" s="4">
        <v>2460118</v>
      </c>
      <c r="AM217" s="4">
        <v>2732664</v>
      </c>
      <c r="AN217" s="150">
        <v>226364</v>
      </c>
    </row>
    <row r="218" spans="1:40" x14ac:dyDescent="0.2">
      <c r="A218" s="1">
        <v>2023</v>
      </c>
      <c r="B218" s="2" t="s">
        <v>241</v>
      </c>
      <c r="C218" s="2" t="s">
        <v>241</v>
      </c>
      <c r="D218" s="1" t="s">
        <v>588</v>
      </c>
      <c r="E218" s="3">
        <v>3068579</v>
      </c>
      <c r="F218" s="3">
        <v>597</v>
      </c>
      <c r="G218" s="3">
        <v>11948</v>
      </c>
      <c r="H218" s="3">
        <v>0</v>
      </c>
      <c r="I218" s="3">
        <v>3067982</v>
      </c>
      <c r="J218" s="3">
        <v>3056034</v>
      </c>
      <c r="K218" s="3">
        <v>3056034</v>
      </c>
      <c r="L218" s="3">
        <v>129223</v>
      </c>
      <c r="M218" s="3">
        <v>317126</v>
      </c>
      <c r="N218" s="3">
        <v>32001</v>
      </c>
      <c r="O218" s="3">
        <v>36296</v>
      </c>
      <c r="P218" s="3">
        <v>179973</v>
      </c>
      <c r="Q218" s="3">
        <v>2373363</v>
      </c>
      <c r="R218" s="3">
        <v>2361415</v>
      </c>
      <c r="S218" s="3">
        <v>2361415</v>
      </c>
      <c r="T218" s="3">
        <v>306798</v>
      </c>
      <c r="U218" s="3">
        <v>306798</v>
      </c>
      <c r="V218" s="3">
        <v>306798</v>
      </c>
      <c r="W218" s="3">
        <v>306798</v>
      </c>
      <c r="X218" s="3">
        <v>304807</v>
      </c>
      <c r="Y218" s="3">
        <v>304807</v>
      </c>
      <c r="Z218" s="4">
        <v>304807</v>
      </c>
      <c r="AA218" s="4">
        <v>304807</v>
      </c>
      <c r="AB218" s="4">
        <v>304807</v>
      </c>
      <c r="AC218" s="4">
        <v>304807</v>
      </c>
      <c r="AD218" s="4">
        <v>306798</v>
      </c>
      <c r="AE218" s="4">
        <v>613596</v>
      </c>
      <c r="AF218" s="4">
        <v>920394</v>
      </c>
      <c r="AG218" s="4">
        <v>1227192</v>
      </c>
      <c r="AH218" s="4">
        <v>1531999</v>
      </c>
      <c r="AI218" s="4">
        <v>1836806</v>
      </c>
      <c r="AJ218" s="4">
        <v>2141613</v>
      </c>
      <c r="AK218" s="4">
        <v>2446420</v>
      </c>
      <c r="AL218" s="4">
        <v>2751227</v>
      </c>
      <c r="AM218" s="4">
        <v>3056034</v>
      </c>
      <c r="AN218" s="150">
        <v>245536</v>
      </c>
    </row>
    <row r="219" spans="1:40" x14ac:dyDescent="0.2">
      <c r="A219" s="1">
        <v>2023</v>
      </c>
      <c r="B219" s="2" t="s">
        <v>242</v>
      </c>
      <c r="C219" s="2" t="s">
        <v>242</v>
      </c>
      <c r="D219" s="1" t="s">
        <v>589</v>
      </c>
      <c r="E219" s="3">
        <v>26593034</v>
      </c>
      <c r="F219" s="3">
        <v>2703</v>
      </c>
      <c r="G219" s="3">
        <v>79586</v>
      </c>
      <c r="H219" s="1">
        <v>0</v>
      </c>
      <c r="I219" s="3">
        <v>26590331</v>
      </c>
      <c r="J219" s="3">
        <v>26510745</v>
      </c>
      <c r="K219" s="3">
        <v>26510745</v>
      </c>
      <c r="L219" s="3">
        <v>601457</v>
      </c>
      <c r="M219" s="3">
        <v>2148441</v>
      </c>
      <c r="N219" s="3">
        <v>227935</v>
      </c>
      <c r="O219" s="3">
        <v>226594</v>
      </c>
      <c r="P219" s="3">
        <v>1198809</v>
      </c>
      <c r="Q219" s="3">
        <v>22187095</v>
      </c>
      <c r="R219" s="3">
        <v>22107509</v>
      </c>
      <c r="S219" s="3">
        <v>22107509</v>
      </c>
      <c r="T219" s="3">
        <v>2659033</v>
      </c>
      <c r="U219" s="3">
        <v>2659033</v>
      </c>
      <c r="V219" s="3">
        <v>2659033</v>
      </c>
      <c r="W219" s="3">
        <v>2659033</v>
      </c>
      <c r="X219" s="3">
        <v>2645769</v>
      </c>
      <c r="Y219" s="3">
        <v>2645769</v>
      </c>
      <c r="Z219" s="4">
        <v>2645769</v>
      </c>
      <c r="AA219" s="4">
        <v>2645769</v>
      </c>
      <c r="AB219" s="4">
        <v>2645769</v>
      </c>
      <c r="AC219" s="4">
        <v>2645768</v>
      </c>
      <c r="AD219" s="4">
        <v>2659033</v>
      </c>
      <c r="AE219" s="4">
        <v>5318066</v>
      </c>
      <c r="AF219" s="4">
        <v>7977099</v>
      </c>
      <c r="AG219" s="4">
        <v>10636132</v>
      </c>
      <c r="AH219" s="4">
        <v>13281901</v>
      </c>
      <c r="AI219" s="4">
        <v>15927670</v>
      </c>
      <c r="AJ219" s="4">
        <v>18573439</v>
      </c>
      <c r="AK219" s="4">
        <v>21219208</v>
      </c>
      <c r="AL219" s="4">
        <v>23864977</v>
      </c>
      <c r="AM219" s="4">
        <v>26510745</v>
      </c>
      <c r="AN219" s="150">
        <v>1620826</v>
      </c>
    </row>
    <row r="220" spans="1:40" x14ac:dyDescent="0.2">
      <c r="A220" s="1">
        <v>2023</v>
      </c>
      <c r="B220" s="2" t="s">
        <v>243</v>
      </c>
      <c r="C220" s="2" t="s">
        <v>698</v>
      </c>
      <c r="D220" s="1" t="s">
        <v>590</v>
      </c>
      <c r="E220" s="3">
        <v>4166782</v>
      </c>
      <c r="F220" s="3">
        <v>713</v>
      </c>
      <c r="G220" s="3">
        <v>16490</v>
      </c>
      <c r="H220" s="1">
        <v>0</v>
      </c>
      <c r="I220" s="3">
        <v>4166069</v>
      </c>
      <c r="J220" s="3">
        <v>4149579</v>
      </c>
      <c r="K220" s="3">
        <v>4149579</v>
      </c>
      <c r="L220" s="3">
        <v>158667</v>
      </c>
      <c r="M220" s="3">
        <v>442719</v>
      </c>
      <c r="N220" s="3">
        <v>45887</v>
      </c>
      <c r="O220" s="3">
        <v>48136</v>
      </c>
      <c r="P220" s="3">
        <v>248385</v>
      </c>
      <c r="Q220" s="3">
        <v>3222275</v>
      </c>
      <c r="R220" s="3">
        <v>3205785</v>
      </c>
      <c r="S220" s="3">
        <v>3205785</v>
      </c>
      <c r="T220" s="3">
        <v>416607</v>
      </c>
      <c r="U220" s="3">
        <v>416607</v>
      </c>
      <c r="V220" s="3">
        <v>416607</v>
      </c>
      <c r="W220" s="3">
        <v>416607</v>
      </c>
      <c r="X220" s="3">
        <v>413859</v>
      </c>
      <c r="Y220" s="3">
        <v>413859</v>
      </c>
      <c r="Z220" s="4">
        <v>413858</v>
      </c>
      <c r="AA220" s="4">
        <v>413858</v>
      </c>
      <c r="AB220" s="4">
        <v>413858</v>
      </c>
      <c r="AC220" s="4">
        <v>413859</v>
      </c>
      <c r="AD220" s="4">
        <v>416607</v>
      </c>
      <c r="AE220" s="4">
        <v>833214</v>
      </c>
      <c r="AF220" s="4">
        <v>1249821</v>
      </c>
      <c r="AG220" s="4">
        <v>1666428</v>
      </c>
      <c r="AH220" s="4">
        <v>2080287</v>
      </c>
      <c r="AI220" s="4">
        <v>2494146</v>
      </c>
      <c r="AJ220" s="4">
        <v>2908004</v>
      </c>
      <c r="AK220" s="4">
        <v>3321862</v>
      </c>
      <c r="AL220" s="4">
        <v>3735720</v>
      </c>
      <c r="AM220" s="4">
        <v>4149579</v>
      </c>
      <c r="AN220" s="150">
        <v>338608</v>
      </c>
    </row>
    <row r="221" spans="1:40" x14ac:dyDescent="0.2">
      <c r="A221" s="1">
        <v>2023</v>
      </c>
      <c r="B221" s="2" t="s">
        <v>244</v>
      </c>
      <c r="C221" s="2" t="s">
        <v>244</v>
      </c>
      <c r="D221" s="1" t="s">
        <v>802</v>
      </c>
      <c r="E221" s="3">
        <v>5409014</v>
      </c>
      <c r="F221" s="3">
        <v>1012</v>
      </c>
      <c r="G221" s="3">
        <v>21970</v>
      </c>
      <c r="H221" s="1">
        <v>0</v>
      </c>
      <c r="I221" s="3">
        <v>5408002</v>
      </c>
      <c r="J221" s="3">
        <v>5386032</v>
      </c>
      <c r="K221" s="3">
        <v>5386032</v>
      </c>
      <c r="L221" s="3">
        <v>225085</v>
      </c>
      <c r="M221" s="3">
        <v>638362</v>
      </c>
      <c r="N221" s="3">
        <v>68832</v>
      </c>
      <c r="O221" s="3">
        <v>73858</v>
      </c>
      <c r="P221" s="3">
        <v>337411</v>
      </c>
      <c r="Q221" s="3">
        <v>4064454</v>
      </c>
      <c r="R221" s="3">
        <v>4042484</v>
      </c>
      <c r="S221" s="3">
        <v>4042484</v>
      </c>
      <c r="T221" s="3">
        <v>540800</v>
      </c>
      <c r="U221" s="3">
        <v>540800</v>
      </c>
      <c r="V221" s="3">
        <v>540800</v>
      </c>
      <c r="W221" s="3">
        <v>540800</v>
      </c>
      <c r="X221" s="3">
        <v>537139</v>
      </c>
      <c r="Y221" s="3">
        <v>537139</v>
      </c>
      <c r="Z221" s="4">
        <v>537139</v>
      </c>
      <c r="AA221" s="4">
        <v>537139</v>
      </c>
      <c r="AB221" s="4">
        <v>537139</v>
      </c>
      <c r="AC221" s="4">
        <v>537137</v>
      </c>
      <c r="AD221" s="4">
        <v>540800</v>
      </c>
      <c r="AE221" s="4">
        <v>1081600</v>
      </c>
      <c r="AF221" s="4">
        <v>1622400</v>
      </c>
      <c r="AG221" s="4">
        <v>2163200</v>
      </c>
      <c r="AH221" s="4">
        <v>2700339</v>
      </c>
      <c r="AI221" s="4">
        <v>3237478</v>
      </c>
      <c r="AJ221" s="4">
        <v>3774617</v>
      </c>
      <c r="AK221" s="4">
        <v>4311756</v>
      </c>
      <c r="AL221" s="4">
        <v>4848895</v>
      </c>
      <c r="AM221" s="4">
        <v>5386032</v>
      </c>
      <c r="AN221" s="150">
        <v>447931</v>
      </c>
    </row>
    <row r="222" spans="1:40" x14ac:dyDescent="0.2">
      <c r="A222" s="1">
        <v>2023</v>
      </c>
      <c r="B222" s="2" t="s">
        <v>245</v>
      </c>
      <c r="C222" s="2" t="s">
        <v>245</v>
      </c>
      <c r="D222" s="1" t="s">
        <v>591</v>
      </c>
      <c r="E222" s="3">
        <v>10806834</v>
      </c>
      <c r="F222" s="3">
        <v>580</v>
      </c>
      <c r="G222" s="3">
        <v>31834</v>
      </c>
      <c r="H222" s="1">
        <v>0</v>
      </c>
      <c r="I222" s="3">
        <v>10806254</v>
      </c>
      <c r="J222" s="3">
        <v>10774420</v>
      </c>
      <c r="K222" s="3">
        <v>10774420</v>
      </c>
      <c r="L222" s="3">
        <v>129148</v>
      </c>
      <c r="M222" s="3">
        <v>863156</v>
      </c>
      <c r="N222" s="3">
        <v>101212</v>
      </c>
      <c r="O222" s="3">
        <v>99014</v>
      </c>
      <c r="P222" s="3">
        <v>479524</v>
      </c>
      <c r="Q222" s="3">
        <v>9134200</v>
      </c>
      <c r="R222" s="3">
        <v>9102366</v>
      </c>
      <c r="S222" s="3">
        <v>9102366</v>
      </c>
      <c r="T222" s="3">
        <v>1080625</v>
      </c>
      <c r="U222" s="3">
        <v>1080625</v>
      </c>
      <c r="V222" s="3">
        <v>1080625</v>
      </c>
      <c r="W222" s="3">
        <v>1080625</v>
      </c>
      <c r="X222" s="3">
        <v>1075320</v>
      </c>
      <c r="Y222" s="3">
        <v>1075320</v>
      </c>
      <c r="Z222" s="4">
        <v>1075320</v>
      </c>
      <c r="AA222" s="4">
        <v>1075320</v>
      </c>
      <c r="AB222" s="4">
        <v>1075320</v>
      </c>
      <c r="AC222" s="4">
        <v>1075320</v>
      </c>
      <c r="AD222" s="4">
        <v>1080625</v>
      </c>
      <c r="AE222" s="4">
        <v>2161250</v>
      </c>
      <c r="AF222" s="4">
        <v>3241875</v>
      </c>
      <c r="AG222" s="4">
        <v>4322500</v>
      </c>
      <c r="AH222" s="4">
        <v>5397820</v>
      </c>
      <c r="AI222" s="4">
        <v>6473140</v>
      </c>
      <c r="AJ222" s="4">
        <v>7548460</v>
      </c>
      <c r="AK222" s="4">
        <v>8623780</v>
      </c>
      <c r="AL222" s="4">
        <v>9699100</v>
      </c>
      <c r="AM222" s="4">
        <v>10774420</v>
      </c>
      <c r="AN222" s="150">
        <v>694234</v>
      </c>
    </row>
    <row r="223" spans="1:40" x14ac:dyDescent="0.2">
      <c r="A223" s="1">
        <v>2023</v>
      </c>
      <c r="B223" s="2" t="s">
        <v>246</v>
      </c>
      <c r="C223" s="2" t="s">
        <v>246</v>
      </c>
      <c r="D223" s="1" t="s">
        <v>592</v>
      </c>
      <c r="E223" s="3">
        <v>3359195</v>
      </c>
      <c r="F223" s="1">
        <v>580</v>
      </c>
      <c r="G223" s="3">
        <v>14297</v>
      </c>
      <c r="H223" s="1">
        <v>0</v>
      </c>
      <c r="I223" s="3">
        <v>3358615</v>
      </c>
      <c r="J223" s="3">
        <v>3344318</v>
      </c>
      <c r="K223" s="3">
        <v>3344318</v>
      </c>
      <c r="L223" s="3">
        <v>129148</v>
      </c>
      <c r="M223" s="3">
        <v>396490</v>
      </c>
      <c r="N223" s="3">
        <v>42970</v>
      </c>
      <c r="O223" s="3">
        <v>43247</v>
      </c>
      <c r="P223" s="3">
        <v>215360</v>
      </c>
      <c r="Q223" s="3">
        <v>2531400</v>
      </c>
      <c r="R223" s="3">
        <v>2517103</v>
      </c>
      <c r="S223" s="3">
        <v>2517103</v>
      </c>
      <c r="T223" s="3">
        <v>335862</v>
      </c>
      <c r="U223" s="3">
        <v>335862</v>
      </c>
      <c r="V223" s="3">
        <v>335862</v>
      </c>
      <c r="W223" s="3">
        <v>335862</v>
      </c>
      <c r="X223" s="3">
        <v>333478</v>
      </c>
      <c r="Y223" s="3">
        <v>333478</v>
      </c>
      <c r="Z223" s="4">
        <v>333479</v>
      </c>
      <c r="AA223" s="4">
        <v>333479</v>
      </c>
      <c r="AB223" s="4">
        <v>333479</v>
      </c>
      <c r="AC223" s="4">
        <v>333477</v>
      </c>
      <c r="AD223" s="4">
        <v>335862</v>
      </c>
      <c r="AE223" s="4">
        <v>671724</v>
      </c>
      <c r="AF223" s="4">
        <v>1007586</v>
      </c>
      <c r="AG223" s="4">
        <v>1343448</v>
      </c>
      <c r="AH223" s="4">
        <v>1676926</v>
      </c>
      <c r="AI223" s="4">
        <v>2010404</v>
      </c>
      <c r="AJ223" s="4">
        <v>2343883</v>
      </c>
      <c r="AK223" s="4">
        <v>2677362</v>
      </c>
      <c r="AL223" s="4">
        <v>3010841</v>
      </c>
      <c r="AM223" s="4">
        <v>3344318</v>
      </c>
      <c r="AN223" s="150">
        <v>268688</v>
      </c>
    </row>
    <row r="224" spans="1:40" x14ac:dyDescent="0.2">
      <c r="A224" s="1">
        <v>2023</v>
      </c>
      <c r="B224" s="2" t="s">
        <v>247</v>
      </c>
      <c r="C224" s="2" t="s">
        <v>247</v>
      </c>
      <c r="D224" s="1" t="s">
        <v>593</v>
      </c>
      <c r="E224" s="3">
        <v>585457</v>
      </c>
      <c r="F224" s="3">
        <v>1111</v>
      </c>
      <c r="G224" s="3">
        <v>24780</v>
      </c>
      <c r="H224" s="1">
        <v>0</v>
      </c>
      <c r="I224" s="3">
        <v>584346</v>
      </c>
      <c r="J224" s="3">
        <v>559566</v>
      </c>
      <c r="K224" s="3">
        <v>559566</v>
      </c>
      <c r="L224" s="3">
        <v>247225</v>
      </c>
      <c r="M224" s="3">
        <v>674523</v>
      </c>
      <c r="N224" s="3">
        <v>75382</v>
      </c>
      <c r="O224" s="3">
        <v>76769</v>
      </c>
      <c r="P224" s="3">
        <v>373257</v>
      </c>
      <c r="Q224" s="3">
        <v>-862810</v>
      </c>
      <c r="R224" s="3">
        <v>-887590</v>
      </c>
      <c r="S224" s="3">
        <v>-887590</v>
      </c>
      <c r="T224" s="3">
        <v>58435</v>
      </c>
      <c r="U224" s="3">
        <v>58435</v>
      </c>
      <c r="V224" s="3">
        <v>58435</v>
      </c>
      <c r="W224" s="3">
        <v>58435</v>
      </c>
      <c r="X224" s="3">
        <v>54304</v>
      </c>
      <c r="Y224" s="3">
        <v>54304</v>
      </c>
      <c r="Z224" s="4">
        <v>54305</v>
      </c>
      <c r="AA224" s="4">
        <v>54305</v>
      </c>
      <c r="AB224" s="4">
        <v>54305</v>
      </c>
      <c r="AC224" s="4">
        <v>54303</v>
      </c>
      <c r="AD224" s="4">
        <v>58435</v>
      </c>
      <c r="AE224" s="4">
        <v>116870</v>
      </c>
      <c r="AF224" s="4">
        <v>175305</v>
      </c>
      <c r="AG224" s="4">
        <v>233740</v>
      </c>
      <c r="AH224" s="4">
        <v>288044</v>
      </c>
      <c r="AI224" s="4">
        <v>342348</v>
      </c>
      <c r="AJ224" s="4">
        <v>396653</v>
      </c>
      <c r="AK224" s="4">
        <v>450958</v>
      </c>
      <c r="AL224" s="4">
        <v>505263</v>
      </c>
      <c r="AM224" s="4">
        <v>559566</v>
      </c>
      <c r="AN224" s="150">
        <v>518467</v>
      </c>
    </row>
    <row r="225" spans="1:40" x14ac:dyDescent="0.2">
      <c r="A225" s="1">
        <v>2023</v>
      </c>
      <c r="B225" s="2" t="s">
        <v>248</v>
      </c>
      <c r="C225" s="2" t="s">
        <v>248</v>
      </c>
      <c r="D225" s="1" t="s">
        <v>594</v>
      </c>
      <c r="E225" s="3">
        <v>1414319</v>
      </c>
      <c r="F225" s="1">
        <v>149</v>
      </c>
      <c r="G225" s="3">
        <v>5083</v>
      </c>
      <c r="H225" s="1">
        <v>0</v>
      </c>
      <c r="I225" s="3">
        <v>1414170</v>
      </c>
      <c r="J225" s="3">
        <v>1409087</v>
      </c>
      <c r="K225" s="3">
        <v>1409087</v>
      </c>
      <c r="L225" s="3">
        <v>33210</v>
      </c>
      <c r="M225" s="3">
        <v>164919</v>
      </c>
      <c r="N225" s="3">
        <v>16814</v>
      </c>
      <c r="O225" s="3">
        <v>17094</v>
      </c>
      <c r="P225" s="3">
        <v>76569</v>
      </c>
      <c r="Q225" s="3">
        <v>1105564</v>
      </c>
      <c r="R225" s="3">
        <v>1100481</v>
      </c>
      <c r="S225" s="3">
        <v>1100481</v>
      </c>
      <c r="T225" s="3">
        <v>141417</v>
      </c>
      <c r="U225" s="3">
        <v>141417</v>
      </c>
      <c r="V225" s="3">
        <v>141417</v>
      </c>
      <c r="W225" s="3">
        <v>141417</v>
      </c>
      <c r="X225" s="3">
        <v>140570</v>
      </c>
      <c r="Y225" s="3">
        <v>140570</v>
      </c>
      <c r="Z225" s="4">
        <v>140570</v>
      </c>
      <c r="AA225" s="4">
        <v>140570</v>
      </c>
      <c r="AB225" s="4">
        <v>140570</v>
      </c>
      <c r="AC225" s="4">
        <v>140569</v>
      </c>
      <c r="AD225" s="4">
        <v>141417</v>
      </c>
      <c r="AE225" s="4">
        <v>282834</v>
      </c>
      <c r="AF225" s="4">
        <v>424251</v>
      </c>
      <c r="AG225" s="4">
        <v>565668</v>
      </c>
      <c r="AH225" s="4">
        <v>706238</v>
      </c>
      <c r="AI225" s="4">
        <v>846808</v>
      </c>
      <c r="AJ225" s="4">
        <v>987378</v>
      </c>
      <c r="AK225" s="4">
        <v>1127948</v>
      </c>
      <c r="AL225" s="4">
        <v>1268518</v>
      </c>
      <c r="AM225" s="4">
        <v>1409087</v>
      </c>
      <c r="AN225" s="150">
        <v>98948</v>
      </c>
    </row>
    <row r="226" spans="1:40" x14ac:dyDescent="0.2">
      <c r="A226" s="1">
        <v>2023</v>
      </c>
      <c r="B226" s="2" t="s">
        <v>249</v>
      </c>
      <c r="C226" s="2" t="s">
        <v>249</v>
      </c>
      <c r="D226" s="1" t="s">
        <v>595</v>
      </c>
      <c r="E226" s="3">
        <v>847263</v>
      </c>
      <c r="F226" s="1">
        <v>182</v>
      </c>
      <c r="G226" s="3">
        <v>4202</v>
      </c>
      <c r="H226" s="3">
        <v>0</v>
      </c>
      <c r="I226" s="3">
        <v>847081</v>
      </c>
      <c r="J226" s="3">
        <v>842879</v>
      </c>
      <c r="K226" s="3">
        <v>842879</v>
      </c>
      <c r="L226" s="3">
        <v>40590</v>
      </c>
      <c r="M226" s="3">
        <v>138603</v>
      </c>
      <c r="N226" s="3">
        <v>11008</v>
      </c>
      <c r="O226" s="3">
        <v>15436</v>
      </c>
      <c r="P226" s="3">
        <v>63295</v>
      </c>
      <c r="Q226" s="3">
        <v>578149</v>
      </c>
      <c r="R226" s="3">
        <v>573947</v>
      </c>
      <c r="S226" s="3">
        <v>573947</v>
      </c>
      <c r="T226" s="3">
        <v>84708</v>
      </c>
      <c r="U226" s="3">
        <v>84708</v>
      </c>
      <c r="V226" s="3">
        <v>84708</v>
      </c>
      <c r="W226" s="3">
        <v>84708</v>
      </c>
      <c r="X226" s="3">
        <v>84008</v>
      </c>
      <c r="Y226" s="3">
        <v>84008</v>
      </c>
      <c r="Z226" s="4">
        <v>84008</v>
      </c>
      <c r="AA226" s="4">
        <v>84008</v>
      </c>
      <c r="AB226" s="4">
        <v>84008</v>
      </c>
      <c r="AC226" s="4">
        <v>84007</v>
      </c>
      <c r="AD226" s="4">
        <v>84708</v>
      </c>
      <c r="AE226" s="4">
        <v>169416</v>
      </c>
      <c r="AF226" s="4">
        <v>254124</v>
      </c>
      <c r="AG226" s="4">
        <v>338832</v>
      </c>
      <c r="AH226" s="4">
        <v>422840</v>
      </c>
      <c r="AI226" s="4">
        <v>506848</v>
      </c>
      <c r="AJ226" s="4">
        <v>590856</v>
      </c>
      <c r="AK226" s="4">
        <v>674864</v>
      </c>
      <c r="AL226" s="4">
        <v>758872</v>
      </c>
      <c r="AM226" s="4">
        <v>842879</v>
      </c>
      <c r="AN226" s="150">
        <v>88717</v>
      </c>
    </row>
    <row r="227" spans="1:40" x14ac:dyDescent="0.2">
      <c r="A227" s="1">
        <v>2023</v>
      </c>
      <c r="B227" s="2" t="s">
        <v>250</v>
      </c>
      <c r="C227" s="2" t="s">
        <v>250</v>
      </c>
      <c r="D227" s="1" t="s">
        <v>596</v>
      </c>
      <c r="E227" s="3">
        <v>5774887</v>
      </c>
      <c r="F227" s="3">
        <v>862</v>
      </c>
      <c r="G227" s="3">
        <v>21430</v>
      </c>
      <c r="H227" s="1">
        <v>0</v>
      </c>
      <c r="I227" s="3">
        <v>5774025</v>
      </c>
      <c r="J227" s="3">
        <v>5752595</v>
      </c>
      <c r="K227" s="3">
        <v>5752595</v>
      </c>
      <c r="L227" s="3">
        <v>191876</v>
      </c>
      <c r="M227" s="3">
        <v>573781</v>
      </c>
      <c r="N227" s="3">
        <v>62035</v>
      </c>
      <c r="O227" s="3">
        <v>65202</v>
      </c>
      <c r="P227" s="3">
        <v>322807</v>
      </c>
      <c r="Q227" s="3">
        <v>4558324</v>
      </c>
      <c r="R227" s="3">
        <v>4536894</v>
      </c>
      <c r="S227" s="3">
        <v>4536894</v>
      </c>
      <c r="T227" s="3">
        <v>577403</v>
      </c>
      <c r="U227" s="3">
        <v>577403</v>
      </c>
      <c r="V227" s="3">
        <v>577403</v>
      </c>
      <c r="W227" s="3">
        <v>577403</v>
      </c>
      <c r="X227" s="3">
        <v>573831</v>
      </c>
      <c r="Y227" s="3">
        <v>573831</v>
      </c>
      <c r="Z227" s="4">
        <v>573830</v>
      </c>
      <c r="AA227" s="4">
        <v>573830</v>
      </c>
      <c r="AB227" s="4">
        <v>573830</v>
      </c>
      <c r="AC227" s="4">
        <v>573831</v>
      </c>
      <c r="AD227" s="4">
        <v>577403</v>
      </c>
      <c r="AE227" s="4">
        <v>1154806</v>
      </c>
      <c r="AF227" s="4">
        <v>1732209</v>
      </c>
      <c r="AG227" s="4">
        <v>2309612</v>
      </c>
      <c r="AH227" s="4">
        <v>2883443</v>
      </c>
      <c r="AI227" s="4">
        <v>3457274</v>
      </c>
      <c r="AJ227" s="4">
        <v>4031104</v>
      </c>
      <c r="AK227" s="4">
        <v>4604934</v>
      </c>
      <c r="AL227" s="4">
        <v>5178764</v>
      </c>
      <c r="AM227" s="4">
        <v>5752595</v>
      </c>
      <c r="AN227" s="150">
        <v>432248</v>
      </c>
    </row>
    <row r="228" spans="1:40" x14ac:dyDescent="0.2">
      <c r="A228" s="1">
        <v>2023</v>
      </c>
      <c r="B228" s="2" t="s">
        <v>251</v>
      </c>
      <c r="C228" s="2" t="s">
        <v>251</v>
      </c>
      <c r="D228" s="1" t="s">
        <v>597</v>
      </c>
      <c r="E228" s="3">
        <v>16012266</v>
      </c>
      <c r="F228" s="3">
        <v>2620</v>
      </c>
      <c r="G228" s="3">
        <v>52462</v>
      </c>
      <c r="H228" s="1">
        <v>0</v>
      </c>
      <c r="I228" s="3">
        <v>16009646</v>
      </c>
      <c r="J228" s="3">
        <v>15957184</v>
      </c>
      <c r="K228" s="3">
        <v>15957184</v>
      </c>
      <c r="L228" s="3">
        <v>583007</v>
      </c>
      <c r="M228" s="3">
        <v>1375384</v>
      </c>
      <c r="N228" s="3">
        <v>178808</v>
      </c>
      <c r="O228" s="3">
        <v>160985</v>
      </c>
      <c r="P228" s="3">
        <v>790237</v>
      </c>
      <c r="Q228" s="3">
        <v>12921225</v>
      </c>
      <c r="R228" s="3">
        <v>12868763</v>
      </c>
      <c r="S228" s="3">
        <v>12868763</v>
      </c>
      <c r="T228" s="3">
        <v>1600965</v>
      </c>
      <c r="U228" s="3">
        <v>1600965</v>
      </c>
      <c r="V228" s="3">
        <v>1600965</v>
      </c>
      <c r="W228" s="3">
        <v>1600965</v>
      </c>
      <c r="X228" s="3">
        <v>1592221</v>
      </c>
      <c r="Y228" s="3">
        <v>1592221</v>
      </c>
      <c r="Z228" s="4">
        <v>1592221</v>
      </c>
      <c r="AA228" s="4">
        <v>1592221</v>
      </c>
      <c r="AB228" s="4">
        <v>1592221</v>
      </c>
      <c r="AC228" s="4">
        <v>1592219</v>
      </c>
      <c r="AD228" s="4">
        <v>1600965</v>
      </c>
      <c r="AE228" s="4">
        <v>3201930</v>
      </c>
      <c r="AF228" s="4">
        <v>4802895</v>
      </c>
      <c r="AG228" s="4">
        <v>6403860</v>
      </c>
      <c r="AH228" s="4">
        <v>7996081</v>
      </c>
      <c r="AI228" s="4">
        <v>9588302</v>
      </c>
      <c r="AJ228" s="4">
        <v>11180523</v>
      </c>
      <c r="AK228" s="4">
        <v>12772744</v>
      </c>
      <c r="AL228" s="4">
        <v>14364965</v>
      </c>
      <c r="AM228" s="4">
        <v>15957184</v>
      </c>
      <c r="AN228" s="150">
        <v>1067378</v>
      </c>
    </row>
    <row r="229" spans="1:40" x14ac:dyDescent="0.2">
      <c r="A229" s="1">
        <v>2023</v>
      </c>
      <c r="B229" s="2" t="s">
        <v>252</v>
      </c>
      <c r="C229" s="2" t="s">
        <v>252</v>
      </c>
      <c r="D229" s="1" t="s">
        <v>598</v>
      </c>
      <c r="E229" s="3">
        <v>41306100</v>
      </c>
      <c r="F229" s="3">
        <v>4594</v>
      </c>
      <c r="G229" s="3">
        <v>115722</v>
      </c>
      <c r="H229" s="3">
        <v>0</v>
      </c>
      <c r="I229" s="3">
        <v>41301506</v>
      </c>
      <c r="J229" s="3">
        <v>41185784</v>
      </c>
      <c r="K229" s="3">
        <v>41185784</v>
      </c>
      <c r="L229" s="3">
        <v>1022107</v>
      </c>
      <c r="M229" s="3">
        <v>2998544</v>
      </c>
      <c r="N229" s="3">
        <v>426185</v>
      </c>
      <c r="O229" s="3">
        <v>339954</v>
      </c>
      <c r="P229" s="3">
        <v>1743130</v>
      </c>
      <c r="Q229" s="3">
        <v>34771586</v>
      </c>
      <c r="R229" s="3">
        <v>34655864</v>
      </c>
      <c r="S229" s="3">
        <v>34655864</v>
      </c>
      <c r="T229" s="3">
        <v>4130151</v>
      </c>
      <c r="U229" s="3">
        <v>4130151</v>
      </c>
      <c r="V229" s="3">
        <v>4130151</v>
      </c>
      <c r="W229" s="3">
        <v>4130151</v>
      </c>
      <c r="X229" s="3">
        <v>4110863</v>
      </c>
      <c r="Y229" s="3">
        <v>4110863</v>
      </c>
      <c r="Z229" s="4">
        <v>4110864</v>
      </c>
      <c r="AA229" s="4">
        <v>4110864</v>
      </c>
      <c r="AB229" s="4">
        <v>4110864</v>
      </c>
      <c r="AC229" s="4">
        <v>4110862</v>
      </c>
      <c r="AD229" s="4">
        <v>4130151</v>
      </c>
      <c r="AE229" s="4">
        <v>8260302</v>
      </c>
      <c r="AF229" s="4">
        <v>12390453</v>
      </c>
      <c r="AG229" s="4">
        <v>16520604</v>
      </c>
      <c r="AH229" s="4">
        <v>20631467</v>
      </c>
      <c r="AI229" s="4">
        <v>24742330</v>
      </c>
      <c r="AJ229" s="4">
        <v>28853194</v>
      </c>
      <c r="AK229" s="4">
        <v>32964058</v>
      </c>
      <c r="AL229" s="4">
        <v>37074922</v>
      </c>
      <c r="AM229" s="4">
        <v>41185784</v>
      </c>
      <c r="AN229" s="150">
        <v>2358692</v>
      </c>
    </row>
    <row r="230" spans="1:40" x14ac:dyDescent="0.2">
      <c r="A230" s="1">
        <v>2023</v>
      </c>
      <c r="B230" s="2" t="s">
        <v>253</v>
      </c>
      <c r="C230" s="2" t="s">
        <v>253</v>
      </c>
      <c r="D230" s="1" t="s">
        <v>599</v>
      </c>
      <c r="E230" s="3">
        <v>3668348</v>
      </c>
      <c r="F230" s="3">
        <v>580</v>
      </c>
      <c r="G230" s="3">
        <v>16309</v>
      </c>
      <c r="H230" s="1">
        <v>0</v>
      </c>
      <c r="I230" s="3">
        <v>3667768</v>
      </c>
      <c r="J230" s="3">
        <v>3651459</v>
      </c>
      <c r="K230" s="3">
        <v>3651459</v>
      </c>
      <c r="L230" s="3">
        <v>129148</v>
      </c>
      <c r="M230" s="3">
        <v>427333</v>
      </c>
      <c r="N230" s="3">
        <v>45391</v>
      </c>
      <c r="O230" s="3">
        <v>42796</v>
      </c>
      <c r="P230" s="3">
        <v>245665</v>
      </c>
      <c r="Q230" s="3">
        <v>2777435</v>
      </c>
      <c r="R230" s="3">
        <v>2761126</v>
      </c>
      <c r="S230" s="3">
        <v>2761126</v>
      </c>
      <c r="T230" s="3">
        <v>366777</v>
      </c>
      <c r="U230" s="3">
        <v>366777</v>
      </c>
      <c r="V230" s="3">
        <v>366777</v>
      </c>
      <c r="W230" s="3">
        <v>366777</v>
      </c>
      <c r="X230" s="3">
        <v>364059</v>
      </c>
      <c r="Y230" s="3">
        <v>364059</v>
      </c>
      <c r="Z230" s="4">
        <v>364058</v>
      </c>
      <c r="AA230" s="4">
        <v>364058</v>
      </c>
      <c r="AB230" s="4">
        <v>364058</v>
      </c>
      <c r="AC230" s="4">
        <v>364059</v>
      </c>
      <c r="AD230" s="4">
        <v>366777</v>
      </c>
      <c r="AE230" s="4">
        <v>733554</v>
      </c>
      <c r="AF230" s="4">
        <v>1100331</v>
      </c>
      <c r="AG230" s="4">
        <v>1467108</v>
      </c>
      <c r="AH230" s="4">
        <v>1831167</v>
      </c>
      <c r="AI230" s="4">
        <v>2195226</v>
      </c>
      <c r="AJ230" s="4">
        <v>2559284</v>
      </c>
      <c r="AK230" s="4">
        <v>2923342</v>
      </c>
      <c r="AL230" s="4">
        <v>3287400</v>
      </c>
      <c r="AM230" s="4">
        <v>3651459</v>
      </c>
      <c r="AN230" s="150">
        <v>321231</v>
      </c>
    </row>
    <row r="231" spans="1:40" x14ac:dyDescent="0.2">
      <c r="A231" s="1">
        <v>2023</v>
      </c>
      <c r="B231" s="2" t="s">
        <v>254</v>
      </c>
      <c r="C231" s="2" t="s">
        <v>254</v>
      </c>
      <c r="D231" s="1" t="s">
        <v>600</v>
      </c>
      <c r="E231" s="3">
        <v>941154</v>
      </c>
      <c r="F231" s="3">
        <v>149</v>
      </c>
      <c r="G231" s="3">
        <v>4347</v>
      </c>
      <c r="H231" s="3">
        <v>0</v>
      </c>
      <c r="I231" s="3">
        <v>941005</v>
      </c>
      <c r="J231" s="3">
        <v>936658</v>
      </c>
      <c r="K231" s="3">
        <v>936658</v>
      </c>
      <c r="L231" s="3">
        <v>33210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678916</v>
      </c>
      <c r="R231" s="3">
        <v>674569</v>
      </c>
      <c r="S231" s="3">
        <v>674569</v>
      </c>
      <c r="T231" s="3">
        <v>94101</v>
      </c>
      <c r="U231" s="3">
        <v>94101</v>
      </c>
      <c r="V231" s="3">
        <v>94101</v>
      </c>
      <c r="W231" s="3">
        <v>94101</v>
      </c>
      <c r="X231" s="3">
        <v>93376</v>
      </c>
      <c r="Y231" s="3">
        <v>93376</v>
      </c>
      <c r="Z231" s="4">
        <v>93376</v>
      </c>
      <c r="AA231" s="4">
        <v>93376</v>
      </c>
      <c r="AB231" s="4">
        <v>93376</v>
      </c>
      <c r="AC231" s="4">
        <v>93374</v>
      </c>
      <c r="AD231" s="4">
        <v>94101</v>
      </c>
      <c r="AE231" s="4">
        <v>188202</v>
      </c>
      <c r="AF231" s="4">
        <v>282303</v>
      </c>
      <c r="AG231" s="4">
        <v>376404</v>
      </c>
      <c r="AH231" s="4">
        <v>469780</v>
      </c>
      <c r="AI231" s="4">
        <v>563156</v>
      </c>
      <c r="AJ231" s="4">
        <v>656532</v>
      </c>
      <c r="AK231" s="4">
        <v>749908</v>
      </c>
      <c r="AL231" s="4">
        <v>843284</v>
      </c>
      <c r="AM231" s="4">
        <v>936658</v>
      </c>
      <c r="AN231" s="150">
        <v>93465</v>
      </c>
    </row>
    <row r="232" spans="1:40" x14ac:dyDescent="0.2">
      <c r="A232" s="1">
        <v>2023</v>
      </c>
      <c r="B232" s="2" t="s">
        <v>255</v>
      </c>
      <c r="C232" s="2" t="s">
        <v>699</v>
      </c>
      <c r="D232" s="1" t="s">
        <v>601</v>
      </c>
      <c r="E232" s="3">
        <v>1768926</v>
      </c>
      <c r="F232" s="3">
        <v>448</v>
      </c>
      <c r="G232" s="3">
        <v>12991</v>
      </c>
      <c r="H232" s="1">
        <v>0</v>
      </c>
      <c r="I232" s="3">
        <v>1768478</v>
      </c>
      <c r="J232" s="3">
        <v>1755487</v>
      </c>
      <c r="K232" s="3">
        <v>1755487</v>
      </c>
      <c r="L232" s="3">
        <v>99628</v>
      </c>
      <c r="M232" s="3">
        <v>372305</v>
      </c>
      <c r="N232" s="3">
        <v>37873</v>
      </c>
      <c r="O232" s="3">
        <v>43697</v>
      </c>
      <c r="P232" s="3">
        <v>203892</v>
      </c>
      <c r="Q232" s="3">
        <v>1011083</v>
      </c>
      <c r="R232" s="3">
        <v>998092</v>
      </c>
      <c r="S232" s="3">
        <v>998092</v>
      </c>
      <c r="T232" s="3">
        <v>176848</v>
      </c>
      <c r="U232" s="3">
        <v>176848</v>
      </c>
      <c r="V232" s="3">
        <v>176848</v>
      </c>
      <c r="W232" s="3">
        <v>176848</v>
      </c>
      <c r="X232" s="3">
        <v>174683</v>
      </c>
      <c r="Y232" s="3">
        <v>174683</v>
      </c>
      <c r="Z232" s="4">
        <v>174682</v>
      </c>
      <c r="AA232" s="4">
        <v>174682</v>
      </c>
      <c r="AB232" s="4">
        <v>174682</v>
      </c>
      <c r="AC232" s="4">
        <v>174683</v>
      </c>
      <c r="AD232" s="4">
        <v>176848</v>
      </c>
      <c r="AE232" s="4">
        <v>353696</v>
      </c>
      <c r="AF232" s="4">
        <v>530544</v>
      </c>
      <c r="AG232" s="4">
        <v>707392</v>
      </c>
      <c r="AH232" s="4">
        <v>882075</v>
      </c>
      <c r="AI232" s="4">
        <v>1056758</v>
      </c>
      <c r="AJ232" s="4">
        <v>1231440</v>
      </c>
      <c r="AK232" s="4">
        <v>1406122</v>
      </c>
      <c r="AL232" s="4">
        <v>1580804</v>
      </c>
      <c r="AM232" s="4">
        <v>1755487</v>
      </c>
      <c r="AN232" s="150">
        <v>285176</v>
      </c>
    </row>
    <row r="233" spans="1:40" x14ac:dyDescent="0.2">
      <c r="A233" s="1">
        <v>2023</v>
      </c>
      <c r="B233" s="2" t="s">
        <v>256</v>
      </c>
      <c r="C233" s="2" t="s">
        <v>256</v>
      </c>
      <c r="D233" s="1" t="s">
        <v>602</v>
      </c>
      <c r="E233" s="3">
        <v>3396872</v>
      </c>
      <c r="F233" s="3">
        <v>580</v>
      </c>
      <c r="G233" s="3">
        <v>13665</v>
      </c>
      <c r="H233" s="1">
        <v>0</v>
      </c>
      <c r="I233" s="3">
        <v>3396292</v>
      </c>
      <c r="J233" s="3">
        <v>3382627</v>
      </c>
      <c r="K233" s="3">
        <v>3382627</v>
      </c>
      <c r="L233" s="3">
        <v>129148</v>
      </c>
      <c r="M233" s="3">
        <v>364788</v>
      </c>
      <c r="N233" s="3">
        <v>42474</v>
      </c>
      <c r="O233" s="3">
        <v>41020</v>
      </c>
      <c r="P233" s="3">
        <v>206056</v>
      </c>
      <c r="Q233" s="3">
        <v>2612806</v>
      </c>
      <c r="R233" s="3">
        <v>2599141</v>
      </c>
      <c r="S233" s="3">
        <v>2599141</v>
      </c>
      <c r="T233" s="3">
        <v>339629</v>
      </c>
      <c r="U233" s="3">
        <v>339629</v>
      </c>
      <c r="V233" s="3">
        <v>339629</v>
      </c>
      <c r="W233" s="3">
        <v>339629</v>
      </c>
      <c r="X233" s="3">
        <v>337352</v>
      </c>
      <c r="Y233" s="3">
        <v>337352</v>
      </c>
      <c r="Z233" s="4">
        <v>337352</v>
      </c>
      <c r="AA233" s="4">
        <v>337352</v>
      </c>
      <c r="AB233" s="4">
        <v>337352</v>
      </c>
      <c r="AC233" s="4">
        <v>337351</v>
      </c>
      <c r="AD233" s="4">
        <v>339629</v>
      </c>
      <c r="AE233" s="4">
        <v>679258</v>
      </c>
      <c r="AF233" s="4">
        <v>1018887</v>
      </c>
      <c r="AG233" s="4">
        <v>1358516</v>
      </c>
      <c r="AH233" s="4">
        <v>1695868</v>
      </c>
      <c r="AI233" s="4">
        <v>2033220</v>
      </c>
      <c r="AJ233" s="4">
        <v>2370572</v>
      </c>
      <c r="AK233" s="4">
        <v>2707924</v>
      </c>
      <c r="AL233" s="4">
        <v>3045276</v>
      </c>
      <c r="AM233" s="4">
        <v>3382627</v>
      </c>
      <c r="AN233" s="150">
        <v>270916</v>
      </c>
    </row>
    <row r="234" spans="1:40" x14ac:dyDescent="0.2">
      <c r="A234" s="1">
        <v>2023</v>
      </c>
      <c r="B234" s="2" t="s">
        <v>257</v>
      </c>
      <c r="C234" s="2" t="s">
        <v>257</v>
      </c>
      <c r="D234" s="1" t="s">
        <v>603</v>
      </c>
      <c r="E234" s="3">
        <v>13291403</v>
      </c>
      <c r="F234" s="3">
        <v>2057</v>
      </c>
      <c r="G234" s="3">
        <v>51645</v>
      </c>
      <c r="H234" s="1">
        <v>0</v>
      </c>
      <c r="I234" s="3">
        <v>13289346</v>
      </c>
      <c r="J234" s="3">
        <v>13237701</v>
      </c>
      <c r="K234" s="3">
        <v>13237701</v>
      </c>
      <c r="L234" s="3">
        <v>457549</v>
      </c>
      <c r="M234" s="3">
        <v>1319935</v>
      </c>
      <c r="N234" s="3">
        <v>153607</v>
      </c>
      <c r="O234" s="3">
        <v>142562</v>
      </c>
      <c r="P234" s="3">
        <v>777929</v>
      </c>
      <c r="Q234" s="3">
        <v>10437764</v>
      </c>
      <c r="R234" s="3">
        <v>10386119</v>
      </c>
      <c r="S234" s="3">
        <v>10386119</v>
      </c>
      <c r="T234" s="3">
        <v>1328935</v>
      </c>
      <c r="U234" s="3">
        <v>1328935</v>
      </c>
      <c r="V234" s="3">
        <v>1328935</v>
      </c>
      <c r="W234" s="3">
        <v>1328935</v>
      </c>
      <c r="X234" s="3">
        <v>1320327</v>
      </c>
      <c r="Y234" s="3">
        <v>1320327</v>
      </c>
      <c r="Z234" s="4">
        <v>1320327</v>
      </c>
      <c r="AA234" s="4">
        <v>1320327</v>
      </c>
      <c r="AB234" s="4">
        <v>1320327</v>
      </c>
      <c r="AC234" s="4">
        <v>1320326</v>
      </c>
      <c r="AD234" s="4">
        <v>1328935</v>
      </c>
      <c r="AE234" s="4">
        <v>2657870</v>
      </c>
      <c r="AF234" s="4">
        <v>3986805</v>
      </c>
      <c r="AG234" s="4">
        <v>5315740</v>
      </c>
      <c r="AH234" s="4">
        <v>6636067</v>
      </c>
      <c r="AI234" s="4">
        <v>7956394</v>
      </c>
      <c r="AJ234" s="4">
        <v>9276721</v>
      </c>
      <c r="AK234" s="4">
        <v>10597048</v>
      </c>
      <c r="AL234" s="4">
        <v>11917375</v>
      </c>
      <c r="AM234" s="4">
        <v>13237701</v>
      </c>
      <c r="AN234" s="150">
        <v>1074375</v>
      </c>
    </row>
    <row r="235" spans="1:40" x14ac:dyDescent="0.2">
      <c r="A235" s="1">
        <v>2023</v>
      </c>
      <c r="B235" s="2" t="s">
        <v>258</v>
      </c>
      <c r="C235" s="2" t="s">
        <v>258</v>
      </c>
      <c r="D235" s="1" t="s">
        <v>604</v>
      </c>
      <c r="E235" s="3">
        <v>15184994</v>
      </c>
      <c r="F235" s="3">
        <v>1609</v>
      </c>
      <c r="G235" s="3">
        <v>43490</v>
      </c>
      <c r="H235" s="1">
        <v>0</v>
      </c>
      <c r="I235" s="3">
        <v>15183385</v>
      </c>
      <c r="J235" s="3">
        <v>15139895</v>
      </c>
      <c r="K235" s="3">
        <v>15139895</v>
      </c>
      <c r="L235" s="3">
        <v>357922</v>
      </c>
      <c r="M235" s="3">
        <v>1185599</v>
      </c>
      <c r="N235" s="3">
        <v>173167</v>
      </c>
      <c r="O235" s="3">
        <v>129445</v>
      </c>
      <c r="P235" s="3">
        <v>655096</v>
      </c>
      <c r="Q235" s="3">
        <v>12682156</v>
      </c>
      <c r="R235" s="3">
        <v>12638666</v>
      </c>
      <c r="S235" s="3">
        <v>12638666</v>
      </c>
      <c r="T235" s="3">
        <v>1518339</v>
      </c>
      <c r="U235" s="3">
        <v>1518339</v>
      </c>
      <c r="V235" s="3">
        <v>1518339</v>
      </c>
      <c r="W235" s="3">
        <v>1518339</v>
      </c>
      <c r="X235" s="3">
        <v>1511090</v>
      </c>
      <c r="Y235" s="3">
        <v>1511090</v>
      </c>
      <c r="Z235" s="4">
        <v>1511090</v>
      </c>
      <c r="AA235" s="4">
        <v>1511090</v>
      </c>
      <c r="AB235" s="4">
        <v>1511090</v>
      </c>
      <c r="AC235" s="4">
        <v>1511089</v>
      </c>
      <c r="AD235" s="4">
        <v>1518339</v>
      </c>
      <c r="AE235" s="4">
        <v>3036678</v>
      </c>
      <c r="AF235" s="4">
        <v>4555017</v>
      </c>
      <c r="AG235" s="4">
        <v>6073356</v>
      </c>
      <c r="AH235" s="4">
        <v>7584446</v>
      </c>
      <c r="AI235" s="4">
        <v>9095536</v>
      </c>
      <c r="AJ235" s="4">
        <v>10606626</v>
      </c>
      <c r="AK235" s="4">
        <v>12117716</v>
      </c>
      <c r="AL235" s="4">
        <v>13628806</v>
      </c>
      <c r="AM235" s="4">
        <v>15139895</v>
      </c>
      <c r="AN235" s="150">
        <v>874459</v>
      </c>
    </row>
    <row r="236" spans="1:40" x14ac:dyDescent="0.2">
      <c r="A236" s="1">
        <v>2023</v>
      </c>
      <c r="B236" s="2" t="s">
        <v>259</v>
      </c>
      <c r="C236" s="2" t="s">
        <v>259</v>
      </c>
      <c r="D236" s="1" t="s">
        <v>605</v>
      </c>
      <c r="E236" s="3">
        <v>34631794</v>
      </c>
      <c r="F236" s="3">
        <v>3068</v>
      </c>
      <c r="G236" s="3">
        <v>128830</v>
      </c>
      <c r="H236" s="1">
        <v>0</v>
      </c>
      <c r="I236" s="3">
        <v>34628726</v>
      </c>
      <c r="J236" s="3">
        <v>34499896</v>
      </c>
      <c r="K236" s="3">
        <v>34499896</v>
      </c>
      <c r="L236" s="3">
        <v>682635</v>
      </c>
      <c r="M236" s="3">
        <v>3232954</v>
      </c>
      <c r="N236" s="3">
        <v>345049</v>
      </c>
      <c r="O236" s="3">
        <v>372439</v>
      </c>
      <c r="P236" s="3">
        <v>1940564</v>
      </c>
      <c r="Q236" s="3">
        <v>28055085</v>
      </c>
      <c r="R236" s="3">
        <v>27926255</v>
      </c>
      <c r="S236" s="3">
        <v>27926255</v>
      </c>
      <c r="T236" s="3">
        <v>3462873</v>
      </c>
      <c r="U236" s="3">
        <v>3462873</v>
      </c>
      <c r="V236" s="3">
        <v>3462873</v>
      </c>
      <c r="W236" s="3">
        <v>3462873</v>
      </c>
      <c r="X236" s="3">
        <v>3441401</v>
      </c>
      <c r="Y236" s="3">
        <v>3441401</v>
      </c>
      <c r="Z236" s="4">
        <v>3441401</v>
      </c>
      <c r="AA236" s="4">
        <v>3441401</v>
      </c>
      <c r="AB236" s="4">
        <v>3441401</v>
      </c>
      <c r="AC236" s="4">
        <v>3441399</v>
      </c>
      <c r="AD236" s="4">
        <v>3462873</v>
      </c>
      <c r="AE236" s="4">
        <v>6925746</v>
      </c>
      <c r="AF236" s="4">
        <v>10388619</v>
      </c>
      <c r="AG236" s="4">
        <v>13851492</v>
      </c>
      <c r="AH236" s="4">
        <v>17292893</v>
      </c>
      <c r="AI236" s="4">
        <v>20734294</v>
      </c>
      <c r="AJ236" s="4">
        <v>24175695</v>
      </c>
      <c r="AK236" s="4">
        <v>27617096</v>
      </c>
      <c r="AL236" s="4">
        <v>31058497</v>
      </c>
      <c r="AM236" s="4">
        <v>34499896</v>
      </c>
      <c r="AN236" s="150">
        <v>2644450</v>
      </c>
    </row>
    <row r="237" spans="1:40" x14ac:dyDescent="0.2">
      <c r="A237" s="1">
        <v>2023</v>
      </c>
      <c r="B237" s="2" t="s">
        <v>260</v>
      </c>
      <c r="C237" s="2" t="s">
        <v>260</v>
      </c>
      <c r="D237" s="1" t="s">
        <v>606</v>
      </c>
      <c r="E237" s="3">
        <v>5101691</v>
      </c>
      <c r="F237" s="3">
        <v>813</v>
      </c>
      <c r="G237" s="3">
        <v>16043</v>
      </c>
      <c r="H237" s="1">
        <v>0</v>
      </c>
      <c r="I237" s="3">
        <v>5100878</v>
      </c>
      <c r="J237" s="3">
        <v>5084835</v>
      </c>
      <c r="K237" s="3">
        <v>5084835</v>
      </c>
      <c r="L237" s="3">
        <v>180806</v>
      </c>
      <c r="M237" s="3">
        <v>428798</v>
      </c>
      <c r="N237" s="3">
        <v>56308</v>
      </c>
      <c r="O237" s="3">
        <v>45407</v>
      </c>
      <c r="P237" s="3">
        <v>241658</v>
      </c>
      <c r="Q237" s="3">
        <v>4147901</v>
      </c>
      <c r="R237" s="3">
        <v>4131858</v>
      </c>
      <c r="S237" s="3">
        <v>4131858</v>
      </c>
      <c r="T237" s="3">
        <v>510088</v>
      </c>
      <c r="U237" s="3">
        <v>510088</v>
      </c>
      <c r="V237" s="3">
        <v>510088</v>
      </c>
      <c r="W237" s="3">
        <v>510088</v>
      </c>
      <c r="X237" s="3">
        <v>507414</v>
      </c>
      <c r="Y237" s="3">
        <v>507414</v>
      </c>
      <c r="Z237" s="4">
        <v>507414</v>
      </c>
      <c r="AA237" s="4">
        <v>507414</v>
      </c>
      <c r="AB237" s="4">
        <v>507414</v>
      </c>
      <c r="AC237" s="4">
        <v>507413</v>
      </c>
      <c r="AD237" s="4">
        <v>510088</v>
      </c>
      <c r="AE237" s="4">
        <v>1020176</v>
      </c>
      <c r="AF237" s="4">
        <v>1530264</v>
      </c>
      <c r="AG237" s="4">
        <v>2040352</v>
      </c>
      <c r="AH237" s="4">
        <v>2547766</v>
      </c>
      <c r="AI237" s="4">
        <v>3055180</v>
      </c>
      <c r="AJ237" s="4">
        <v>3562594</v>
      </c>
      <c r="AK237" s="4">
        <v>4070008</v>
      </c>
      <c r="AL237" s="4">
        <v>4577422</v>
      </c>
      <c r="AM237" s="4">
        <v>5084835</v>
      </c>
      <c r="AN237" s="150">
        <v>316517</v>
      </c>
    </row>
    <row r="238" spans="1:40" x14ac:dyDescent="0.2">
      <c r="A238" s="1">
        <v>2023</v>
      </c>
      <c r="B238" s="2" t="s">
        <v>261</v>
      </c>
      <c r="C238" s="2" t="s">
        <v>261</v>
      </c>
      <c r="D238" s="1" t="s">
        <v>607</v>
      </c>
      <c r="E238" s="3">
        <v>2606901</v>
      </c>
      <c r="F238" s="3">
        <v>647</v>
      </c>
      <c r="G238" s="3">
        <v>15953</v>
      </c>
      <c r="H238" s="1">
        <v>0</v>
      </c>
      <c r="I238" s="3">
        <v>2606254</v>
      </c>
      <c r="J238" s="3">
        <v>2590301</v>
      </c>
      <c r="K238" s="3">
        <v>2590301</v>
      </c>
      <c r="L238" s="3">
        <v>143907</v>
      </c>
      <c r="M238" s="3">
        <v>495567</v>
      </c>
      <c r="N238" s="3">
        <v>46716</v>
      </c>
      <c r="O238" s="3">
        <v>61599</v>
      </c>
      <c r="P238" s="3">
        <v>240298</v>
      </c>
      <c r="Q238" s="3">
        <v>1618167</v>
      </c>
      <c r="R238" s="3">
        <v>1602214</v>
      </c>
      <c r="S238" s="3">
        <v>1602214</v>
      </c>
      <c r="T238" s="3">
        <v>260625</v>
      </c>
      <c r="U238" s="3">
        <v>260625</v>
      </c>
      <c r="V238" s="3">
        <v>260625</v>
      </c>
      <c r="W238" s="3">
        <v>260625</v>
      </c>
      <c r="X238" s="3">
        <v>257967</v>
      </c>
      <c r="Y238" s="3">
        <v>257967</v>
      </c>
      <c r="Z238" s="4">
        <v>257967</v>
      </c>
      <c r="AA238" s="4">
        <v>257967</v>
      </c>
      <c r="AB238" s="4">
        <v>257967</v>
      </c>
      <c r="AC238" s="4">
        <v>257966</v>
      </c>
      <c r="AD238" s="4">
        <v>260625</v>
      </c>
      <c r="AE238" s="4">
        <v>521250</v>
      </c>
      <c r="AF238" s="4">
        <v>781875</v>
      </c>
      <c r="AG238" s="4">
        <v>1042500</v>
      </c>
      <c r="AH238" s="4">
        <v>1300467</v>
      </c>
      <c r="AI238" s="4">
        <v>1558434</v>
      </c>
      <c r="AJ238" s="4">
        <v>1816401</v>
      </c>
      <c r="AK238" s="4">
        <v>2074368</v>
      </c>
      <c r="AL238" s="4">
        <v>2332335</v>
      </c>
      <c r="AM238" s="4">
        <v>2590301</v>
      </c>
      <c r="AN238" s="150">
        <v>337770</v>
      </c>
    </row>
    <row r="239" spans="1:40" x14ac:dyDescent="0.2">
      <c r="A239" s="1">
        <v>2023</v>
      </c>
      <c r="B239" s="2" t="s">
        <v>262</v>
      </c>
      <c r="C239" s="2" t="s">
        <v>262</v>
      </c>
      <c r="D239" s="1" t="s">
        <v>608</v>
      </c>
      <c r="E239" s="3">
        <v>5390228</v>
      </c>
      <c r="F239" s="3">
        <v>398</v>
      </c>
      <c r="G239" s="3">
        <v>16048</v>
      </c>
      <c r="H239" s="1">
        <v>0</v>
      </c>
      <c r="I239" s="3">
        <v>5389830</v>
      </c>
      <c r="J239" s="3">
        <v>5373782</v>
      </c>
      <c r="K239" s="3">
        <v>5373782</v>
      </c>
      <c r="L239" s="3">
        <v>88558</v>
      </c>
      <c r="M239" s="3">
        <v>465130</v>
      </c>
      <c r="N239" s="3">
        <v>70429</v>
      </c>
      <c r="O239" s="3">
        <v>46237</v>
      </c>
      <c r="P239" s="3">
        <v>254053</v>
      </c>
      <c r="Q239" s="3">
        <v>4465423</v>
      </c>
      <c r="R239" s="3">
        <v>4449375</v>
      </c>
      <c r="S239" s="3">
        <v>4449375</v>
      </c>
      <c r="T239" s="3">
        <v>538983</v>
      </c>
      <c r="U239" s="3">
        <v>538983</v>
      </c>
      <c r="V239" s="3">
        <v>538983</v>
      </c>
      <c r="W239" s="3">
        <v>538983</v>
      </c>
      <c r="X239" s="3">
        <v>536308</v>
      </c>
      <c r="Y239" s="3">
        <v>536308</v>
      </c>
      <c r="Z239" s="4">
        <v>536309</v>
      </c>
      <c r="AA239" s="4">
        <v>536309</v>
      </c>
      <c r="AB239" s="4">
        <v>536309</v>
      </c>
      <c r="AC239" s="4">
        <v>536307</v>
      </c>
      <c r="AD239" s="4">
        <v>538983</v>
      </c>
      <c r="AE239" s="4">
        <v>1077966</v>
      </c>
      <c r="AF239" s="4">
        <v>1616949</v>
      </c>
      <c r="AG239" s="4">
        <v>2155932</v>
      </c>
      <c r="AH239" s="4">
        <v>2692240</v>
      </c>
      <c r="AI239" s="4">
        <v>3228548</v>
      </c>
      <c r="AJ239" s="4">
        <v>3764857</v>
      </c>
      <c r="AK239" s="4">
        <v>4301166</v>
      </c>
      <c r="AL239" s="4">
        <v>4837475</v>
      </c>
      <c r="AM239" s="4">
        <v>5373782</v>
      </c>
      <c r="AN239" s="150">
        <v>359110</v>
      </c>
    </row>
    <row r="240" spans="1:40" x14ac:dyDescent="0.2">
      <c r="A240" s="1">
        <v>2023</v>
      </c>
      <c r="B240" s="2" t="s">
        <v>263</v>
      </c>
      <c r="C240" s="2" t="s">
        <v>700</v>
      </c>
      <c r="D240" s="1" t="s">
        <v>6</v>
      </c>
      <c r="E240" s="3">
        <v>7018140</v>
      </c>
      <c r="F240" s="3">
        <v>945</v>
      </c>
      <c r="G240" s="3">
        <v>24297</v>
      </c>
      <c r="H240" s="1">
        <v>0</v>
      </c>
      <c r="I240" s="3">
        <v>7017195</v>
      </c>
      <c r="J240" s="3">
        <v>6992898</v>
      </c>
      <c r="K240" s="3">
        <v>6992898</v>
      </c>
      <c r="L240" s="3">
        <v>210326</v>
      </c>
      <c r="M240" s="3">
        <v>635446</v>
      </c>
      <c r="N240" s="3">
        <v>70795</v>
      </c>
      <c r="O240" s="3">
        <v>68688</v>
      </c>
      <c r="P240" s="3">
        <v>365994</v>
      </c>
      <c r="Q240" s="3">
        <v>5665946</v>
      </c>
      <c r="R240" s="3">
        <v>5641649</v>
      </c>
      <c r="S240" s="3">
        <v>5641649</v>
      </c>
      <c r="T240" s="3">
        <v>701720</v>
      </c>
      <c r="U240" s="3">
        <v>701720</v>
      </c>
      <c r="V240" s="3">
        <v>701720</v>
      </c>
      <c r="W240" s="3">
        <v>701720</v>
      </c>
      <c r="X240" s="3">
        <v>697670</v>
      </c>
      <c r="Y240" s="3">
        <v>697670</v>
      </c>
      <c r="Z240" s="4">
        <v>697670</v>
      </c>
      <c r="AA240" s="4">
        <v>697670</v>
      </c>
      <c r="AB240" s="4">
        <v>697670</v>
      </c>
      <c r="AC240" s="4">
        <v>697668</v>
      </c>
      <c r="AD240" s="4">
        <v>701720</v>
      </c>
      <c r="AE240" s="4">
        <v>1403440</v>
      </c>
      <c r="AF240" s="4">
        <v>2105160</v>
      </c>
      <c r="AG240" s="4">
        <v>2806880</v>
      </c>
      <c r="AH240" s="4">
        <v>3504550</v>
      </c>
      <c r="AI240" s="4">
        <v>4202220</v>
      </c>
      <c r="AJ240" s="4">
        <v>4899890</v>
      </c>
      <c r="AK240" s="4">
        <v>5597560</v>
      </c>
      <c r="AL240" s="4">
        <v>6295230</v>
      </c>
      <c r="AM240" s="4">
        <v>6992898</v>
      </c>
      <c r="AN240" s="150">
        <v>476710</v>
      </c>
    </row>
    <row r="241" spans="1:40" x14ac:dyDescent="0.2">
      <c r="A241" s="1">
        <v>2023</v>
      </c>
      <c r="B241" s="2" t="s">
        <v>264</v>
      </c>
      <c r="C241" s="2" t="s">
        <v>701</v>
      </c>
      <c r="D241" s="1" t="s">
        <v>609</v>
      </c>
      <c r="E241" s="3">
        <v>2623299</v>
      </c>
      <c r="F241" s="3">
        <v>431</v>
      </c>
      <c r="G241" s="3">
        <v>13625</v>
      </c>
      <c r="H241" s="1">
        <v>0</v>
      </c>
      <c r="I241" s="3">
        <v>2622868</v>
      </c>
      <c r="J241" s="3">
        <v>2609243</v>
      </c>
      <c r="K241" s="3">
        <v>2609243</v>
      </c>
      <c r="L241" s="3">
        <v>92324</v>
      </c>
      <c r="M241" s="3">
        <v>399696</v>
      </c>
      <c r="N241" s="3">
        <v>42802</v>
      </c>
      <c r="O241" s="3">
        <v>47792</v>
      </c>
      <c r="P241" s="3">
        <v>205234</v>
      </c>
      <c r="Q241" s="3">
        <v>1835020</v>
      </c>
      <c r="R241" s="3">
        <v>1821395</v>
      </c>
      <c r="S241" s="3">
        <v>1821395</v>
      </c>
      <c r="T241" s="3">
        <v>262287</v>
      </c>
      <c r="U241" s="3">
        <v>262287</v>
      </c>
      <c r="V241" s="3">
        <v>262287</v>
      </c>
      <c r="W241" s="3">
        <v>262287</v>
      </c>
      <c r="X241" s="3">
        <v>260016</v>
      </c>
      <c r="Y241" s="3">
        <v>260016</v>
      </c>
      <c r="Z241" s="4">
        <v>260016</v>
      </c>
      <c r="AA241" s="4">
        <v>260016</v>
      </c>
      <c r="AB241" s="4">
        <v>260016</v>
      </c>
      <c r="AC241" s="4">
        <v>260015</v>
      </c>
      <c r="AD241" s="4">
        <v>262287</v>
      </c>
      <c r="AE241" s="4">
        <v>524574</v>
      </c>
      <c r="AF241" s="4">
        <v>786861</v>
      </c>
      <c r="AG241" s="4">
        <v>1049148</v>
      </c>
      <c r="AH241" s="4">
        <v>1309164</v>
      </c>
      <c r="AI241" s="4">
        <v>1569180</v>
      </c>
      <c r="AJ241" s="4">
        <v>1829196</v>
      </c>
      <c r="AK241" s="4">
        <v>2089212</v>
      </c>
      <c r="AL241" s="4">
        <v>2349228</v>
      </c>
      <c r="AM241" s="4">
        <v>2609243</v>
      </c>
      <c r="AN241" s="150">
        <v>276008</v>
      </c>
    </row>
    <row r="242" spans="1:40" x14ac:dyDescent="0.2">
      <c r="A242" s="1">
        <v>2023</v>
      </c>
      <c r="B242" s="2" t="s">
        <v>265</v>
      </c>
      <c r="C242" s="2" t="s">
        <v>265</v>
      </c>
      <c r="D242" s="1" t="s">
        <v>610</v>
      </c>
      <c r="E242" s="3">
        <v>7604443</v>
      </c>
      <c r="F242" s="3">
        <v>1111</v>
      </c>
      <c r="G242" s="3">
        <v>25490</v>
      </c>
      <c r="H242" s="3">
        <v>0</v>
      </c>
      <c r="I242" s="3">
        <v>7603332</v>
      </c>
      <c r="J242" s="3">
        <v>7577842</v>
      </c>
      <c r="K242" s="3">
        <v>7577842</v>
      </c>
      <c r="L242" s="3">
        <v>247225</v>
      </c>
      <c r="M242" s="3">
        <v>696775</v>
      </c>
      <c r="N242" s="3">
        <v>92748</v>
      </c>
      <c r="O242" s="3">
        <v>77274</v>
      </c>
      <c r="P242" s="3">
        <v>383955</v>
      </c>
      <c r="Q242" s="3">
        <v>6105355</v>
      </c>
      <c r="R242" s="3">
        <v>6079865</v>
      </c>
      <c r="S242" s="3">
        <v>6079865</v>
      </c>
      <c r="T242" s="3">
        <v>760333</v>
      </c>
      <c r="U242" s="3">
        <v>760333</v>
      </c>
      <c r="V242" s="3">
        <v>760333</v>
      </c>
      <c r="W242" s="3">
        <v>760333</v>
      </c>
      <c r="X242" s="3">
        <v>756085</v>
      </c>
      <c r="Y242" s="3">
        <v>756085</v>
      </c>
      <c r="Z242" s="4">
        <v>756085</v>
      </c>
      <c r="AA242" s="4">
        <v>756085</v>
      </c>
      <c r="AB242" s="4">
        <v>756085</v>
      </c>
      <c r="AC242" s="4">
        <v>756085</v>
      </c>
      <c r="AD242" s="4">
        <v>760333</v>
      </c>
      <c r="AE242" s="4">
        <v>1520666</v>
      </c>
      <c r="AF242" s="4">
        <v>2280999</v>
      </c>
      <c r="AG242" s="4">
        <v>3041332</v>
      </c>
      <c r="AH242" s="4">
        <v>3797417</v>
      </c>
      <c r="AI242" s="4">
        <v>4553502</v>
      </c>
      <c r="AJ242" s="4">
        <v>5309587</v>
      </c>
      <c r="AK242" s="4">
        <v>6065672</v>
      </c>
      <c r="AL242" s="4">
        <v>6821757</v>
      </c>
      <c r="AM242" s="4">
        <v>7577842</v>
      </c>
      <c r="AN242" s="150">
        <v>510133</v>
      </c>
    </row>
    <row r="243" spans="1:40" x14ac:dyDescent="0.2">
      <c r="A243" s="1">
        <v>2023</v>
      </c>
      <c r="B243" s="2" t="s">
        <v>266</v>
      </c>
      <c r="C243" s="2" t="s">
        <v>266</v>
      </c>
      <c r="D243" s="1" t="s">
        <v>611</v>
      </c>
      <c r="E243" s="3">
        <v>1406842</v>
      </c>
      <c r="F243" s="1">
        <v>216</v>
      </c>
      <c r="G243" s="3">
        <v>7839</v>
      </c>
      <c r="H243" s="1">
        <v>0</v>
      </c>
      <c r="I243" s="3">
        <v>1406626</v>
      </c>
      <c r="J243" s="3">
        <v>1398787</v>
      </c>
      <c r="K243" s="3">
        <v>1398787</v>
      </c>
      <c r="L243" s="3">
        <v>47969</v>
      </c>
      <c r="M243" s="3">
        <v>221268</v>
      </c>
      <c r="N243" s="3">
        <v>21467</v>
      </c>
      <c r="O243" s="3">
        <v>22671</v>
      </c>
      <c r="P243" s="3">
        <v>118074</v>
      </c>
      <c r="Q243" s="3">
        <v>975177</v>
      </c>
      <c r="R243" s="3">
        <v>967338</v>
      </c>
      <c r="S243" s="3">
        <v>967338</v>
      </c>
      <c r="T243" s="3">
        <v>140663</v>
      </c>
      <c r="U243" s="3">
        <v>140663</v>
      </c>
      <c r="V243" s="3">
        <v>140663</v>
      </c>
      <c r="W243" s="3">
        <v>140663</v>
      </c>
      <c r="X243" s="3">
        <v>139356</v>
      </c>
      <c r="Y243" s="3">
        <v>139356</v>
      </c>
      <c r="Z243" s="4">
        <v>139356</v>
      </c>
      <c r="AA243" s="4">
        <v>139356</v>
      </c>
      <c r="AB243" s="4">
        <v>139356</v>
      </c>
      <c r="AC243" s="4">
        <v>139355</v>
      </c>
      <c r="AD243" s="4">
        <v>140663</v>
      </c>
      <c r="AE243" s="4">
        <v>281326</v>
      </c>
      <c r="AF243" s="4">
        <v>421989</v>
      </c>
      <c r="AG243" s="4">
        <v>562652</v>
      </c>
      <c r="AH243" s="4">
        <v>702008</v>
      </c>
      <c r="AI243" s="4">
        <v>841364</v>
      </c>
      <c r="AJ243" s="4">
        <v>980720</v>
      </c>
      <c r="AK243" s="4">
        <v>1120076</v>
      </c>
      <c r="AL243" s="4">
        <v>1259432</v>
      </c>
      <c r="AM243" s="4">
        <v>1398787</v>
      </c>
      <c r="AN243" s="150">
        <v>186177</v>
      </c>
    </row>
    <row r="244" spans="1:40" x14ac:dyDescent="0.2">
      <c r="A244" s="1">
        <v>2023</v>
      </c>
      <c r="B244" s="2" t="s">
        <v>267</v>
      </c>
      <c r="C244" s="2" t="s">
        <v>267</v>
      </c>
      <c r="D244" s="1" t="s">
        <v>612</v>
      </c>
      <c r="E244" s="3">
        <v>1483861</v>
      </c>
      <c r="F244" s="1">
        <v>547</v>
      </c>
      <c r="G244" s="3">
        <v>7898</v>
      </c>
      <c r="H244" s="1">
        <v>0</v>
      </c>
      <c r="I244" s="3">
        <v>1483314</v>
      </c>
      <c r="J244" s="3">
        <v>1475416</v>
      </c>
      <c r="K244" s="3">
        <v>1475416</v>
      </c>
      <c r="L244" s="3">
        <v>121768</v>
      </c>
      <c r="M244" s="3">
        <v>265980</v>
      </c>
      <c r="N244" s="3">
        <v>23844</v>
      </c>
      <c r="O244" s="3">
        <v>32309</v>
      </c>
      <c r="P244" s="3">
        <v>118969</v>
      </c>
      <c r="Q244" s="3">
        <v>920444</v>
      </c>
      <c r="R244" s="3">
        <v>912546</v>
      </c>
      <c r="S244" s="3">
        <v>912546</v>
      </c>
      <c r="T244" s="3">
        <v>148331</v>
      </c>
      <c r="U244" s="3">
        <v>148331</v>
      </c>
      <c r="V244" s="3">
        <v>148331</v>
      </c>
      <c r="W244" s="3">
        <v>148331</v>
      </c>
      <c r="X244" s="3">
        <v>147015</v>
      </c>
      <c r="Y244" s="3">
        <v>147015</v>
      </c>
      <c r="Z244" s="4">
        <v>147016</v>
      </c>
      <c r="AA244" s="4">
        <v>147016</v>
      </c>
      <c r="AB244" s="4">
        <v>147016</v>
      </c>
      <c r="AC244" s="4">
        <v>147014</v>
      </c>
      <c r="AD244" s="4">
        <v>148331</v>
      </c>
      <c r="AE244" s="4">
        <v>296662</v>
      </c>
      <c r="AF244" s="4">
        <v>444993</v>
      </c>
      <c r="AG244" s="4">
        <v>593324</v>
      </c>
      <c r="AH244" s="4">
        <v>740339</v>
      </c>
      <c r="AI244" s="4">
        <v>887354</v>
      </c>
      <c r="AJ244" s="4">
        <v>1034370</v>
      </c>
      <c r="AK244" s="4">
        <v>1181386</v>
      </c>
      <c r="AL244" s="4">
        <v>1328402</v>
      </c>
      <c r="AM244" s="4">
        <v>1475416</v>
      </c>
      <c r="AN244" s="150">
        <v>158362</v>
      </c>
    </row>
    <row r="245" spans="1:40" x14ac:dyDescent="0.2">
      <c r="A245" s="1">
        <v>2023</v>
      </c>
      <c r="B245" s="2" t="s">
        <v>268</v>
      </c>
      <c r="C245" s="2" t="s">
        <v>268</v>
      </c>
      <c r="D245" s="1" t="s">
        <v>613</v>
      </c>
      <c r="E245" s="3">
        <v>5959936</v>
      </c>
      <c r="F245" s="3">
        <v>1178</v>
      </c>
      <c r="G245" s="3">
        <v>20283</v>
      </c>
      <c r="H245" s="1">
        <v>0</v>
      </c>
      <c r="I245" s="3">
        <v>5958758</v>
      </c>
      <c r="J245" s="3">
        <v>5938475</v>
      </c>
      <c r="K245" s="3">
        <v>5938475</v>
      </c>
      <c r="L245" s="3">
        <v>261984</v>
      </c>
      <c r="M245" s="3">
        <v>554309</v>
      </c>
      <c r="N245" s="3">
        <v>76501</v>
      </c>
      <c r="O245" s="3">
        <v>59047</v>
      </c>
      <c r="P245" s="3">
        <v>305525</v>
      </c>
      <c r="Q245" s="3">
        <v>4701392</v>
      </c>
      <c r="R245" s="3">
        <v>4681109</v>
      </c>
      <c r="S245" s="3">
        <v>4681109</v>
      </c>
      <c r="T245" s="3">
        <v>595876</v>
      </c>
      <c r="U245" s="3">
        <v>595876</v>
      </c>
      <c r="V245" s="3">
        <v>595876</v>
      </c>
      <c r="W245" s="3">
        <v>595876</v>
      </c>
      <c r="X245" s="3">
        <v>592495</v>
      </c>
      <c r="Y245" s="3">
        <v>592495</v>
      </c>
      <c r="Z245" s="4">
        <v>592495</v>
      </c>
      <c r="AA245" s="4">
        <v>592495</v>
      </c>
      <c r="AB245" s="4">
        <v>592495</v>
      </c>
      <c r="AC245" s="4">
        <v>592496</v>
      </c>
      <c r="AD245" s="4">
        <v>595876</v>
      </c>
      <c r="AE245" s="4">
        <v>1191752</v>
      </c>
      <c r="AF245" s="4">
        <v>1787628</v>
      </c>
      <c r="AG245" s="4">
        <v>2383504</v>
      </c>
      <c r="AH245" s="4">
        <v>2975999</v>
      </c>
      <c r="AI245" s="4">
        <v>3568494</v>
      </c>
      <c r="AJ245" s="4">
        <v>4160989</v>
      </c>
      <c r="AK245" s="4">
        <v>4753484</v>
      </c>
      <c r="AL245" s="4">
        <v>5345979</v>
      </c>
      <c r="AM245" s="4">
        <v>5938475</v>
      </c>
      <c r="AN245" s="150">
        <v>485544</v>
      </c>
    </row>
    <row r="246" spans="1:40" x14ac:dyDescent="0.2">
      <c r="A246" s="1">
        <v>2023</v>
      </c>
      <c r="B246" s="2" t="s">
        <v>269</v>
      </c>
      <c r="C246" s="2" t="s">
        <v>269</v>
      </c>
      <c r="D246" s="1" t="s">
        <v>614</v>
      </c>
      <c r="E246" s="3">
        <v>6479787</v>
      </c>
      <c r="F246" s="3">
        <v>1045</v>
      </c>
      <c r="G246" s="3">
        <v>23442</v>
      </c>
      <c r="H246" s="3">
        <v>0</v>
      </c>
      <c r="I246" s="3">
        <v>6478742</v>
      </c>
      <c r="J246" s="3">
        <v>6455300</v>
      </c>
      <c r="K246" s="3">
        <v>6455300</v>
      </c>
      <c r="L246" s="3">
        <v>232465</v>
      </c>
      <c r="M246" s="3">
        <v>613980</v>
      </c>
      <c r="N246" s="3">
        <v>70662</v>
      </c>
      <c r="O246" s="3">
        <v>75754</v>
      </c>
      <c r="P246" s="3">
        <v>353113</v>
      </c>
      <c r="Q246" s="3">
        <v>5132768</v>
      </c>
      <c r="R246" s="3">
        <v>5109326</v>
      </c>
      <c r="S246" s="3">
        <v>5109326</v>
      </c>
      <c r="T246" s="3">
        <v>647874</v>
      </c>
      <c r="U246" s="3">
        <v>647874</v>
      </c>
      <c r="V246" s="3">
        <v>647874</v>
      </c>
      <c r="W246" s="3">
        <v>647874</v>
      </c>
      <c r="X246" s="3">
        <v>643967</v>
      </c>
      <c r="Y246" s="3">
        <v>643967</v>
      </c>
      <c r="Z246" s="4">
        <v>643968</v>
      </c>
      <c r="AA246" s="4">
        <v>643968</v>
      </c>
      <c r="AB246" s="4">
        <v>643968</v>
      </c>
      <c r="AC246" s="4">
        <v>643966</v>
      </c>
      <c r="AD246" s="4">
        <v>647874</v>
      </c>
      <c r="AE246" s="4">
        <v>1295748</v>
      </c>
      <c r="AF246" s="4">
        <v>1943622</v>
      </c>
      <c r="AG246" s="4">
        <v>2591496</v>
      </c>
      <c r="AH246" s="4">
        <v>3235463</v>
      </c>
      <c r="AI246" s="4">
        <v>3879430</v>
      </c>
      <c r="AJ246" s="4">
        <v>4523398</v>
      </c>
      <c r="AK246" s="4">
        <v>5167366</v>
      </c>
      <c r="AL246" s="4">
        <v>5811334</v>
      </c>
      <c r="AM246" s="4">
        <v>6455300</v>
      </c>
      <c r="AN246" s="150">
        <v>446460</v>
      </c>
    </row>
    <row r="247" spans="1:40" x14ac:dyDescent="0.2">
      <c r="A247" s="1">
        <v>2023</v>
      </c>
      <c r="B247" s="2" t="s">
        <v>270</v>
      </c>
      <c r="C247" s="2" t="s">
        <v>270</v>
      </c>
      <c r="D247" s="1" t="s">
        <v>615</v>
      </c>
      <c r="E247" s="3">
        <v>2419728</v>
      </c>
      <c r="F247" s="3">
        <v>514</v>
      </c>
      <c r="G247" s="3">
        <v>9359</v>
      </c>
      <c r="H247" s="1">
        <v>0</v>
      </c>
      <c r="I247" s="3">
        <v>2419214</v>
      </c>
      <c r="J247" s="3">
        <v>2409855</v>
      </c>
      <c r="K247" s="3">
        <v>2409855</v>
      </c>
      <c r="L247" s="3">
        <v>114388</v>
      </c>
      <c r="M247" s="3">
        <v>260639</v>
      </c>
      <c r="N247" s="3">
        <v>27935</v>
      </c>
      <c r="O247" s="3">
        <v>29428</v>
      </c>
      <c r="P247" s="3">
        <v>140973</v>
      </c>
      <c r="Q247" s="3">
        <v>1845851</v>
      </c>
      <c r="R247" s="3">
        <v>1836492</v>
      </c>
      <c r="S247" s="3">
        <v>1836492</v>
      </c>
      <c r="T247" s="3">
        <v>241921</v>
      </c>
      <c r="U247" s="3">
        <v>241921</v>
      </c>
      <c r="V247" s="3">
        <v>241921</v>
      </c>
      <c r="W247" s="3">
        <v>241921</v>
      </c>
      <c r="X247" s="3">
        <v>240362</v>
      </c>
      <c r="Y247" s="3">
        <v>240362</v>
      </c>
      <c r="Z247" s="4">
        <v>240362</v>
      </c>
      <c r="AA247" s="4">
        <v>240362</v>
      </c>
      <c r="AB247" s="4">
        <v>240362</v>
      </c>
      <c r="AC247" s="4">
        <v>240361</v>
      </c>
      <c r="AD247" s="4">
        <v>241921</v>
      </c>
      <c r="AE247" s="4">
        <v>483842</v>
      </c>
      <c r="AF247" s="4">
        <v>725763</v>
      </c>
      <c r="AG247" s="4">
        <v>967684</v>
      </c>
      <c r="AH247" s="4">
        <v>1208046</v>
      </c>
      <c r="AI247" s="4">
        <v>1448408</v>
      </c>
      <c r="AJ247" s="4">
        <v>1688770</v>
      </c>
      <c r="AK247" s="4">
        <v>1929132</v>
      </c>
      <c r="AL247" s="4">
        <v>2169494</v>
      </c>
      <c r="AM247" s="4">
        <v>2409855</v>
      </c>
      <c r="AN247" s="150">
        <v>199107</v>
      </c>
    </row>
    <row r="248" spans="1:40" x14ac:dyDescent="0.2">
      <c r="A248" s="1">
        <v>2023</v>
      </c>
      <c r="B248" s="2" t="s">
        <v>271</v>
      </c>
      <c r="C248" s="2" t="s">
        <v>271</v>
      </c>
      <c r="D248" s="1" t="s">
        <v>616</v>
      </c>
      <c r="E248" s="3">
        <v>1255726</v>
      </c>
      <c r="F248" s="3">
        <v>83</v>
      </c>
      <c r="G248" s="3">
        <v>4751</v>
      </c>
      <c r="H248" s="3">
        <v>0</v>
      </c>
      <c r="I248" s="3">
        <v>1255643</v>
      </c>
      <c r="J248" s="3">
        <v>1250892</v>
      </c>
      <c r="K248" s="3">
        <v>1250892</v>
      </c>
      <c r="L248" s="3">
        <v>18450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970398</v>
      </c>
      <c r="R248" s="3">
        <v>965647</v>
      </c>
      <c r="S248" s="3">
        <v>965647</v>
      </c>
      <c r="T248" s="3">
        <v>125564</v>
      </c>
      <c r="U248" s="3">
        <v>125564</v>
      </c>
      <c r="V248" s="3">
        <v>125564</v>
      </c>
      <c r="W248" s="3">
        <v>125564</v>
      </c>
      <c r="X248" s="3">
        <v>124773</v>
      </c>
      <c r="Y248" s="3">
        <v>124773</v>
      </c>
      <c r="Z248" s="4">
        <v>124773</v>
      </c>
      <c r="AA248" s="4">
        <v>124773</v>
      </c>
      <c r="AB248" s="4">
        <v>124773</v>
      </c>
      <c r="AC248" s="4">
        <v>124771</v>
      </c>
      <c r="AD248" s="4">
        <v>125564</v>
      </c>
      <c r="AE248" s="4">
        <v>251128</v>
      </c>
      <c r="AF248" s="4">
        <v>376692</v>
      </c>
      <c r="AG248" s="4">
        <v>502256</v>
      </c>
      <c r="AH248" s="4">
        <v>627029</v>
      </c>
      <c r="AI248" s="4">
        <v>751802</v>
      </c>
      <c r="AJ248" s="4">
        <v>876575</v>
      </c>
      <c r="AK248" s="4">
        <v>1001348</v>
      </c>
      <c r="AL248" s="4">
        <v>1126121</v>
      </c>
      <c r="AM248" s="4">
        <v>1250892</v>
      </c>
      <c r="AN248" s="150">
        <v>110057</v>
      </c>
    </row>
    <row r="249" spans="1:40" x14ac:dyDescent="0.2">
      <c r="A249" s="1">
        <v>2023</v>
      </c>
      <c r="B249" s="2" t="s">
        <v>272</v>
      </c>
      <c r="C249" s="2" t="s">
        <v>272</v>
      </c>
      <c r="D249" s="1" t="s">
        <v>617</v>
      </c>
      <c r="E249" s="3">
        <v>3007820</v>
      </c>
      <c r="F249" s="1">
        <v>564</v>
      </c>
      <c r="G249" s="3">
        <v>13328</v>
      </c>
      <c r="H249" s="1">
        <v>0</v>
      </c>
      <c r="I249" s="3">
        <v>3007256</v>
      </c>
      <c r="J249" s="3">
        <v>2993928</v>
      </c>
      <c r="K249" s="3">
        <v>2993928</v>
      </c>
      <c r="L249" s="3">
        <v>125457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2238839</v>
      </c>
      <c r="R249" s="3">
        <v>2225511</v>
      </c>
      <c r="S249" s="3">
        <v>2225511</v>
      </c>
      <c r="T249" s="3">
        <v>300726</v>
      </c>
      <c r="U249" s="3">
        <v>300726</v>
      </c>
      <c r="V249" s="3">
        <v>300726</v>
      </c>
      <c r="W249" s="3">
        <v>300726</v>
      </c>
      <c r="X249" s="3">
        <v>298504</v>
      </c>
      <c r="Y249" s="3">
        <v>298504</v>
      </c>
      <c r="Z249" s="4">
        <v>298504</v>
      </c>
      <c r="AA249" s="4">
        <v>298504</v>
      </c>
      <c r="AB249" s="4">
        <v>298504</v>
      </c>
      <c r="AC249" s="4">
        <v>298504</v>
      </c>
      <c r="AD249" s="4">
        <v>300726</v>
      </c>
      <c r="AE249" s="4">
        <v>601452</v>
      </c>
      <c r="AF249" s="4">
        <v>902178</v>
      </c>
      <c r="AG249" s="4">
        <v>1202904</v>
      </c>
      <c r="AH249" s="4">
        <v>1501408</v>
      </c>
      <c r="AI249" s="4">
        <v>1799912</v>
      </c>
      <c r="AJ249" s="4">
        <v>2098416</v>
      </c>
      <c r="AK249" s="4">
        <v>2396920</v>
      </c>
      <c r="AL249" s="4">
        <v>2695424</v>
      </c>
      <c r="AM249" s="4">
        <v>2993928</v>
      </c>
      <c r="AN249" s="150">
        <v>267667</v>
      </c>
    </row>
    <row r="250" spans="1:40" x14ac:dyDescent="0.2">
      <c r="A250" s="1">
        <v>2023</v>
      </c>
      <c r="B250" s="2" t="s">
        <v>273</v>
      </c>
      <c r="C250" s="2" t="s">
        <v>273</v>
      </c>
      <c r="D250" s="1" t="s">
        <v>618</v>
      </c>
      <c r="E250" s="3">
        <v>3343556</v>
      </c>
      <c r="F250" s="3">
        <v>995</v>
      </c>
      <c r="G250" s="3">
        <v>25352</v>
      </c>
      <c r="H250" s="1">
        <v>0</v>
      </c>
      <c r="I250" s="3">
        <v>3342561</v>
      </c>
      <c r="J250" s="3">
        <v>3317209</v>
      </c>
      <c r="K250" s="3">
        <v>3317209</v>
      </c>
      <c r="L250" s="3">
        <v>221395</v>
      </c>
      <c r="M250" s="3">
        <v>724120</v>
      </c>
      <c r="N250" s="3">
        <v>92727</v>
      </c>
      <c r="O250" s="3">
        <v>77977</v>
      </c>
      <c r="P250" s="3">
        <v>381880</v>
      </c>
      <c r="Q250" s="3">
        <v>1844462</v>
      </c>
      <c r="R250" s="3">
        <v>1819110</v>
      </c>
      <c r="S250" s="3">
        <v>1819110</v>
      </c>
      <c r="T250" s="3">
        <v>334256</v>
      </c>
      <c r="U250" s="3">
        <v>334256</v>
      </c>
      <c r="V250" s="3">
        <v>334256</v>
      </c>
      <c r="W250" s="3">
        <v>334256</v>
      </c>
      <c r="X250" s="3">
        <v>330031</v>
      </c>
      <c r="Y250" s="3">
        <v>330031</v>
      </c>
      <c r="Z250" s="4">
        <v>330031</v>
      </c>
      <c r="AA250" s="4">
        <v>330031</v>
      </c>
      <c r="AB250" s="4">
        <v>330031</v>
      </c>
      <c r="AC250" s="4">
        <v>330030</v>
      </c>
      <c r="AD250" s="4">
        <v>334256</v>
      </c>
      <c r="AE250" s="4">
        <v>668512</v>
      </c>
      <c r="AF250" s="4">
        <v>1002768</v>
      </c>
      <c r="AG250" s="4">
        <v>1337024</v>
      </c>
      <c r="AH250" s="4">
        <v>1667055</v>
      </c>
      <c r="AI250" s="4">
        <v>1997086</v>
      </c>
      <c r="AJ250" s="4">
        <v>2327117</v>
      </c>
      <c r="AK250" s="4">
        <v>2657148</v>
      </c>
      <c r="AL250" s="4">
        <v>2987179</v>
      </c>
      <c r="AM250" s="4">
        <v>3317209</v>
      </c>
      <c r="AN250" s="150">
        <v>492110</v>
      </c>
    </row>
    <row r="251" spans="1:40" x14ac:dyDescent="0.2">
      <c r="A251" s="1">
        <v>2023</v>
      </c>
      <c r="B251" s="2" t="s">
        <v>274</v>
      </c>
      <c r="C251" s="2" t="s">
        <v>274</v>
      </c>
      <c r="D251" s="1" t="s">
        <v>619</v>
      </c>
      <c r="E251" s="3">
        <v>2042288</v>
      </c>
      <c r="F251" s="1">
        <v>398</v>
      </c>
      <c r="G251" s="3">
        <v>8836</v>
      </c>
      <c r="H251" s="1">
        <v>0</v>
      </c>
      <c r="I251" s="3">
        <v>2041890</v>
      </c>
      <c r="J251" s="3">
        <v>2033054</v>
      </c>
      <c r="K251" s="3">
        <v>2033054</v>
      </c>
      <c r="L251" s="3">
        <v>88558</v>
      </c>
      <c r="M251" s="3">
        <v>251104</v>
      </c>
      <c r="N251" s="3">
        <v>25054</v>
      </c>
      <c r="O251" s="3">
        <v>28276</v>
      </c>
      <c r="P251" s="3">
        <v>133102</v>
      </c>
      <c r="Q251" s="3">
        <v>1515796</v>
      </c>
      <c r="R251" s="3">
        <v>1506960</v>
      </c>
      <c r="S251" s="3">
        <v>1506960</v>
      </c>
      <c r="T251" s="3">
        <v>204189</v>
      </c>
      <c r="U251" s="3">
        <v>204189</v>
      </c>
      <c r="V251" s="3">
        <v>204189</v>
      </c>
      <c r="W251" s="3">
        <v>204189</v>
      </c>
      <c r="X251" s="3">
        <v>202716</v>
      </c>
      <c r="Y251" s="3">
        <v>202716</v>
      </c>
      <c r="Z251" s="4">
        <v>202717</v>
      </c>
      <c r="AA251" s="4">
        <v>202717</v>
      </c>
      <c r="AB251" s="4">
        <v>202717</v>
      </c>
      <c r="AC251" s="4">
        <v>202715</v>
      </c>
      <c r="AD251" s="4">
        <v>204189</v>
      </c>
      <c r="AE251" s="4">
        <v>408378</v>
      </c>
      <c r="AF251" s="4">
        <v>612567</v>
      </c>
      <c r="AG251" s="4">
        <v>816756</v>
      </c>
      <c r="AH251" s="4">
        <v>1019472</v>
      </c>
      <c r="AI251" s="4">
        <v>1222188</v>
      </c>
      <c r="AJ251" s="4">
        <v>1424905</v>
      </c>
      <c r="AK251" s="4">
        <v>1627622</v>
      </c>
      <c r="AL251" s="4">
        <v>1830339</v>
      </c>
      <c r="AM251" s="4">
        <v>2033054</v>
      </c>
      <c r="AN251" s="150">
        <v>183192</v>
      </c>
    </row>
    <row r="252" spans="1:40" x14ac:dyDescent="0.2">
      <c r="A252" s="1">
        <v>2023</v>
      </c>
      <c r="B252" s="2" t="s">
        <v>275</v>
      </c>
      <c r="C252" s="2" t="s">
        <v>275</v>
      </c>
      <c r="D252" s="1" t="s">
        <v>620</v>
      </c>
      <c r="E252" s="3">
        <v>1028566</v>
      </c>
      <c r="F252" s="1">
        <v>149</v>
      </c>
      <c r="G252" s="3">
        <v>5368</v>
      </c>
      <c r="H252" s="1">
        <v>0</v>
      </c>
      <c r="I252" s="3">
        <v>1028417</v>
      </c>
      <c r="J252" s="3">
        <v>1023049</v>
      </c>
      <c r="K252" s="3">
        <v>1023049</v>
      </c>
      <c r="L252" s="3">
        <v>29596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745322</v>
      </c>
      <c r="R252" s="3">
        <v>739954</v>
      </c>
      <c r="S252" s="3">
        <v>739954</v>
      </c>
      <c r="T252" s="3">
        <v>102842</v>
      </c>
      <c r="U252" s="3">
        <v>102842</v>
      </c>
      <c r="V252" s="3">
        <v>102842</v>
      </c>
      <c r="W252" s="3">
        <v>102842</v>
      </c>
      <c r="X252" s="3">
        <v>101947</v>
      </c>
      <c r="Y252" s="3">
        <v>101947</v>
      </c>
      <c r="Z252" s="4">
        <v>101947</v>
      </c>
      <c r="AA252" s="4">
        <v>101947</v>
      </c>
      <c r="AB252" s="4">
        <v>101947</v>
      </c>
      <c r="AC252" s="4">
        <v>101946</v>
      </c>
      <c r="AD252" s="4">
        <v>102842</v>
      </c>
      <c r="AE252" s="4">
        <v>205684</v>
      </c>
      <c r="AF252" s="4">
        <v>308526</v>
      </c>
      <c r="AG252" s="4">
        <v>411368</v>
      </c>
      <c r="AH252" s="4">
        <v>513315</v>
      </c>
      <c r="AI252" s="4">
        <v>615262</v>
      </c>
      <c r="AJ252" s="4">
        <v>717209</v>
      </c>
      <c r="AK252" s="4">
        <v>819156</v>
      </c>
      <c r="AL252" s="4">
        <v>921103</v>
      </c>
      <c r="AM252" s="4">
        <v>1023049</v>
      </c>
      <c r="AN252" s="150">
        <v>130428</v>
      </c>
    </row>
    <row r="253" spans="1:40" x14ac:dyDescent="0.2">
      <c r="A253" s="1">
        <v>2023</v>
      </c>
      <c r="B253" s="2" t="s">
        <v>276</v>
      </c>
      <c r="C253" s="2" t="s">
        <v>276</v>
      </c>
      <c r="D253" s="1" t="s">
        <v>621</v>
      </c>
      <c r="E253" s="3">
        <v>8393341</v>
      </c>
      <c r="F253" s="3">
        <v>1161</v>
      </c>
      <c r="G253" s="3">
        <v>33438</v>
      </c>
      <c r="H253" s="1">
        <v>0</v>
      </c>
      <c r="I253" s="3">
        <v>8392180</v>
      </c>
      <c r="J253" s="3">
        <v>8358742</v>
      </c>
      <c r="K253" s="3">
        <v>8358742</v>
      </c>
      <c r="L253" s="3">
        <v>258294</v>
      </c>
      <c r="M253" s="3">
        <v>905869</v>
      </c>
      <c r="N253" s="3">
        <v>107154</v>
      </c>
      <c r="O253" s="3">
        <v>109040</v>
      </c>
      <c r="P253" s="3">
        <v>503675</v>
      </c>
      <c r="Q253" s="3">
        <v>6508148</v>
      </c>
      <c r="R253" s="3">
        <v>6474710</v>
      </c>
      <c r="S253" s="3">
        <v>6474710</v>
      </c>
      <c r="T253" s="3">
        <v>839218</v>
      </c>
      <c r="U253" s="3">
        <v>839218</v>
      </c>
      <c r="V253" s="3">
        <v>839218</v>
      </c>
      <c r="W253" s="3">
        <v>839218</v>
      </c>
      <c r="X253" s="3">
        <v>833645</v>
      </c>
      <c r="Y253" s="3">
        <v>833645</v>
      </c>
      <c r="Z253" s="4">
        <v>833645</v>
      </c>
      <c r="AA253" s="4">
        <v>833645</v>
      </c>
      <c r="AB253" s="4">
        <v>833645</v>
      </c>
      <c r="AC253" s="4">
        <v>833645</v>
      </c>
      <c r="AD253" s="4">
        <v>839218</v>
      </c>
      <c r="AE253" s="4">
        <v>1678436</v>
      </c>
      <c r="AF253" s="4">
        <v>2517654</v>
      </c>
      <c r="AG253" s="4">
        <v>3356872</v>
      </c>
      <c r="AH253" s="4">
        <v>4190517</v>
      </c>
      <c r="AI253" s="4">
        <v>5024162</v>
      </c>
      <c r="AJ253" s="4">
        <v>5857807</v>
      </c>
      <c r="AK253" s="4">
        <v>6691452</v>
      </c>
      <c r="AL253" s="4">
        <v>7525097</v>
      </c>
      <c r="AM253" s="4">
        <v>8358742</v>
      </c>
      <c r="AN253" s="150">
        <v>718477</v>
      </c>
    </row>
    <row r="254" spans="1:40" x14ac:dyDescent="0.2">
      <c r="A254" s="1">
        <v>2023</v>
      </c>
      <c r="B254" s="2" t="s">
        <v>277</v>
      </c>
      <c r="C254" s="2" t="s">
        <v>277</v>
      </c>
      <c r="D254" s="1" t="s">
        <v>622</v>
      </c>
      <c r="E254" s="3">
        <v>1606061</v>
      </c>
      <c r="F254" s="1">
        <v>199</v>
      </c>
      <c r="G254" s="3">
        <v>6048</v>
      </c>
      <c r="H254" s="1">
        <v>0</v>
      </c>
      <c r="I254" s="3">
        <v>1605862</v>
      </c>
      <c r="J254" s="3">
        <v>1599814</v>
      </c>
      <c r="K254" s="3">
        <v>1599814</v>
      </c>
      <c r="L254" s="3">
        <v>44279</v>
      </c>
      <c r="M254" s="3">
        <v>196325</v>
      </c>
      <c r="N254" s="3">
        <v>22272</v>
      </c>
      <c r="O254" s="3">
        <v>21679</v>
      </c>
      <c r="P254" s="3">
        <v>91096</v>
      </c>
      <c r="Q254" s="3">
        <v>1230211</v>
      </c>
      <c r="R254" s="3">
        <v>1224163</v>
      </c>
      <c r="S254" s="3">
        <v>1224163</v>
      </c>
      <c r="T254" s="3">
        <v>160586</v>
      </c>
      <c r="U254" s="3">
        <v>160586</v>
      </c>
      <c r="V254" s="3">
        <v>160586</v>
      </c>
      <c r="W254" s="3">
        <v>160586</v>
      </c>
      <c r="X254" s="3">
        <v>159578</v>
      </c>
      <c r="Y254" s="3">
        <v>159578</v>
      </c>
      <c r="Z254" s="4">
        <v>159579</v>
      </c>
      <c r="AA254" s="4">
        <v>159579</v>
      </c>
      <c r="AB254" s="4">
        <v>159579</v>
      </c>
      <c r="AC254" s="4">
        <v>159577</v>
      </c>
      <c r="AD254" s="4">
        <v>160586</v>
      </c>
      <c r="AE254" s="4">
        <v>321172</v>
      </c>
      <c r="AF254" s="4">
        <v>481758</v>
      </c>
      <c r="AG254" s="4">
        <v>642344</v>
      </c>
      <c r="AH254" s="4">
        <v>801922</v>
      </c>
      <c r="AI254" s="4">
        <v>961500</v>
      </c>
      <c r="AJ254" s="4">
        <v>1121079</v>
      </c>
      <c r="AK254" s="4">
        <v>1280658</v>
      </c>
      <c r="AL254" s="4">
        <v>1440237</v>
      </c>
      <c r="AM254" s="4">
        <v>1599814</v>
      </c>
      <c r="AN254" s="150">
        <v>117972</v>
      </c>
    </row>
    <row r="255" spans="1:40" x14ac:dyDescent="0.2">
      <c r="A255" s="1">
        <v>2023</v>
      </c>
      <c r="B255" s="2" t="s">
        <v>278</v>
      </c>
      <c r="C255" s="2" t="s">
        <v>278</v>
      </c>
      <c r="D255" s="1" t="s">
        <v>623</v>
      </c>
      <c r="E255" s="3">
        <v>4489047</v>
      </c>
      <c r="F255" s="3">
        <v>779</v>
      </c>
      <c r="G255" s="3">
        <v>17813</v>
      </c>
      <c r="H255" s="1">
        <v>0</v>
      </c>
      <c r="I255" s="3">
        <v>4488268</v>
      </c>
      <c r="J255" s="3">
        <v>4470455</v>
      </c>
      <c r="K255" s="3">
        <v>4470455</v>
      </c>
      <c r="L255" s="3">
        <v>173427</v>
      </c>
      <c r="M255" s="3">
        <v>522320</v>
      </c>
      <c r="N255" s="3">
        <v>49703</v>
      </c>
      <c r="O255" s="3">
        <v>59865</v>
      </c>
      <c r="P255" s="3">
        <v>268314</v>
      </c>
      <c r="Q255" s="3">
        <v>3414639</v>
      </c>
      <c r="R255" s="3">
        <v>3396826</v>
      </c>
      <c r="S255" s="3">
        <v>3396826</v>
      </c>
      <c r="T255" s="3">
        <v>448827</v>
      </c>
      <c r="U255" s="3">
        <v>448827</v>
      </c>
      <c r="V255" s="3">
        <v>448827</v>
      </c>
      <c r="W255" s="3">
        <v>448827</v>
      </c>
      <c r="X255" s="3">
        <v>445858</v>
      </c>
      <c r="Y255" s="3">
        <v>445858</v>
      </c>
      <c r="Z255" s="4">
        <v>445858</v>
      </c>
      <c r="AA255" s="4">
        <v>445858</v>
      </c>
      <c r="AB255" s="4">
        <v>445858</v>
      </c>
      <c r="AC255" s="4">
        <v>445857</v>
      </c>
      <c r="AD255" s="4">
        <v>448827</v>
      </c>
      <c r="AE255" s="4">
        <v>897654</v>
      </c>
      <c r="AF255" s="4">
        <v>1346481</v>
      </c>
      <c r="AG255" s="4">
        <v>1795308</v>
      </c>
      <c r="AH255" s="4">
        <v>2241166</v>
      </c>
      <c r="AI255" s="4">
        <v>2687024</v>
      </c>
      <c r="AJ255" s="4">
        <v>3132882</v>
      </c>
      <c r="AK255" s="4">
        <v>3578740</v>
      </c>
      <c r="AL255" s="4">
        <v>4024598</v>
      </c>
      <c r="AM255" s="4">
        <v>4470455</v>
      </c>
      <c r="AN255" s="150">
        <v>376392</v>
      </c>
    </row>
    <row r="256" spans="1:40" x14ac:dyDescent="0.2">
      <c r="A256" s="1">
        <v>2023</v>
      </c>
      <c r="B256" s="2" t="s">
        <v>279</v>
      </c>
      <c r="C256" s="2" t="s">
        <v>279</v>
      </c>
      <c r="D256" s="1" t="s">
        <v>624</v>
      </c>
      <c r="E256" s="3">
        <v>7749633</v>
      </c>
      <c r="F256" s="3">
        <v>1194</v>
      </c>
      <c r="G256" s="3">
        <v>26518</v>
      </c>
      <c r="H256" s="1">
        <v>0</v>
      </c>
      <c r="I256" s="3">
        <v>7748439</v>
      </c>
      <c r="J256" s="3">
        <v>7721921</v>
      </c>
      <c r="K256" s="3">
        <v>7721921</v>
      </c>
      <c r="L256" s="3">
        <v>265674</v>
      </c>
      <c r="M256" s="3">
        <v>686899</v>
      </c>
      <c r="N256" s="3">
        <v>85103</v>
      </c>
      <c r="O256" s="3">
        <v>73102</v>
      </c>
      <c r="P256" s="3">
        <v>399448</v>
      </c>
      <c r="Q256" s="3">
        <v>6238213</v>
      </c>
      <c r="R256" s="3">
        <v>6211695</v>
      </c>
      <c r="S256" s="3">
        <v>6211695</v>
      </c>
      <c r="T256" s="3">
        <v>774844</v>
      </c>
      <c r="U256" s="3">
        <v>774844</v>
      </c>
      <c r="V256" s="3">
        <v>774844</v>
      </c>
      <c r="W256" s="3">
        <v>774844</v>
      </c>
      <c r="X256" s="3">
        <v>770424</v>
      </c>
      <c r="Y256" s="3">
        <v>770424</v>
      </c>
      <c r="Z256" s="4">
        <v>770424</v>
      </c>
      <c r="AA256" s="4">
        <v>770424</v>
      </c>
      <c r="AB256" s="4">
        <v>770424</v>
      </c>
      <c r="AC256" s="4">
        <v>770425</v>
      </c>
      <c r="AD256" s="4">
        <v>774844</v>
      </c>
      <c r="AE256" s="4">
        <v>1549688</v>
      </c>
      <c r="AF256" s="4">
        <v>2324532</v>
      </c>
      <c r="AG256" s="4">
        <v>3099376</v>
      </c>
      <c r="AH256" s="4">
        <v>3869800</v>
      </c>
      <c r="AI256" s="4">
        <v>4640224</v>
      </c>
      <c r="AJ256" s="4">
        <v>5410648</v>
      </c>
      <c r="AK256" s="4">
        <v>6181072</v>
      </c>
      <c r="AL256" s="4">
        <v>6951496</v>
      </c>
      <c r="AM256" s="4">
        <v>7721921</v>
      </c>
      <c r="AN256" s="150">
        <v>573321</v>
      </c>
    </row>
    <row r="257" spans="1:40" x14ac:dyDescent="0.2">
      <c r="A257" s="1">
        <v>2023</v>
      </c>
      <c r="B257" s="2" t="s">
        <v>280</v>
      </c>
      <c r="C257" s="2" t="s">
        <v>280</v>
      </c>
      <c r="D257" s="1" t="s">
        <v>625</v>
      </c>
      <c r="E257" s="3">
        <v>7055549</v>
      </c>
      <c r="F257" s="3">
        <v>896</v>
      </c>
      <c r="G257" s="3">
        <v>24635</v>
      </c>
      <c r="H257" s="1">
        <v>0</v>
      </c>
      <c r="I257" s="3">
        <v>7054653</v>
      </c>
      <c r="J257" s="3">
        <v>7030018</v>
      </c>
      <c r="K257" s="3">
        <v>7030018</v>
      </c>
      <c r="L257" s="3">
        <v>199255</v>
      </c>
      <c r="M257" s="3">
        <v>691673</v>
      </c>
      <c r="N257" s="3">
        <v>87656</v>
      </c>
      <c r="O257" s="3">
        <v>75128</v>
      </c>
      <c r="P257" s="3">
        <v>371074</v>
      </c>
      <c r="Q257" s="3">
        <v>5629867</v>
      </c>
      <c r="R257" s="3">
        <v>5605232</v>
      </c>
      <c r="S257" s="3">
        <v>5605232</v>
      </c>
      <c r="T257" s="3">
        <v>705465</v>
      </c>
      <c r="U257" s="3">
        <v>705465</v>
      </c>
      <c r="V257" s="3">
        <v>705465</v>
      </c>
      <c r="W257" s="3">
        <v>705465</v>
      </c>
      <c r="X257" s="3">
        <v>701360</v>
      </c>
      <c r="Y257" s="3">
        <v>701360</v>
      </c>
      <c r="Z257" s="4">
        <v>701360</v>
      </c>
      <c r="AA257" s="4">
        <v>701360</v>
      </c>
      <c r="AB257" s="4">
        <v>701360</v>
      </c>
      <c r="AC257" s="4">
        <v>701358</v>
      </c>
      <c r="AD257" s="4">
        <v>705465</v>
      </c>
      <c r="AE257" s="4">
        <v>1410930</v>
      </c>
      <c r="AF257" s="4">
        <v>2116395</v>
      </c>
      <c r="AG257" s="4">
        <v>2821860</v>
      </c>
      <c r="AH257" s="4">
        <v>3523220</v>
      </c>
      <c r="AI257" s="4">
        <v>4224580</v>
      </c>
      <c r="AJ257" s="4">
        <v>4925940</v>
      </c>
      <c r="AK257" s="4">
        <v>5627300</v>
      </c>
      <c r="AL257" s="4">
        <v>6328660</v>
      </c>
      <c r="AM257" s="4">
        <v>7030018</v>
      </c>
      <c r="AN257" s="150">
        <v>495632</v>
      </c>
    </row>
    <row r="258" spans="1:40" x14ac:dyDescent="0.2">
      <c r="A258" s="1">
        <v>2023</v>
      </c>
      <c r="B258" s="2" t="s">
        <v>281</v>
      </c>
      <c r="C258" s="2" t="s">
        <v>281</v>
      </c>
      <c r="D258" s="1" t="s">
        <v>626</v>
      </c>
      <c r="E258" s="3">
        <v>4458138</v>
      </c>
      <c r="F258" s="3">
        <v>531</v>
      </c>
      <c r="G258" s="3">
        <v>16865</v>
      </c>
      <c r="H258" s="1">
        <v>0</v>
      </c>
      <c r="I258" s="3">
        <v>4457607</v>
      </c>
      <c r="J258" s="3">
        <v>4440742</v>
      </c>
      <c r="K258" s="3">
        <v>4440742</v>
      </c>
      <c r="L258" s="3">
        <v>118077</v>
      </c>
      <c r="M258" s="3">
        <v>470936</v>
      </c>
      <c r="N258" s="3">
        <v>55259</v>
      </c>
      <c r="O258" s="3">
        <v>48422</v>
      </c>
      <c r="P258" s="3">
        <v>254038</v>
      </c>
      <c r="Q258" s="3">
        <v>3510875</v>
      </c>
      <c r="R258" s="3">
        <v>3494010</v>
      </c>
      <c r="S258" s="3">
        <v>3494010</v>
      </c>
      <c r="T258" s="3">
        <v>445761</v>
      </c>
      <c r="U258" s="3">
        <v>445761</v>
      </c>
      <c r="V258" s="3">
        <v>445761</v>
      </c>
      <c r="W258" s="3">
        <v>445761</v>
      </c>
      <c r="X258" s="3">
        <v>442950</v>
      </c>
      <c r="Y258" s="3">
        <v>442950</v>
      </c>
      <c r="Z258" s="4">
        <v>442950</v>
      </c>
      <c r="AA258" s="4">
        <v>442950</v>
      </c>
      <c r="AB258" s="4">
        <v>442950</v>
      </c>
      <c r="AC258" s="4">
        <v>442948</v>
      </c>
      <c r="AD258" s="4">
        <v>445761</v>
      </c>
      <c r="AE258" s="4">
        <v>891522</v>
      </c>
      <c r="AF258" s="4">
        <v>1337283</v>
      </c>
      <c r="AG258" s="4">
        <v>1783044</v>
      </c>
      <c r="AH258" s="4">
        <v>2225994</v>
      </c>
      <c r="AI258" s="4">
        <v>2668944</v>
      </c>
      <c r="AJ258" s="4">
        <v>3111894</v>
      </c>
      <c r="AK258" s="4">
        <v>3554844</v>
      </c>
      <c r="AL258" s="4">
        <v>3997794</v>
      </c>
      <c r="AM258" s="4">
        <v>4440742</v>
      </c>
      <c r="AN258" s="150">
        <v>334443</v>
      </c>
    </row>
    <row r="259" spans="1:40" x14ac:dyDescent="0.2">
      <c r="A259" s="1">
        <v>2023</v>
      </c>
      <c r="B259" s="2" t="s">
        <v>282</v>
      </c>
      <c r="C259" s="2" t="s">
        <v>282</v>
      </c>
      <c r="D259" s="1" t="s">
        <v>627</v>
      </c>
      <c r="E259" s="3">
        <v>2474827</v>
      </c>
      <c r="F259" s="3">
        <v>448</v>
      </c>
      <c r="G259" s="3">
        <v>8808</v>
      </c>
      <c r="H259" s="1">
        <v>0</v>
      </c>
      <c r="I259" s="3">
        <v>2474379</v>
      </c>
      <c r="J259" s="3">
        <v>2465571</v>
      </c>
      <c r="K259" s="3">
        <v>2465571</v>
      </c>
      <c r="L259" s="3">
        <v>99628</v>
      </c>
      <c r="M259" s="3">
        <v>262074</v>
      </c>
      <c r="N259" s="3">
        <v>29638</v>
      </c>
      <c r="O259" s="3">
        <v>27806</v>
      </c>
      <c r="P259" s="3">
        <v>132672</v>
      </c>
      <c r="Q259" s="3">
        <v>1922561</v>
      </c>
      <c r="R259" s="3">
        <v>1913753</v>
      </c>
      <c r="S259" s="3">
        <v>1913753</v>
      </c>
      <c r="T259" s="3">
        <v>247438</v>
      </c>
      <c r="U259" s="3">
        <v>247438</v>
      </c>
      <c r="V259" s="3">
        <v>247438</v>
      </c>
      <c r="W259" s="3">
        <v>247438</v>
      </c>
      <c r="X259" s="3">
        <v>245970</v>
      </c>
      <c r="Y259" s="3">
        <v>245970</v>
      </c>
      <c r="Z259" s="4">
        <v>245970</v>
      </c>
      <c r="AA259" s="4">
        <v>245970</v>
      </c>
      <c r="AB259" s="4">
        <v>245970</v>
      </c>
      <c r="AC259" s="4">
        <v>245969</v>
      </c>
      <c r="AD259" s="4">
        <v>247438</v>
      </c>
      <c r="AE259" s="4">
        <v>494876</v>
      </c>
      <c r="AF259" s="4">
        <v>742314</v>
      </c>
      <c r="AG259" s="4">
        <v>989752</v>
      </c>
      <c r="AH259" s="4">
        <v>1235722</v>
      </c>
      <c r="AI259" s="4">
        <v>1481692</v>
      </c>
      <c r="AJ259" s="4">
        <v>1727662</v>
      </c>
      <c r="AK259" s="4">
        <v>1973632</v>
      </c>
      <c r="AL259" s="4">
        <v>2219602</v>
      </c>
      <c r="AM259" s="4">
        <v>2465571</v>
      </c>
      <c r="AN259" s="150">
        <v>176764</v>
      </c>
    </row>
    <row r="260" spans="1:40" x14ac:dyDescent="0.2">
      <c r="A260" s="1">
        <v>2023</v>
      </c>
      <c r="B260" s="2" t="s">
        <v>283</v>
      </c>
      <c r="C260" s="2" t="s">
        <v>283</v>
      </c>
      <c r="D260" s="1" t="s">
        <v>628</v>
      </c>
      <c r="E260" s="3">
        <v>3734192</v>
      </c>
      <c r="F260" s="3">
        <v>464</v>
      </c>
      <c r="G260" s="3">
        <v>12794</v>
      </c>
      <c r="H260" s="3">
        <v>0</v>
      </c>
      <c r="I260" s="3">
        <v>3733728</v>
      </c>
      <c r="J260" s="3">
        <v>3720934</v>
      </c>
      <c r="K260" s="3">
        <v>3720934</v>
      </c>
      <c r="L260" s="3">
        <v>103318</v>
      </c>
      <c r="M260" s="3">
        <v>365429</v>
      </c>
      <c r="N260" s="3">
        <v>40158</v>
      </c>
      <c r="O260" s="3">
        <v>38478</v>
      </c>
      <c r="P260" s="3">
        <v>192711</v>
      </c>
      <c r="Q260" s="3">
        <v>2993634</v>
      </c>
      <c r="R260" s="3">
        <v>2980840</v>
      </c>
      <c r="S260" s="3">
        <v>2980840</v>
      </c>
      <c r="T260" s="3">
        <v>373373</v>
      </c>
      <c r="U260" s="3">
        <v>373373</v>
      </c>
      <c r="V260" s="3">
        <v>373373</v>
      </c>
      <c r="W260" s="3">
        <v>373373</v>
      </c>
      <c r="X260" s="3">
        <v>371240</v>
      </c>
      <c r="Y260" s="3">
        <v>371240</v>
      </c>
      <c r="Z260" s="4">
        <v>371241</v>
      </c>
      <c r="AA260" s="4">
        <v>371241</v>
      </c>
      <c r="AB260" s="4">
        <v>371241</v>
      </c>
      <c r="AC260" s="4">
        <v>371239</v>
      </c>
      <c r="AD260" s="4">
        <v>373373</v>
      </c>
      <c r="AE260" s="4">
        <v>746746</v>
      </c>
      <c r="AF260" s="4">
        <v>1120119</v>
      </c>
      <c r="AG260" s="4">
        <v>1493492</v>
      </c>
      <c r="AH260" s="4">
        <v>1864732</v>
      </c>
      <c r="AI260" s="4">
        <v>2235972</v>
      </c>
      <c r="AJ260" s="4">
        <v>2607213</v>
      </c>
      <c r="AK260" s="4">
        <v>2978454</v>
      </c>
      <c r="AL260" s="4">
        <v>3349695</v>
      </c>
      <c r="AM260" s="4">
        <v>3720934</v>
      </c>
      <c r="AN260" s="150">
        <v>245242</v>
      </c>
    </row>
    <row r="261" spans="1:40" x14ac:dyDescent="0.2">
      <c r="A261" s="1">
        <v>2023</v>
      </c>
      <c r="B261" s="2" t="s">
        <v>284</v>
      </c>
      <c r="C261" s="2" t="s">
        <v>284</v>
      </c>
      <c r="D261" s="1" t="s">
        <v>629</v>
      </c>
      <c r="E261" s="3">
        <v>10436529</v>
      </c>
      <c r="F261" s="3">
        <v>2338</v>
      </c>
      <c r="G261" s="3">
        <v>35120</v>
      </c>
      <c r="H261" s="1">
        <v>0</v>
      </c>
      <c r="I261" s="3">
        <v>10434191</v>
      </c>
      <c r="J261" s="3">
        <v>10399071</v>
      </c>
      <c r="K261" s="3">
        <v>10399071</v>
      </c>
      <c r="L261" s="3">
        <v>520279</v>
      </c>
      <c r="M261" s="3">
        <v>947881</v>
      </c>
      <c r="N261" s="3">
        <v>127210</v>
      </c>
      <c r="O261" s="3">
        <v>120660</v>
      </c>
      <c r="P261" s="3">
        <v>529007</v>
      </c>
      <c r="Q261" s="3">
        <v>8189154</v>
      </c>
      <c r="R261" s="3">
        <v>8154034</v>
      </c>
      <c r="S261" s="3">
        <v>8154034</v>
      </c>
      <c r="T261" s="3">
        <v>1043419</v>
      </c>
      <c r="U261" s="3">
        <v>1043419</v>
      </c>
      <c r="V261" s="3">
        <v>1043419</v>
      </c>
      <c r="W261" s="3">
        <v>1043419</v>
      </c>
      <c r="X261" s="3">
        <v>1037566</v>
      </c>
      <c r="Y261" s="3">
        <v>1037566</v>
      </c>
      <c r="Z261" s="4">
        <v>1037566</v>
      </c>
      <c r="AA261" s="4">
        <v>1037566</v>
      </c>
      <c r="AB261" s="4">
        <v>1037566</v>
      </c>
      <c r="AC261" s="4">
        <v>1037565</v>
      </c>
      <c r="AD261" s="4">
        <v>1043419</v>
      </c>
      <c r="AE261" s="4">
        <v>2086838</v>
      </c>
      <c r="AF261" s="4">
        <v>3130257</v>
      </c>
      <c r="AG261" s="4">
        <v>4173676</v>
      </c>
      <c r="AH261" s="4">
        <v>5211242</v>
      </c>
      <c r="AI261" s="4">
        <v>6248808</v>
      </c>
      <c r="AJ261" s="4">
        <v>7286374</v>
      </c>
      <c r="AK261" s="4">
        <v>8323940</v>
      </c>
      <c r="AL261" s="4">
        <v>9361506</v>
      </c>
      <c r="AM261" s="4">
        <v>10399071</v>
      </c>
      <c r="AN261" s="150">
        <v>839841</v>
      </c>
    </row>
    <row r="262" spans="1:40" x14ac:dyDescent="0.2">
      <c r="A262" s="1">
        <v>2023</v>
      </c>
      <c r="B262" s="2" t="s">
        <v>285</v>
      </c>
      <c r="C262" s="2" t="s">
        <v>285</v>
      </c>
      <c r="D262" s="1" t="s">
        <v>630</v>
      </c>
      <c r="E262" s="3">
        <v>126168050</v>
      </c>
      <c r="F262" s="3">
        <v>10963</v>
      </c>
      <c r="G262" s="3">
        <v>353182</v>
      </c>
      <c r="H262" s="1">
        <v>0</v>
      </c>
      <c r="I262" s="3">
        <v>126157087</v>
      </c>
      <c r="J262" s="3">
        <v>125803905</v>
      </c>
      <c r="K262" s="3">
        <v>125803905</v>
      </c>
      <c r="L262" s="3">
        <v>2439034</v>
      </c>
      <c r="M262" s="3">
        <v>9203366</v>
      </c>
      <c r="N262" s="3">
        <v>1352894</v>
      </c>
      <c r="O262" s="3">
        <v>1092545</v>
      </c>
      <c r="P262" s="3">
        <v>5319985</v>
      </c>
      <c r="Q262" s="3">
        <v>106749263</v>
      </c>
      <c r="R262" s="3">
        <v>106396081</v>
      </c>
      <c r="S262" s="3">
        <v>106396081</v>
      </c>
      <c r="T262" s="3">
        <v>12615709</v>
      </c>
      <c r="U262" s="3">
        <v>12615709</v>
      </c>
      <c r="V262" s="3">
        <v>12615709</v>
      </c>
      <c r="W262" s="3">
        <v>12615709</v>
      </c>
      <c r="X262" s="3">
        <v>12556845</v>
      </c>
      <c r="Y262" s="3">
        <v>12556845</v>
      </c>
      <c r="Z262" s="4">
        <v>12556845</v>
      </c>
      <c r="AA262" s="4">
        <v>12556845</v>
      </c>
      <c r="AB262" s="4">
        <v>12556845</v>
      </c>
      <c r="AC262" s="4">
        <v>12556844</v>
      </c>
      <c r="AD262" s="4">
        <v>12615709</v>
      </c>
      <c r="AE262" s="4">
        <v>25231418</v>
      </c>
      <c r="AF262" s="4">
        <v>37847127</v>
      </c>
      <c r="AG262" s="4">
        <v>50462836</v>
      </c>
      <c r="AH262" s="4">
        <v>63019681</v>
      </c>
      <c r="AI262" s="4">
        <v>75576526</v>
      </c>
      <c r="AJ262" s="4">
        <v>88133371</v>
      </c>
      <c r="AK262" s="4">
        <v>100690216</v>
      </c>
      <c r="AL262" s="4">
        <v>113247061</v>
      </c>
      <c r="AM262" s="4">
        <v>125803905</v>
      </c>
      <c r="AN262" s="150">
        <v>7709061</v>
      </c>
    </row>
    <row r="263" spans="1:40" x14ac:dyDescent="0.2">
      <c r="A263" s="1">
        <v>2023</v>
      </c>
      <c r="B263" s="2" t="s">
        <v>286</v>
      </c>
      <c r="C263" s="2" t="s">
        <v>702</v>
      </c>
      <c r="D263" s="1" t="s">
        <v>631</v>
      </c>
      <c r="E263" s="3">
        <v>2487461</v>
      </c>
      <c r="F263" s="1">
        <v>398</v>
      </c>
      <c r="G263" s="3">
        <v>10214</v>
      </c>
      <c r="H263" s="3">
        <v>0</v>
      </c>
      <c r="I263" s="3">
        <v>2487063</v>
      </c>
      <c r="J263" s="3">
        <v>2476849</v>
      </c>
      <c r="K263" s="3">
        <v>2476849</v>
      </c>
      <c r="L263" s="3">
        <v>88558</v>
      </c>
      <c r="M263" s="3">
        <v>342930</v>
      </c>
      <c r="N263" s="3">
        <v>36066</v>
      </c>
      <c r="O263" s="3">
        <v>39257</v>
      </c>
      <c r="P263" s="3">
        <v>161654</v>
      </c>
      <c r="Q263" s="3">
        <v>1818598</v>
      </c>
      <c r="R263" s="3">
        <v>1808384</v>
      </c>
      <c r="S263" s="3">
        <v>1808384</v>
      </c>
      <c r="T263" s="3">
        <v>248706</v>
      </c>
      <c r="U263" s="3">
        <v>248706</v>
      </c>
      <c r="V263" s="3">
        <v>248706</v>
      </c>
      <c r="W263" s="3">
        <v>248706</v>
      </c>
      <c r="X263" s="3">
        <v>247004</v>
      </c>
      <c r="Y263" s="3">
        <v>247004</v>
      </c>
      <c r="Z263" s="4">
        <v>247004</v>
      </c>
      <c r="AA263" s="4">
        <v>247004</v>
      </c>
      <c r="AB263" s="4">
        <v>247004</v>
      </c>
      <c r="AC263" s="4">
        <v>247005</v>
      </c>
      <c r="AD263" s="4">
        <v>248706</v>
      </c>
      <c r="AE263" s="4">
        <v>497412</v>
      </c>
      <c r="AF263" s="4">
        <v>746118</v>
      </c>
      <c r="AG263" s="4">
        <v>994824</v>
      </c>
      <c r="AH263" s="4">
        <v>1241828</v>
      </c>
      <c r="AI263" s="4">
        <v>1488832</v>
      </c>
      <c r="AJ263" s="4">
        <v>1735836</v>
      </c>
      <c r="AK263" s="4">
        <v>1982840</v>
      </c>
      <c r="AL263" s="4">
        <v>2229844</v>
      </c>
      <c r="AM263" s="4">
        <v>2476849</v>
      </c>
      <c r="AN263" s="150">
        <v>219440</v>
      </c>
    </row>
    <row r="264" spans="1:40" x14ac:dyDescent="0.2">
      <c r="A264" s="1">
        <v>2023</v>
      </c>
      <c r="B264" s="2" t="s">
        <v>287</v>
      </c>
      <c r="C264" s="2" t="s">
        <v>287</v>
      </c>
      <c r="D264" s="1" t="s">
        <v>632</v>
      </c>
      <c r="E264" s="3">
        <v>4760162</v>
      </c>
      <c r="F264" s="3">
        <v>779</v>
      </c>
      <c r="G264" s="3">
        <v>21274</v>
      </c>
      <c r="H264" s="1">
        <v>0</v>
      </c>
      <c r="I264" s="3">
        <v>4759383</v>
      </c>
      <c r="J264" s="3">
        <v>4738109</v>
      </c>
      <c r="K264" s="3">
        <v>4738109</v>
      </c>
      <c r="L264" s="3">
        <v>173427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3489561</v>
      </c>
      <c r="R264" s="3">
        <v>3468287</v>
      </c>
      <c r="S264" s="3">
        <v>3468287</v>
      </c>
      <c r="T264" s="3">
        <v>475938</v>
      </c>
      <c r="U264" s="3">
        <v>475938</v>
      </c>
      <c r="V264" s="3">
        <v>475938</v>
      </c>
      <c r="W264" s="3">
        <v>475938</v>
      </c>
      <c r="X264" s="3">
        <v>472393</v>
      </c>
      <c r="Y264" s="3">
        <v>472393</v>
      </c>
      <c r="Z264" s="4">
        <v>472393</v>
      </c>
      <c r="AA264" s="4">
        <v>472393</v>
      </c>
      <c r="AB264" s="4">
        <v>472393</v>
      </c>
      <c r="AC264" s="4">
        <v>472392</v>
      </c>
      <c r="AD264" s="4">
        <v>475938</v>
      </c>
      <c r="AE264" s="4">
        <v>951876</v>
      </c>
      <c r="AF264" s="4">
        <v>1427814</v>
      </c>
      <c r="AG264" s="4">
        <v>1903752</v>
      </c>
      <c r="AH264" s="4">
        <v>2376145</v>
      </c>
      <c r="AI264" s="4">
        <v>2848538</v>
      </c>
      <c r="AJ264" s="4">
        <v>3320931</v>
      </c>
      <c r="AK264" s="4">
        <v>3793324</v>
      </c>
      <c r="AL264" s="4">
        <v>4265717</v>
      </c>
      <c r="AM264" s="4">
        <v>4738109</v>
      </c>
      <c r="AN264" s="150">
        <v>441268</v>
      </c>
    </row>
    <row r="265" spans="1:40" x14ac:dyDescent="0.2">
      <c r="A265" s="1">
        <v>2023</v>
      </c>
      <c r="B265" s="2" t="s">
        <v>288</v>
      </c>
      <c r="C265" s="2" t="s">
        <v>288</v>
      </c>
      <c r="D265" s="1" t="s">
        <v>633</v>
      </c>
      <c r="E265" s="3">
        <v>8896843</v>
      </c>
      <c r="F265" s="3">
        <v>846</v>
      </c>
      <c r="G265" s="3">
        <v>33963</v>
      </c>
      <c r="H265" s="1">
        <v>0</v>
      </c>
      <c r="I265" s="3">
        <v>8895997</v>
      </c>
      <c r="J265" s="3">
        <v>8862034</v>
      </c>
      <c r="K265" s="3">
        <v>8862034</v>
      </c>
      <c r="L265" s="3">
        <v>188186</v>
      </c>
      <c r="M265" s="3">
        <v>872836</v>
      </c>
      <c r="N265" s="3">
        <v>84701</v>
      </c>
      <c r="O265" s="3">
        <v>91078</v>
      </c>
      <c r="P265" s="3">
        <v>511582</v>
      </c>
      <c r="Q265" s="3">
        <v>7147614</v>
      </c>
      <c r="R265" s="3">
        <v>7113651</v>
      </c>
      <c r="S265" s="3">
        <v>7113651</v>
      </c>
      <c r="T265" s="3">
        <v>889600</v>
      </c>
      <c r="U265" s="3">
        <v>889600</v>
      </c>
      <c r="V265" s="3">
        <v>889600</v>
      </c>
      <c r="W265" s="3">
        <v>889600</v>
      </c>
      <c r="X265" s="3">
        <v>883939</v>
      </c>
      <c r="Y265" s="3">
        <v>883939</v>
      </c>
      <c r="Z265" s="4">
        <v>883939</v>
      </c>
      <c r="AA265" s="4">
        <v>883939</v>
      </c>
      <c r="AB265" s="4">
        <v>883939</v>
      </c>
      <c r="AC265" s="4">
        <v>883939</v>
      </c>
      <c r="AD265" s="4">
        <v>889600</v>
      </c>
      <c r="AE265" s="4">
        <v>1779200</v>
      </c>
      <c r="AF265" s="4">
        <v>2668800</v>
      </c>
      <c r="AG265" s="4">
        <v>3558400</v>
      </c>
      <c r="AH265" s="4">
        <v>4442339</v>
      </c>
      <c r="AI265" s="4">
        <v>5326278</v>
      </c>
      <c r="AJ265" s="4">
        <v>6210217</v>
      </c>
      <c r="AK265" s="4">
        <v>7094156</v>
      </c>
      <c r="AL265" s="4">
        <v>7978095</v>
      </c>
      <c r="AM265" s="4">
        <v>8862034</v>
      </c>
      <c r="AN265" s="150">
        <v>676503</v>
      </c>
    </row>
    <row r="266" spans="1:40" x14ac:dyDescent="0.2">
      <c r="A266" s="1">
        <v>2023</v>
      </c>
      <c r="B266" s="2" t="s">
        <v>289</v>
      </c>
      <c r="C266" s="2" t="s">
        <v>289</v>
      </c>
      <c r="D266" s="1" t="s">
        <v>634</v>
      </c>
      <c r="E266" s="3">
        <v>3918145</v>
      </c>
      <c r="F266" s="3">
        <v>299</v>
      </c>
      <c r="G266" s="3">
        <v>12625</v>
      </c>
      <c r="H266" s="3">
        <v>0</v>
      </c>
      <c r="I266" s="3">
        <v>3917846</v>
      </c>
      <c r="J266" s="3">
        <v>3905221</v>
      </c>
      <c r="K266" s="3">
        <v>3905221</v>
      </c>
      <c r="L266" s="3">
        <v>66418</v>
      </c>
      <c r="M266" s="3">
        <v>344061</v>
      </c>
      <c r="N266" s="3">
        <v>35626</v>
      </c>
      <c r="O266" s="3">
        <v>36562</v>
      </c>
      <c r="P266" s="3">
        <v>190171</v>
      </c>
      <c r="Q266" s="3">
        <v>3245008</v>
      </c>
      <c r="R266" s="3">
        <v>3232383</v>
      </c>
      <c r="S266" s="3">
        <v>3232383</v>
      </c>
      <c r="T266" s="3">
        <v>391785</v>
      </c>
      <c r="U266" s="3">
        <v>391785</v>
      </c>
      <c r="V266" s="3">
        <v>391785</v>
      </c>
      <c r="W266" s="3">
        <v>391785</v>
      </c>
      <c r="X266" s="3">
        <v>389680</v>
      </c>
      <c r="Y266" s="3">
        <v>389680</v>
      </c>
      <c r="Z266" s="4">
        <v>389680</v>
      </c>
      <c r="AA266" s="4">
        <v>389680</v>
      </c>
      <c r="AB266" s="4">
        <v>389680</v>
      </c>
      <c r="AC266" s="4">
        <v>389681</v>
      </c>
      <c r="AD266" s="4">
        <v>391785</v>
      </c>
      <c r="AE266" s="4">
        <v>783570</v>
      </c>
      <c r="AF266" s="4">
        <v>1175355</v>
      </c>
      <c r="AG266" s="4">
        <v>1567140</v>
      </c>
      <c r="AH266" s="4">
        <v>1956820</v>
      </c>
      <c r="AI266" s="4">
        <v>2346500</v>
      </c>
      <c r="AJ266" s="4">
        <v>2736180</v>
      </c>
      <c r="AK266" s="4">
        <v>3125860</v>
      </c>
      <c r="AL266" s="4">
        <v>3515540</v>
      </c>
      <c r="AM266" s="4">
        <v>3905221</v>
      </c>
      <c r="AN266" s="150">
        <v>247270</v>
      </c>
    </row>
    <row r="267" spans="1:40" x14ac:dyDescent="0.2">
      <c r="A267" s="1">
        <v>2023</v>
      </c>
      <c r="B267" s="2" t="s">
        <v>290</v>
      </c>
      <c r="C267" s="2" t="s">
        <v>290</v>
      </c>
      <c r="D267" s="1" t="s">
        <v>635</v>
      </c>
      <c r="E267" s="3">
        <v>3553825</v>
      </c>
      <c r="F267" s="3">
        <v>580</v>
      </c>
      <c r="G267" s="3">
        <v>14996</v>
      </c>
      <c r="H267" s="1">
        <v>0</v>
      </c>
      <c r="I267" s="3">
        <v>3553245</v>
      </c>
      <c r="J267" s="3">
        <v>3538249</v>
      </c>
      <c r="K267" s="3">
        <v>3538249</v>
      </c>
      <c r="L267" s="3">
        <v>125534</v>
      </c>
      <c r="M267" s="3">
        <v>442377</v>
      </c>
      <c r="N267" s="3">
        <v>50176</v>
      </c>
      <c r="O267" s="3">
        <v>52133</v>
      </c>
      <c r="P267" s="3">
        <v>225879</v>
      </c>
      <c r="Q267" s="3">
        <v>2657146</v>
      </c>
      <c r="R267" s="3">
        <v>2642150</v>
      </c>
      <c r="S267" s="3">
        <v>2642150</v>
      </c>
      <c r="T267" s="3">
        <v>355325</v>
      </c>
      <c r="U267" s="3">
        <v>355325</v>
      </c>
      <c r="V267" s="3">
        <v>355325</v>
      </c>
      <c r="W267" s="3">
        <v>355325</v>
      </c>
      <c r="X267" s="3">
        <v>352825</v>
      </c>
      <c r="Y267" s="3">
        <v>352825</v>
      </c>
      <c r="Z267" s="4">
        <v>352825</v>
      </c>
      <c r="AA267" s="4">
        <v>352825</v>
      </c>
      <c r="AB267" s="4">
        <v>352825</v>
      </c>
      <c r="AC267" s="4">
        <v>352824</v>
      </c>
      <c r="AD267" s="4">
        <v>355325</v>
      </c>
      <c r="AE267" s="4">
        <v>710650</v>
      </c>
      <c r="AF267" s="4">
        <v>1065975</v>
      </c>
      <c r="AG267" s="4">
        <v>1421300</v>
      </c>
      <c r="AH267" s="4">
        <v>1774125</v>
      </c>
      <c r="AI267" s="4">
        <v>2126950</v>
      </c>
      <c r="AJ267" s="4">
        <v>2479775</v>
      </c>
      <c r="AK267" s="4">
        <v>2832600</v>
      </c>
      <c r="AL267" s="4">
        <v>3185425</v>
      </c>
      <c r="AM267" s="4">
        <v>3538249</v>
      </c>
      <c r="AN267" s="150">
        <v>299317</v>
      </c>
    </row>
    <row r="268" spans="1:40" x14ac:dyDescent="0.2">
      <c r="A268" s="1">
        <v>2023</v>
      </c>
      <c r="B268" s="2" t="s">
        <v>291</v>
      </c>
      <c r="C268" s="2" t="s">
        <v>291</v>
      </c>
      <c r="D268" s="1" t="s">
        <v>636</v>
      </c>
      <c r="E268" s="3">
        <v>2873454</v>
      </c>
      <c r="F268" s="3">
        <v>365</v>
      </c>
      <c r="G268" s="3">
        <v>12475</v>
      </c>
      <c r="H268" s="3">
        <v>0</v>
      </c>
      <c r="I268" s="3">
        <v>2873089</v>
      </c>
      <c r="J268" s="3">
        <v>2860614</v>
      </c>
      <c r="K268" s="3">
        <v>2860614</v>
      </c>
      <c r="L268" s="3">
        <v>81178</v>
      </c>
      <c r="M268" s="3">
        <v>366264</v>
      </c>
      <c r="N268" s="3">
        <v>44416</v>
      </c>
      <c r="O268" s="3">
        <v>42504</v>
      </c>
      <c r="P268" s="3">
        <v>187917</v>
      </c>
      <c r="Q268" s="3">
        <v>2150810</v>
      </c>
      <c r="R268" s="3">
        <v>2138335</v>
      </c>
      <c r="S268" s="3">
        <v>2138335</v>
      </c>
      <c r="T268" s="3">
        <v>287309</v>
      </c>
      <c r="U268" s="3">
        <v>287309</v>
      </c>
      <c r="V268" s="3">
        <v>287309</v>
      </c>
      <c r="W268" s="3">
        <v>287309</v>
      </c>
      <c r="X268" s="3">
        <v>285230</v>
      </c>
      <c r="Y268" s="3">
        <v>285230</v>
      </c>
      <c r="Z268" s="4">
        <v>285230</v>
      </c>
      <c r="AA268" s="4">
        <v>285230</v>
      </c>
      <c r="AB268" s="4">
        <v>285230</v>
      </c>
      <c r="AC268" s="4">
        <v>285228</v>
      </c>
      <c r="AD268" s="4">
        <v>287309</v>
      </c>
      <c r="AE268" s="4">
        <v>574618</v>
      </c>
      <c r="AF268" s="4">
        <v>861927</v>
      </c>
      <c r="AG268" s="4">
        <v>1149236</v>
      </c>
      <c r="AH268" s="4">
        <v>1434466</v>
      </c>
      <c r="AI268" s="4">
        <v>1719696</v>
      </c>
      <c r="AJ268" s="4">
        <v>2004926</v>
      </c>
      <c r="AK268" s="4">
        <v>2290156</v>
      </c>
      <c r="AL268" s="4">
        <v>2575386</v>
      </c>
      <c r="AM268" s="4">
        <v>2860614</v>
      </c>
      <c r="AN268" s="150">
        <v>260566</v>
      </c>
    </row>
    <row r="269" spans="1:40" x14ac:dyDescent="0.2">
      <c r="A269" s="1">
        <v>2023</v>
      </c>
      <c r="B269" s="2" t="s">
        <v>292</v>
      </c>
      <c r="C269" s="2" t="s">
        <v>292</v>
      </c>
      <c r="D269" s="1" t="s">
        <v>637</v>
      </c>
      <c r="E269" s="3">
        <v>1310492</v>
      </c>
      <c r="F269" s="1">
        <v>83</v>
      </c>
      <c r="G269" s="3">
        <v>4824</v>
      </c>
      <c r="H269" s="1">
        <v>0</v>
      </c>
      <c r="I269" s="3">
        <v>1310409</v>
      </c>
      <c r="J269" s="3">
        <v>1305585</v>
      </c>
      <c r="K269" s="3">
        <v>1305585</v>
      </c>
      <c r="L269" s="3">
        <v>18450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1035428</v>
      </c>
      <c r="R269" s="3">
        <v>1030604</v>
      </c>
      <c r="S269" s="3">
        <v>1030604</v>
      </c>
      <c r="T269" s="3">
        <v>131041</v>
      </c>
      <c r="U269" s="3">
        <v>131041</v>
      </c>
      <c r="V269" s="3">
        <v>131041</v>
      </c>
      <c r="W269" s="3">
        <v>131041</v>
      </c>
      <c r="X269" s="3">
        <v>130237</v>
      </c>
      <c r="Y269" s="3">
        <v>130237</v>
      </c>
      <c r="Z269" s="4">
        <v>130237</v>
      </c>
      <c r="AA269" s="4">
        <v>130237</v>
      </c>
      <c r="AB269" s="4">
        <v>130237</v>
      </c>
      <c r="AC269" s="4">
        <v>130236</v>
      </c>
      <c r="AD269" s="4">
        <v>131041</v>
      </c>
      <c r="AE269" s="4">
        <v>262082</v>
      </c>
      <c r="AF269" s="4">
        <v>393123</v>
      </c>
      <c r="AG269" s="4">
        <v>524164</v>
      </c>
      <c r="AH269" s="4">
        <v>654401</v>
      </c>
      <c r="AI269" s="4">
        <v>784638</v>
      </c>
      <c r="AJ269" s="4">
        <v>914875</v>
      </c>
      <c r="AK269" s="4">
        <v>1045112</v>
      </c>
      <c r="AL269" s="4">
        <v>1175349</v>
      </c>
      <c r="AM269" s="4">
        <v>1305585</v>
      </c>
      <c r="AN269" s="150">
        <v>98277</v>
      </c>
    </row>
    <row r="270" spans="1:40" x14ac:dyDescent="0.2">
      <c r="A270" s="1">
        <v>2023</v>
      </c>
      <c r="B270" s="2" t="s">
        <v>293</v>
      </c>
      <c r="C270" s="2" t="s">
        <v>293</v>
      </c>
      <c r="D270" s="1" t="s">
        <v>638</v>
      </c>
      <c r="E270" s="3">
        <v>11661415</v>
      </c>
      <c r="F270" s="3">
        <v>1310</v>
      </c>
      <c r="G270" s="3">
        <v>34523</v>
      </c>
      <c r="H270" s="1">
        <v>0</v>
      </c>
      <c r="I270" s="3">
        <v>11660105</v>
      </c>
      <c r="J270" s="3">
        <v>11625582</v>
      </c>
      <c r="K270" s="3">
        <v>11625582</v>
      </c>
      <c r="L270" s="3">
        <v>291504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9647172</v>
      </c>
      <c r="R270" s="3">
        <v>9612649</v>
      </c>
      <c r="S270" s="3">
        <v>9612649</v>
      </c>
      <c r="T270" s="3">
        <v>1166011</v>
      </c>
      <c r="U270" s="3">
        <v>1166011</v>
      </c>
      <c r="V270" s="3">
        <v>1166011</v>
      </c>
      <c r="W270" s="3">
        <v>1166011</v>
      </c>
      <c r="X270" s="3">
        <v>1160256</v>
      </c>
      <c r="Y270" s="3">
        <v>1160256</v>
      </c>
      <c r="Z270" s="4">
        <v>1160257</v>
      </c>
      <c r="AA270" s="4">
        <v>1160257</v>
      </c>
      <c r="AB270" s="4">
        <v>1160257</v>
      </c>
      <c r="AC270" s="4">
        <v>1160255</v>
      </c>
      <c r="AD270" s="4">
        <v>1166011</v>
      </c>
      <c r="AE270" s="4">
        <v>2332022</v>
      </c>
      <c r="AF270" s="4">
        <v>3498033</v>
      </c>
      <c r="AG270" s="4">
        <v>4664044</v>
      </c>
      <c r="AH270" s="4">
        <v>5824300</v>
      </c>
      <c r="AI270" s="4">
        <v>6984556</v>
      </c>
      <c r="AJ270" s="4">
        <v>8144813</v>
      </c>
      <c r="AK270" s="4">
        <v>9305070</v>
      </c>
      <c r="AL270" s="4">
        <v>10465327</v>
      </c>
      <c r="AM270" s="4">
        <v>11625582</v>
      </c>
      <c r="AN270" s="150">
        <v>743312</v>
      </c>
    </row>
    <row r="271" spans="1:40" x14ac:dyDescent="0.2">
      <c r="A271" s="1">
        <v>2023</v>
      </c>
      <c r="B271" s="2" t="s">
        <v>294</v>
      </c>
      <c r="C271" s="2" t="s">
        <v>294</v>
      </c>
      <c r="D271" s="1" t="s">
        <v>639</v>
      </c>
      <c r="E271" s="3">
        <v>3449567</v>
      </c>
      <c r="F271" s="1">
        <v>979</v>
      </c>
      <c r="G271" s="3">
        <v>12048</v>
      </c>
      <c r="H271" s="1">
        <v>0</v>
      </c>
      <c r="I271" s="3">
        <v>3448588</v>
      </c>
      <c r="J271" s="3">
        <v>3436540</v>
      </c>
      <c r="K271" s="3">
        <v>3436540</v>
      </c>
      <c r="L271" s="3">
        <v>217705</v>
      </c>
      <c r="M271" s="3">
        <v>332530</v>
      </c>
      <c r="N271" s="3">
        <v>30062</v>
      </c>
      <c r="O271" s="3">
        <v>38228</v>
      </c>
      <c r="P271" s="3">
        <v>181476</v>
      </c>
      <c r="Q271" s="3">
        <v>2648587</v>
      </c>
      <c r="R271" s="3">
        <v>2636539</v>
      </c>
      <c r="S271" s="3">
        <v>2636539</v>
      </c>
      <c r="T271" s="3">
        <v>344859</v>
      </c>
      <c r="U271" s="3">
        <v>344859</v>
      </c>
      <c r="V271" s="3">
        <v>344859</v>
      </c>
      <c r="W271" s="3">
        <v>344859</v>
      </c>
      <c r="X271" s="3">
        <v>342851</v>
      </c>
      <c r="Y271" s="3">
        <v>342851</v>
      </c>
      <c r="Z271" s="4">
        <v>342851</v>
      </c>
      <c r="AA271" s="4">
        <v>342851</v>
      </c>
      <c r="AB271" s="4">
        <v>342851</v>
      </c>
      <c r="AC271" s="4">
        <v>342849</v>
      </c>
      <c r="AD271" s="4">
        <v>344859</v>
      </c>
      <c r="AE271" s="4">
        <v>689718</v>
      </c>
      <c r="AF271" s="4">
        <v>1034577</v>
      </c>
      <c r="AG271" s="4">
        <v>1379436</v>
      </c>
      <c r="AH271" s="4">
        <v>1722287</v>
      </c>
      <c r="AI271" s="4">
        <v>2065138</v>
      </c>
      <c r="AJ271" s="4">
        <v>2407989</v>
      </c>
      <c r="AK271" s="4">
        <v>2750840</v>
      </c>
      <c r="AL271" s="4">
        <v>3093691</v>
      </c>
      <c r="AM271" s="4">
        <v>3436540</v>
      </c>
      <c r="AN271" s="150">
        <v>277291</v>
      </c>
    </row>
    <row r="272" spans="1:40" x14ac:dyDescent="0.2">
      <c r="A272" s="1">
        <v>2023</v>
      </c>
      <c r="B272" s="2" t="s">
        <v>295</v>
      </c>
      <c r="C272" s="2" t="s">
        <v>295</v>
      </c>
      <c r="D272" s="1" t="s">
        <v>640</v>
      </c>
      <c r="E272" s="3">
        <v>50995273</v>
      </c>
      <c r="F272" s="3">
        <v>4776</v>
      </c>
      <c r="G272" s="3">
        <v>166847</v>
      </c>
      <c r="H272" s="1">
        <v>0</v>
      </c>
      <c r="I272" s="3">
        <v>50990497</v>
      </c>
      <c r="J272" s="3">
        <v>50823650</v>
      </c>
      <c r="K272" s="3">
        <v>50823650</v>
      </c>
      <c r="L272" s="3">
        <v>1062696</v>
      </c>
      <c r="M272" s="3">
        <v>4226752</v>
      </c>
      <c r="N272" s="3">
        <v>483890</v>
      </c>
      <c r="O272" s="3">
        <v>483469</v>
      </c>
      <c r="P272" s="3">
        <v>2513223</v>
      </c>
      <c r="Q272" s="3">
        <v>42220467</v>
      </c>
      <c r="R272" s="3">
        <v>42053620</v>
      </c>
      <c r="S272" s="3">
        <v>42053620</v>
      </c>
      <c r="T272" s="3">
        <v>5099050</v>
      </c>
      <c r="U272" s="3">
        <v>5099050</v>
      </c>
      <c r="V272" s="3">
        <v>5099050</v>
      </c>
      <c r="W272" s="3">
        <v>5099050</v>
      </c>
      <c r="X272" s="3">
        <v>5071242</v>
      </c>
      <c r="Y272" s="3">
        <v>5071242</v>
      </c>
      <c r="Z272" s="4">
        <v>5071242</v>
      </c>
      <c r="AA272" s="4">
        <v>5071242</v>
      </c>
      <c r="AB272" s="4">
        <v>5071242</v>
      </c>
      <c r="AC272" s="4">
        <v>5071240</v>
      </c>
      <c r="AD272" s="4">
        <v>5099050</v>
      </c>
      <c r="AE272" s="4">
        <v>10198100</v>
      </c>
      <c r="AF272" s="4">
        <v>15297150</v>
      </c>
      <c r="AG272" s="4">
        <v>20396200</v>
      </c>
      <c r="AH272" s="4">
        <v>25467442</v>
      </c>
      <c r="AI272" s="4">
        <v>30538684</v>
      </c>
      <c r="AJ272" s="4">
        <v>35609926</v>
      </c>
      <c r="AK272" s="4">
        <v>40681168</v>
      </c>
      <c r="AL272" s="4">
        <v>45752410</v>
      </c>
      <c r="AM272" s="4">
        <v>50823650</v>
      </c>
      <c r="AN272" s="150">
        <v>3480553</v>
      </c>
    </row>
    <row r="273" spans="1:40" x14ac:dyDescent="0.2">
      <c r="A273" s="1">
        <v>2023</v>
      </c>
      <c r="B273" s="2" t="s">
        <v>296</v>
      </c>
      <c r="C273" s="2" t="s">
        <v>296</v>
      </c>
      <c r="D273" s="1" t="s">
        <v>641</v>
      </c>
      <c r="E273" s="3">
        <v>14868180</v>
      </c>
      <c r="F273" s="3">
        <v>2554</v>
      </c>
      <c r="G273" s="3">
        <v>47564</v>
      </c>
      <c r="H273" s="1">
        <v>0</v>
      </c>
      <c r="I273" s="3">
        <v>14865626</v>
      </c>
      <c r="J273" s="3">
        <v>14818062</v>
      </c>
      <c r="K273" s="3">
        <v>14818062</v>
      </c>
      <c r="L273" s="3">
        <v>568247</v>
      </c>
      <c r="M273" s="3">
        <v>1289065</v>
      </c>
      <c r="N273" s="3">
        <v>153264</v>
      </c>
      <c r="O273" s="3">
        <v>154926</v>
      </c>
      <c r="P273" s="3">
        <v>716459</v>
      </c>
      <c r="Q273" s="3">
        <v>11983665</v>
      </c>
      <c r="R273" s="3">
        <v>11936101</v>
      </c>
      <c r="S273" s="3">
        <v>11936101</v>
      </c>
      <c r="T273" s="3">
        <v>1486563</v>
      </c>
      <c r="U273" s="3">
        <v>1486563</v>
      </c>
      <c r="V273" s="3">
        <v>1486563</v>
      </c>
      <c r="W273" s="3">
        <v>1486563</v>
      </c>
      <c r="X273" s="3">
        <v>1478635</v>
      </c>
      <c r="Y273" s="3">
        <v>1478635</v>
      </c>
      <c r="Z273" s="4">
        <v>1478635</v>
      </c>
      <c r="AA273" s="4">
        <v>1478635</v>
      </c>
      <c r="AB273" s="4">
        <v>1478635</v>
      </c>
      <c r="AC273" s="4">
        <v>1478635</v>
      </c>
      <c r="AD273" s="4">
        <v>1486563</v>
      </c>
      <c r="AE273" s="4">
        <v>2973126</v>
      </c>
      <c r="AF273" s="4">
        <v>4459689</v>
      </c>
      <c r="AG273" s="4">
        <v>5946252</v>
      </c>
      <c r="AH273" s="4">
        <v>7424887</v>
      </c>
      <c r="AI273" s="4">
        <v>8903522</v>
      </c>
      <c r="AJ273" s="4">
        <v>10382157</v>
      </c>
      <c r="AK273" s="4">
        <v>11860792</v>
      </c>
      <c r="AL273" s="4">
        <v>13339427</v>
      </c>
      <c r="AM273" s="4">
        <v>14818062</v>
      </c>
      <c r="AN273" s="150">
        <v>1058259</v>
      </c>
    </row>
    <row r="274" spans="1:40" x14ac:dyDescent="0.2">
      <c r="A274" s="1">
        <v>2023</v>
      </c>
      <c r="B274" s="2" t="s">
        <v>297</v>
      </c>
      <c r="C274" s="2" t="s">
        <v>297</v>
      </c>
      <c r="D274" s="1" t="s">
        <v>642</v>
      </c>
      <c r="E274" s="3">
        <v>2697049</v>
      </c>
      <c r="F274" s="3">
        <v>1128</v>
      </c>
      <c r="G274" s="3">
        <v>27219</v>
      </c>
      <c r="H274" s="1">
        <v>0</v>
      </c>
      <c r="I274" s="3">
        <v>2695921</v>
      </c>
      <c r="J274" s="3">
        <v>2668702</v>
      </c>
      <c r="K274" s="3">
        <v>2668702</v>
      </c>
      <c r="L274" s="3">
        <v>250914</v>
      </c>
      <c r="M274" s="3">
        <v>731703</v>
      </c>
      <c r="N274" s="3">
        <v>83525</v>
      </c>
      <c r="O274" s="3">
        <v>86481</v>
      </c>
      <c r="P274" s="3">
        <v>410003</v>
      </c>
      <c r="Q274" s="3">
        <v>1133295</v>
      </c>
      <c r="R274" s="3">
        <v>1106076</v>
      </c>
      <c r="S274" s="3">
        <v>1106076</v>
      </c>
      <c r="T274" s="3">
        <v>269592</v>
      </c>
      <c r="U274" s="3">
        <v>269592</v>
      </c>
      <c r="V274" s="3">
        <v>269592</v>
      </c>
      <c r="W274" s="3">
        <v>269592</v>
      </c>
      <c r="X274" s="3">
        <v>265056</v>
      </c>
      <c r="Y274" s="3">
        <v>265056</v>
      </c>
      <c r="Z274" s="4">
        <v>265056</v>
      </c>
      <c r="AA274" s="4">
        <v>265056</v>
      </c>
      <c r="AB274" s="4">
        <v>265056</v>
      </c>
      <c r="AC274" s="4">
        <v>265054</v>
      </c>
      <c r="AD274" s="4">
        <v>269592</v>
      </c>
      <c r="AE274" s="4">
        <v>539184</v>
      </c>
      <c r="AF274" s="4">
        <v>808776</v>
      </c>
      <c r="AG274" s="4">
        <v>1078368</v>
      </c>
      <c r="AH274" s="4">
        <v>1343424</v>
      </c>
      <c r="AI274" s="4">
        <v>1608480</v>
      </c>
      <c r="AJ274" s="4">
        <v>1873536</v>
      </c>
      <c r="AK274" s="4">
        <v>2138592</v>
      </c>
      <c r="AL274" s="4">
        <v>2403648</v>
      </c>
      <c r="AM274" s="4">
        <v>2668702</v>
      </c>
      <c r="AN274" s="150">
        <v>558679</v>
      </c>
    </row>
    <row r="275" spans="1:40" x14ac:dyDescent="0.2">
      <c r="A275" s="1">
        <v>2023</v>
      </c>
      <c r="B275" s="2" t="s">
        <v>298</v>
      </c>
      <c r="C275" s="2" t="s">
        <v>298</v>
      </c>
      <c r="D275" s="1" t="s">
        <v>643</v>
      </c>
      <c r="E275" s="3">
        <v>2733941</v>
      </c>
      <c r="F275" s="3">
        <v>498</v>
      </c>
      <c r="G275" s="3">
        <v>9528</v>
      </c>
      <c r="H275" s="1">
        <v>0</v>
      </c>
      <c r="I275" s="3">
        <v>2733443</v>
      </c>
      <c r="J275" s="3">
        <v>2723915</v>
      </c>
      <c r="K275" s="3">
        <v>2723915</v>
      </c>
      <c r="L275" s="3">
        <v>110697</v>
      </c>
      <c r="M275" s="3">
        <v>273859</v>
      </c>
      <c r="N275" s="3">
        <v>24944</v>
      </c>
      <c r="O275" s="3">
        <v>26601</v>
      </c>
      <c r="P275" s="3">
        <v>143514</v>
      </c>
      <c r="Q275" s="3">
        <v>2153828</v>
      </c>
      <c r="R275" s="3">
        <v>2144300</v>
      </c>
      <c r="S275" s="3">
        <v>2144300</v>
      </c>
      <c r="T275" s="3">
        <v>273344</v>
      </c>
      <c r="U275" s="3">
        <v>273344</v>
      </c>
      <c r="V275" s="3">
        <v>273344</v>
      </c>
      <c r="W275" s="3">
        <v>273344</v>
      </c>
      <c r="X275" s="3">
        <v>271757</v>
      </c>
      <c r="Y275" s="3">
        <v>271757</v>
      </c>
      <c r="Z275" s="4">
        <v>271756</v>
      </c>
      <c r="AA275" s="4">
        <v>271756</v>
      </c>
      <c r="AB275" s="4">
        <v>271756</v>
      </c>
      <c r="AC275" s="4">
        <v>271757</v>
      </c>
      <c r="AD275" s="4">
        <v>273344</v>
      </c>
      <c r="AE275" s="4">
        <v>546688</v>
      </c>
      <c r="AF275" s="4">
        <v>820032</v>
      </c>
      <c r="AG275" s="4">
        <v>1093376</v>
      </c>
      <c r="AH275" s="4">
        <v>1365133</v>
      </c>
      <c r="AI275" s="4">
        <v>1636890</v>
      </c>
      <c r="AJ275" s="4">
        <v>1908646</v>
      </c>
      <c r="AK275" s="4">
        <v>2180402</v>
      </c>
      <c r="AL275" s="4">
        <v>2452158</v>
      </c>
      <c r="AM275" s="4">
        <v>2723915</v>
      </c>
      <c r="AN275" s="150">
        <v>184715</v>
      </c>
    </row>
    <row r="276" spans="1:40" x14ac:dyDescent="0.2">
      <c r="A276" s="1">
        <v>2023</v>
      </c>
      <c r="B276" s="2" t="s">
        <v>299</v>
      </c>
      <c r="C276" s="2" t="s">
        <v>299</v>
      </c>
      <c r="D276" s="1" t="s">
        <v>644</v>
      </c>
      <c r="E276" s="3">
        <v>1453426</v>
      </c>
      <c r="F276" s="3">
        <v>232</v>
      </c>
      <c r="G276" s="3">
        <v>4620</v>
      </c>
      <c r="H276" s="1">
        <v>0</v>
      </c>
      <c r="I276" s="3">
        <v>1453194</v>
      </c>
      <c r="J276" s="3">
        <v>1448574</v>
      </c>
      <c r="K276" s="3">
        <v>1448574</v>
      </c>
      <c r="L276" s="3">
        <v>51659</v>
      </c>
      <c r="M276" s="3">
        <v>141407</v>
      </c>
      <c r="N276" s="3">
        <v>14377</v>
      </c>
      <c r="O276" s="3">
        <v>17390</v>
      </c>
      <c r="P276" s="3">
        <v>69592</v>
      </c>
      <c r="Q276" s="3">
        <v>1158769</v>
      </c>
      <c r="R276" s="3">
        <v>1154149</v>
      </c>
      <c r="S276" s="3">
        <v>1154149</v>
      </c>
      <c r="T276" s="3">
        <v>145319</v>
      </c>
      <c r="U276" s="3">
        <v>145319</v>
      </c>
      <c r="V276" s="3">
        <v>145319</v>
      </c>
      <c r="W276" s="3">
        <v>145319</v>
      </c>
      <c r="X276" s="3">
        <v>144550</v>
      </c>
      <c r="Y276" s="3">
        <v>144550</v>
      </c>
      <c r="Z276" s="4">
        <v>144550</v>
      </c>
      <c r="AA276" s="4">
        <v>144550</v>
      </c>
      <c r="AB276" s="4">
        <v>144550</v>
      </c>
      <c r="AC276" s="4">
        <v>144548</v>
      </c>
      <c r="AD276" s="4">
        <v>145319</v>
      </c>
      <c r="AE276" s="4">
        <v>290638</v>
      </c>
      <c r="AF276" s="4">
        <v>435957</v>
      </c>
      <c r="AG276" s="4">
        <v>581276</v>
      </c>
      <c r="AH276" s="4">
        <v>725826</v>
      </c>
      <c r="AI276" s="4">
        <v>870376</v>
      </c>
      <c r="AJ276" s="4">
        <v>1014926</v>
      </c>
      <c r="AK276" s="4">
        <v>1159476</v>
      </c>
      <c r="AL276" s="4">
        <v>1304026</v>
      </c>
      <c r="AM276" s="4">
        <v>1448574</v>
      </c>
      <c r="AN276" s="150">
        <v>91678</v>
      </c>
    </row>
    <row r="277" spans="1:40" x14ac:dyDescent="0.2">
      <c r="A277" s="1">
        <v>2023</v>
      </c>
      <c r="B277" s="2" t="s">
        <v>300</v>
      </c>
      <c r="C277" s="2" t="s">
        <v>300</v>
      </c>
      <c r="D277" s="1" t="s">
        <v>645</v>
      </c>
      <c r="E277" s="3">
        <v>4109196</v>
      </c>
      <c r="F277" s="3">
        <v>531</v>
      </c>
      <c r="G277" s="3">
        <v>14361</v>
      </c>
      <c r="H277" s="3">
        <v>0</v>
      </c>
      <c r="I277" s="3">
        <v>4108665</v>
      </c>
      <c r="J277" s="3">
        <v>4094304</v>
      </c>
      <c r="K277" s="3">
        <v>4094304</v>
      </c>
      <c r="L277" s="3">
        <v>118077</v>
      </c>
      <c r="M277" s="3">
        <v>418026</v>
      </c>
      <c r="N277" s="3">
        <v>51355</v>
      </c>
      <c r="O277" s="3">
        <v>46445</v>
      </c>
      <c r="P277" s="3">
        <v>216326</v>
      </c>
      <c r="Q277" s="3">
        <v>3258436</v>
      </c>
      <c r="R277" s="3">
        <v>3244075</v>
      </c>
      <c r="S277" s="3">
        <v>3244075</v>
      </c>
      <c r="T277" s="3">
        <v>410867</v>
      </c>
      <c r="U277" s="3">
        <v>410867</v>
      </c>
      <c r="V277" s="3">
        <v>410867</v>
      </c>
      <c r="W277" s="3">
        <v>410867</v>
      </c>
      <c r="X277" s="3">
        <v>408473</v>
      </c>
      <c r="Y277" s="3">
        <v>408473</v>
      </c>
      <c r="Z277" s="4">
        <v>408473</v>
      </c>
      <c r="AA277" s="4">
        <v>408473</v>
      </c>
      <c r="AB277" s="4">
        <v>408473</v>
      </c>
      <c r="AC277" s="4">
        <v>408471</v>
      </c>
      <c r="AD277" s="4">
        <v>410867</v>
      </c>
      <c r="AE277" s="4">
        <v>821734</v>
      </c>
      <c r="AF277" s="4">
        <v>1232601</v>
      </c>
      <c r="AG277" s="4">
        <v>1643468</v>
      </c>
      <c r="AH277" s="4">
        <v>2051941</v>
      </c>
      <c r="AI277" s="4">
        <v>2460414</v>
      </c>
      <c r="AJ277" s="4">
        <v>2868887</v>
      </c>
      <c r="AK277" s="4">
        <v>3277360</v>
      </c>
      <c r="AL277" s="4">
        <v>3685833</v>
      </c>
      <c r="AM277" s="4">
        <v>4094304</v>
      </c>
      <c r="AN277" s="150">
        <v>301570</v>
      </c>
    </row>
    <row r="278" spans="1:40" x14ac:dyDescent="0.2">
      <c r="A278" s="1">
        <v>2023</v>
      </c>
      <c r="B278" s="2" t="s">
        <v>301</v>
      </c>
      <c r="C278" s="2" t="s">
        <v>301</v>
      </c>
      <c r="D278" s="1" t="s">
        <v>646</v>
      </c>
      <c r="E278" s="3">
        <v>21867497</v>
      </c>
      <c r="F278" s="3">
        <v>2637</v>
      </c>
      <c r="G278" s="3">
        <v>61051</v>
      </c>
      <c r="H278" s="1">
        <v>0</v>
      </c>
      <c r="I278" s="3">
        <v>21864860</v>
      </c>
      <c r="J278" s="3">
        <v>21803809</v>
      </c>
      <c r="K278" s="3">
        <v>21803809</v>
      </c>
      <c r="L278" s="3">
        <v>586697</v>
      </c>
      <c r="M278" s="3">
        <v>1598767</v>
      </c>
      <c r="N278" s="3">
        <v>232732</v>
      </c>
      <c r="O278" s="3">
        <v>184052</v>
      </c>
      <c r="P278" s="3">
        <v>919618</v>
      </c>
      <c r="Q278" s="3">
        <v>18342994</v>
      </c>
      <c r="R278" s="3">
        <v>18281943</v>
      </c>
      <c r="S278" s="3">
        <v>18281943</v>
      </c>
      <c r="T278" s="3">
        <v>2186486</v>
      </c>
      <c r="U278" s="3">
        <v>2186486</v>
      </c>
      <c r="V278" s="3">
        <v>2186486</v>
      </c>
      <c r="W278" s="3">
        <v>2186486</v>
      </c>
      <c r="X278" s="3">
        <v>2176311</v>
      </c>
      <c r="Y278" s="3">
        <v>2176311</v>
      </c>
      <c r="Z278" s="4">
        <v>2176311</v>
      </c>
      <c r="AA278" s="4">
        <v>2176311</v>
      </c>
      <c r="AB278" s="4">
        <v>2176311</v>
      </c>
      <c r="AC278" s="4">
        <v>2176310</v>
      </c>
      <c r="AD278" s="4">
        <v>2186486</v>
      </c>
      <c r="AE278" s="4">
        <v>4372972</v>
      </c>
      <c r="AF278" s="4">
        <v>6559458</v>
      </c>
      <c r="AG278" s="4">
        <v>8745944</v>
      </c>
      <c r="AH278" s="4">
        <v>10922255</v>
      </c>
      <c r="AI278" s="4">
        <v>13098566</v>
      </c>
      <c r="AJ278" s="4">
        <v>15274877</v>
      </c>
      <c r="AK278" s="4">
        <v>17451188</v>
      </c>
      <c r="AL278" s="4">
        <v>19627499</v>
      </c>
      <c r="AM278" s="4">
        <v>21803809</v>
      </c>
      <c r="AN278" s="150">
        <v>1339148</v>
      </c>
    </row>
    <row r="279" spans="1:40" x14ac:dyDescent="0.2">
      <c r="A279" s="1">
        <v>2023</v>
      </c>
      <c r="B279" s="2" t="s">
        <v>302</v>
      </c>
      <c r="C279" s="2" t="s">
        <v>302</v>
      </c>
      <c r="D279" s="1" t="s">
        <v>647</v>
      </c>
      <c r="E279" s="3">
        <v>792291</v>
      </c>
      <c r="F279" s="3">
        <v>199</v>
      </c>
      <c r="G279" s="3">
        <v>3002</v>
      </c>
      <c r="H279" s="1">
        <v>0</v>
      </c>
      <c r="I279" s="3">
        <v>792092</v>
      </c>
      <c r="J279" s="3">
        <v>789090</v>
      </c>
      <c r="K279" s="3">
        <v>789090</v>
      </c>
      <c r="L279" s="3">
        <v>44279</v>
      </c>
      <c r="M279" s="3">
        <v>77664</v>
      </c>
      <c r="N279" s="3">
        <v>8719</v>
      </c>
      <c r="O279" s="3">
        <v>7685</v>
      </c>
      <c r="P279" s="3">
        <v>45226</v>
      </c>
      <c r="Q279" s="3">
        <v>608519</v>
      </c>
      <c r="R279" s="3">
        <v>605517</v>
      </c>
      <c r="S279" s="3">
        <v>605517</v>
      </c>
      <c r="T279" s="3">
        <v>79209</v>
      </c>
      <c r="U279" s="3">
        <v>79209</v>
      </c>
      <c r="V279" s="3">
        <v>79209</v>
      </c>
      <c r="W279" s="3">
        <v>79209</v>
      </c>
      <c r="X279" s="3">
        <v>78709</v>
      </c>
      <c r="Y279" s="3">
        <v>78709</v>
      </c>
      <c r="Z279" s="4">
        <v>78709</v>
      </c>
      <c r="AA279" s="4">
        <v>78709</v>
      </c>
      <c r="AB279" s="4">
        <v>78709</v>
      </c>
      <c r="AC279" s="4">
        <v>78709</v>
      </c>
      <c r="AD279" s="4">
        <v>79209</v>
      </c>
      <c r="AE279" s="4">
        <v>158418</v>
      </c>
      <c r="AF279" s="4">
        <v>237627</v>
      </c>
      <c r="AG279" s="4">
        <v>316836</v>
      </c>
      <c r="AH279" s="4">
        <v>395545</v>
      </c>
      <c r="AI279" s="4">
        <v>474254</v>
      </c>
      <c r="AJ279" s="4">
        <v>552963</v>
      </c>
      <c r="AK279" s="4">
        <v>631672</v>
      </c>
      <c r="AL279" s="4">
        <v>710381</v>
      </c>
      <c r="AM279" s="4">
        <v>789090</v>
      </c>
      <c r="AN279" s="150">
        <v>75468</v>
      </c>
    </row>
    <row r="280" spans="1:40" x14ac:dyDescent="0.2">
      <c r="A280" s="1">
        <v>2023</v>
      </c>
      <c r="B280" s="2" t="s">
        <v>303</v>
      </c>
      <c r="C280" s="2" t="s">
        <v>303</v>
      </c>
      <c r="D280" s="1" t="s">
        <v>648</v>
      </c>
      <c r="E280" s="3">
        <v>5350279</v>
      </c>
      <c r="F280" s="1">
        <v>663</v>
      </c>
      <c r="G280" s="3">
        <v>22202</v>
      </c>
      <c r="H280" s="1">
        <v>0</v>
      </c>
      <c r="I280" s="3">
        <v>5349616</v>
      </c>
      <c r="J280" s="3">
        <v>5327414</v>
      </c>
      <c r="K280" s="3">
        <v>5327414</v>
      </c>
      <c r="L280" s="3">
        <v>147597</v>
      </c>
      <c r="M280" s="3">
        <v>607901</v>
      </c>
      <c r="N280" s="3">
        <v>66523</v>
      </c>
      <c r="O280" s="3">
        <v>60288</v>
      </c>
      <c r="P280" s="3">
        <v>334436</v>
      </c>
      <c r="Q280" s="3">
        <v>4132871</v>
      </c>
      <c r="R280" s="3">
        <v>4110669</v>
      </c>
      <c r="S280" s="3">
        <v>4110669</v>
      </c>
      <c r="T280" s="3">
        <v>534962</v>
      </c>
      <c r="U280" s="3">
        <v>534962</v>
      </c>
      <c r="V280" s="3">
        <v>534962</v>
      </c>
      <c r="W280" s="3">
        <v>534962</v>
      </c>
      <c r="X280" s="3">
        <v>531261</v>
      </c>
      <c r="Y280" s="3">
        <v>531261</v>
      </c>
      <c r="Z280" s="4">
        <v>531261</v>
      </c>
      <c r="AA280" s="4">
        <v>531261</v>
      </c>
      <c r="AB280" s="4">
        <v>531261</v>
      </c>
      <c r="AC280" s="4">
        <v>531261</v>
      </c>
      <c r="AD280" s="4">
        <v>534962</v>
      </c>
      <c r="AE280" s="4">
        <v>1069924</v>
      </c>
      <c r="AF280" s="4">
        <v>1604886</v>
      </c>
      <c r="AG280" s="4">
        <v>2139848</v>
      </c>
      <c r="AH280" s="4">
        <v>2671109</v>
      </c>
      <c r="AI280" s="4">
        <v>3202370</v>
      </c>
      <c r="AJ280" s="4">
        <v>3733631</v>
      </c>
      <c r="AK280" s="4">
        <v>4264892</v>
      </c>
      <c r="AL280" s="4">
        <v>4796153</v>
      </c>
      <c r="AM280" s="4">
        <v>5327414</v>
      </c>
      <c r="AN280" s="150">
        <v>447029</v>
      </c>
    </row>
    <row r="281" spans="1:40" x14ac:dyDescent="0.2">
      <c r="A281" s="1">
        <v>2023</v>
      </c>
      <c r="B281" s="2" t="s">
        <v>304</v>
      </c>
      <c r="C281" s="2" t="s">
        <v>304</v>
      </c>
      <c r="D281" s="1" t="s">
        <v>649</v>
      </c>
      <c r="E281" s="3">
        <v>5066577</v>
      </c>
      <c r="F281" s="3">
        <v>647</v>
      </c>
      <c r="G281" s="3">
        <v>18787</v>
      </c>
      <c r="H281" s="3">
        <v>0</v>
      </c>
      <c r="I281" s="3">
        <v>5065930</v>
      </c>
      <c r="J281" s="3">
        <v>5047143</v>
      </c>
      <c r="K281" s="3">
        <v>5047143</v>
      </c>
      <c r="L281" s="3">
        <v>143907</v>
      </c>
      <c r="M281" s="3">
        <v>516545</v>
      </c>
      <c r="N281" s="3">
        <v>53409</v>
      </c>
      <c r="O281" s="3">
        <v>56961</v>
      </c>
      <c r="P281" s="3">
        <v>282984</v>
      </c>
      <c r="Q281" s="3">
        <v>4012124</v>
      </c>
      <c r="R281" s="3">
        <v>3993337</v>
      </c>
      <c r="S281" s="3">
        <v>3993337</v>
      </c>
      <c r="T281" s="3">
        <v>506593</v>
      </c>
      <c r="U281" s="3">
        <v>506593</v>
      </c>
      <c r="V281" s="3">
        <v>506593</v>
      </c>
      <c r="W281" s="3">
        <v>506593</v>
      </c>
      <c r="X281" s="3">
        <v>503462</v>
      </c>
      <c r="Y281" s="3">
        <v>503462</v>
      </c>
      <c r="Z281" s="4">
        <v>503462</v>
      </c>
      <c r="AA281" s="4">
        <v>503462</v>
      </c>
      <c r="AB281" s="4">
        <v>503462</v>
      </c>
      <c r="AC281" s="4">
        <v>503461</v>
      </c>
      <c r="AD281" s="4">
        <v>506593</v>
      </c>
      <c r="AE281" s="4">
        <v>1013186</v>
      </c>
      <c r="AF281" s="4">
        <v>1519779</v>
      </c>
      <c r="AG281" s="4">
        <v>2026372</v>
      </c>
      <c r="AH281" s="4">
        <v>2529834</v>
      </c>
      <c r="AI281" s="4">
        <v>3033296</v>
      </c>
      <c r="AJ281" s="4">
        <v>3536758</v>
      </c>
      <c r="AK281" s="4">
        <v>4040220</v>
      </c>
      <c r="AL281" s="4">
        <v>4543682</v>
      </c>
      <c r="AM281" s="4">
        <v>5047143</v>
      </c>
      <c r="AN281" s="150">
        <v>388834</v>
      </c>
    </row>
    <row r="282" spans="1:40" x14ac:dyDescent="0.2">
      <c r="A282" s="1">
        <v>2023</v>
      </c>
      <c r="B282" s="2" t="s">
        <v>305</v>
      </c>
      <c r="C282" s="2" t="s">
        <v>305</v>
      </c>
      <c r="D282" s="1" t="s">
        <v>650</v>
      </c>
      <c r="E282" s="3">
        <v>5730497</v>
      </c>
      <c r="F282" s="1">
        <v>697</v>
      </c>
      <c r="G282" s="3">
        <v>20155</v>
      </c>
      <c r="H282" s="1">
        <v>0</v>
      </c>
      <c r="I282" s="3">
        <v>5729800</v>
      </c>
      <c r="J282" s="3">
        <v>5709645</v>
      </c>
      <c r="K282" s="3">
        <v>5709645</v>
      </c>
      <c r="L282" s="3">
        <v>154976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4618287</v>
      </c>
      <c r="R282" s="3">
        <v>4598132</v>
      </c>
      <c r="S282" s="3">
        <v>4598132</v>
      </c>
      <c r="T282" s="3">
        <v>572980</v>
      </c>
      <c r="U282" s="3">
        <v>572980</v>
      </c>
      <c r="V282" s="3">
        <v>572980</v>
      </c>
      <c r="W282" s="3">
        <v>572980</v>
      </c>
      <c r="X282" s="3">
        <v>569621</v>
      </c>
      <c r="Y282" s="3">
        <v>569621</v>
      </c>
      <c r="Z282" s="4">
        <v>569621</v>
      </c>
      <c r="AA282" s="4">
        <v>569621</v>
      </c>
      <c r="AB282" s="4">
        <v>569621</v>
      </c>
      <c r="AC282" s="4">
        <v>569620</v>
      </c>
      <c r="AD282" s="4">
        <v>572980</v>
      </c>
      <c r="AE282" s="4">
        <v>1145960</v>
      </c>
      <c r="AF282" s="4">
        <v>1718940</v>
      </c>
      <c r="AG282" s="4">
        <v>2291920</v>
      </c>
      <c r="AH282" s="4">
        <v>2861541</v>
      </c>
      <c r="AI282" s="4">
        <v>3431162</v>
      </c>
      <c r="AJ282" s="4">
        <v>4000783</v>
      </c>
      <c r="AK282" s="4">
        <v>4570404</v>
      </c>
      <c r="AL282" s="4">
        <v>5140025</v>
      </c>
      <c r="AM282" s="4">
        <v>5709645</v>
      </c>
      <c r="AN282" s="150">
        <v>414809</v>
      </c>
    </row>
    <row r="283" spans="1:40" x14ac:dyDescent="0.2">
      <c r="A283" s="1">
        <v>2023</v>
      </c>
      <c r="B283" s="2" t="s">
        <v>306</v>
      </c>
      <c r="C283" s="2" t="s">
        <v>306</v>
      </c>
      <c r="D283" s="1" t="s">
        <v>651</v>
      </c>
      <c r="E283" s="3">
        <v>3449680</v>
      </c>
      <c r="F283" s="3">
        <v>0</v>
      </c>
      <c r="G283" s="3">
        <v>14043</v>
      </c>
      <c r="H283" s="1">
        <v>0</v>
      </c>
      <c r="I283" s="3">
        <v>3449680</v>
      </c>
      <c r="J283" s="3">
        <v>3435637</v>
      </c>
      <c r="K283" s="3">
        <v>3435637</v>
      </c>
      <c r="L283" s="3">
        <v>0</v>
      </c>
      <c r="M283" s="3">
        <v>380017</v>
      </c>
      <c r="N283" s="3">
        <v>42182</v>
      </c>
      <c r="O283" s="3">
        <v>40178</v>
      </c>
      <c r="P283" s="3">
        <v>211531</v>
      </c>
      <c r="Q283" s="3">
        <v>2775772</v>
      </c>
      <c r="R283" s="3">
        <v>2761729</v>
      </c>
      <c r="S283" s="3">
        <v>2761729</v>
      </c>
      <c r="T283" s="3">
        <v>344968</v>
      </c>
      <c r="U283" s="3">
        <v>344968</v>
      </c>
      <c r="V283" s="3">
        <v>344968</v>
      </c>
      <c r="W283" s="3">
        <v>344968</v>
      </c>
      <c r="X283" s="3">
        <v>342628</v>
      </c>
      <c r="Y283" s="3">
        <v>342628</v>
      </c>
      <c r="Z283" s="4">
        <v>342627</v>
      </c>
      <c r="AA283" s="4">
        <v>342627</v>
      </c>
      <c r="AB283" s="4">
        <v>342627</v>
      </c>
      <c r="AC283" s="4">
        <v>342628</v>
      </c>
      <c r="AD283" s="4">
        <v>344968</v>
      </c>
      <c r="AE283" s="4">
        <v>689936</v>
      </c>
      <c r="AF283" s="4">
        <v>1034904</v>
      </c>
      <c r="AG283" s="4">
        <v>1379872</v>
      </c>
      <c r="AH283" s="4">
        <v>1722500</v>
      </c>
      <c r="AI283" s="4">
        <v>2065128</v>
      </c>
      <c r="AJ283" s="4">
        <v>2407755</v>
      </c>
      <c r="AK283" s="4">
        <v>2750382</v>
      </c>
      <c r="AL283" s="4">
        <v>3093009</v>
      </c>
      <c r="AM283" s="4">
        <v>3435637</v>
      </c>
      <c r="AN283" s="150">
        <v>286280</v>
      </c>
    </row>
    <row r="284" spans="1:40" x14ac:dyDescent="0.2">
      <c r="A284" s="1">
        <v>2023</v>
      </c>
      <c r="B284" s="2" t="s">
        <v>307</v>
      </c>
      <c r="C284" s="2" t="s">
        <v>307</v>
      </c>
      <c r="D284" s="1" t="s">
        <v>652</v>
      </c>
      <c r="E284" s="3">
        <v>4510929</v>
      </c>
      <c r="F284" s="1">
        <v>730</v>
      </c>
      <c r="G284" s="3">
        <v>15846</v>
      </c>
      <c r="H284" s="1">
        <v>0</v>
      </c>
      <c r="I284" s="3">
        <v>4510199</v>
      </c>
      <c r="J284" s="3">
        <v>4494353</v>
      </c>
      <c r="K284" s="3">
        <v>4494353</v>
      </c>
      <c r="L284" s="3">
        <v>162356</v>
      </c>
      <c r="M284" s="3">
        <v>426917</v>
      </c>
      <c r="N284" s="3">
        <v>47177</v>
      </c>
      <c r="O284" s="3">
        <v>47858</v>
      </c>
      <c r="P284" s="3">
        <v>238688</v>
      </c>
      <c r="Q284" s="3">
        <v>3587203</v>
      </c>
      <c r="R284" s="3">
        <v>3571357</v>
      </c>
      <c r="S284" s="3">
        <v>3571357</v>
      </c>
      <c r="T284" s="3">
        <v>451020</v>
      </c>
      <c r="U284" s="3">
        <v>451020</v>
      </c>
      <c r="V284" s="3">
        <v>451020</v>
      </c>
      <c r="W284" s="3">
        <v>451020</v>
      </c>
      <c r="X284" s="3">
        <v>448379</v>
      </c>
      <c r="Y284" s="3">
        <v>448379</v>
      </c>
      <c r="Z284" s="4">
        <v>448379</v>
      </c>
      <c r="AA284" s="4">
        <v>448379</v>
      </c>
      <c r="AB284" s="4">
        <v>448379</v>
      </c>
      <c r="AC284" s="4">
        <v>448378</v>
      </c>
      <c r="AD284" s="4">
        <v>451020</v>
      </c>
      <c r="AE284" s="4">
        <v>902040</v>
      </c>
      <c r="AF284" s="4">
        <v>1353060</v>
      </c>
      <c r="AG284" s="4">
        <v>1804080</v>
      </c>
      <c r="AH284" s="4">
        <v>2252459</v>
      </c>
      <c r="AI284" s="4">
        <v>2700838</v>
      </c>
      <c r="AJ284" s="4">
        <v>3149217</v>
      </c>
      <c r="AK284" s="4">
        <v>3597596</v>
      </c>
      <c r="AL284" s="4">
        <v>4045975</v>
      </c>
      <c r="AM284" s="4">
        <v>4494353</v>
      </c>
      <c r="AN284" s="150">
        <v>316921</v>
      </c>
    </row>
    <row r="285" spans="1:40" x14ac:dyDescent="0.2">
      <c r="A285" s="1">
        <v>2023</v>
      </c>
      <c r="B285" s="2" t="s">
        <v>308</v>
      </c>
      <c r="C285" s="2" t="s">
        <v>308</v>
      </c>
      <c r="D285" s="1" t="s">
        <v>653</v>
      </c>
      <c r="E285" s="3">
        <v>1805011</v>
      </c>
      <c r="F285" s="1">
        <v>166</v>
      </c>
      <c r="G285" s="3">
        <v>6375</v>
      </c>
      <c r="H285" s="3">
        <v>0</v>
      </c>
      <c r="I285" s="3">
        <v>1804845</v>
      </c>
      <c r="J285" s="3">
        <v>1798470</v>
      </c>
      <c r="K285" s="3">
        <v>1798470</v>
      </c>
      <c r="L285" s="3">
        <v>36899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1430787</v>
      </c>
      <c r="R285" s="3">
        <v>1424412</v>
      </c>
      <c r="S285" s="3">
        <v>1424412</v>
      </c>
      <c r="T285" s="3">
        <v>180485</v>
      </c>
      <c r="U285" s="3">
        <v>180485</v>
      </c>
      <c r="V285" s="3">
        <v>180485</v>
      </c>
      <c r="W285" s="3">
        <v>180485</v>
      </c>
      <c r="X285" s="3">
        <v>179422</v>
      </c>
      <c r="Y285" s="3">
        <v>179422</v>
      </c>
      <c r="Z285" s="4">
        <v>179422</v>
      </c>
      <c r="AA285" s="4">
        <v>179422</v>
      </c>
      <c r="AB285" s="4">
        <v>179422</v>
      </c>
      <c r="AC285" s="4">
        <v>179420</v>
      </c>
      <c r="AD285" s="4">
        <v>180485</v>
      </c>
      <c r="AE285" s="4">
        <v>360970</v>
      </c>
      <c r="AF285" s="4">
        <v>541455</v>
      </c>
      <c r="AG285" s="4">
        <v>721940</v>
      </c>
      <c r="AH285" s="4">
        <v>901362</v>
      </c>
      <c r="AI285" s="4">
        <v>1080784</v>
      </c>
      <c r="AJ285" s="4">
        <v>1260206</v>
      </c>
      <c r="AK285" s="4">
        <v>1439628</v>
      </c>
      <c r="AL285" s="4">
        <v>1619050</v>
      </c>
      <c r="AM285" s="4">
        <v>1798470</v>
      </c>
      <c r="AN285" s="150">
        <v>126146</v>
      </c>
    </row>
    <row r="286" spans="1:40" x14ac:dyDescent="0.2">
      <c r="A286" s="1">
        <v>2023</v>
      </c>
      <c r="B286" s="2" t="s">
        <v>309</v>
      </c>
      <c r="C286" s="2" t="s">
        <v>309</v>
      </c>
      <c r="D286" s="1" t="s">
        <v>654</v>
      </c>
      <c r="E286" s="3">
        <v>2780306</v>
      </c>
      <c r="F286" s="1">
        <v>332</v>
      </c>
      <c r="G286" s="3">
        <v>9083</v>
      </c>
      <c r="H286" s="1">
        <v>0</v>
      </c>
      <c r="I286" s="3">
        <v>2779974</v>
      </c>
      <c r="J286" s="3">
        <v>2770891</v>
      </c>
      <c r="K286" s="3">
        <v>2770891</v>
      </c>
      <c r="L286" s="3">
        <v>73798</v>
      </c>
      <c r="M286" s="3">
        <v>265756</v>
      </c>
      <c r="N286" s="3">
        <v>28519</v>
      </c>
      <c r="O286" s="3">
        <v>27563</v>
      </c>
      <c r="P286" s="3">
        <v>137883</v>
      </c>
      <c r="Q286" s="3">
        <v>2246455</v>
      </c>
      <c r="R286" s="3">
        <v>2237372</v>
      </c>
      <c r="S286" s="3">
        <v>2237372</v>
      </c>
      <c r="T286" s="3">
        <v>277997</v>
      </c>
      <c r="U286" s="3">
        <v>277997</v>
      </c>
      <c r="V286" s="3">
        <v>277997</v>
      </c>
      <c r="W286" s="3">
        <v>277997</v>
      </c>
      <c r="X286" s="3">
        <v>276484</v>
      </c>
      <c r="Y286" s="3">
        <v>276484</v>
      </c>
      <c r="Z286" s="4">
        <v>276484</v>
      </c>
      <c r="AA286" s="4">
        <v>276484</v>
      </c>
      <c r="AB286" s="4">
        <v>276484</v>
      </c>
      <c r="AC286" s="4">
        <v>276483</v>
      </c>
      <c r="AD286" s="4">
        <v>277997</v>
      </c>
      <c r="AE286" s="4">
        <v>555994</v>
      </c>
      <c r="AF286" s="4">
        <v>833991</v>
      </c>
      <c r="AG286" s="4">
        <v>1111988</v>
      </c>
      <c r="AH286" s="4">
        <v>1388472</v>
      </c>
      <c r="AI286" s="4">
        <v>1664956</v>
      </c>
      <c r="AJ286" s="4">
        <v>1941440</v>
      </c>
      <c r="AK286" s="4">
        <v>2217924</v>
      </c>
      <c r="AL286" s="4">
        <v>2494408</v>
      </c>
      <c r="AM286" s="4">
        <v>2770891</v>
      </c>
      <c r="AN286" s="150">
        <v>197161</v>
      </c>
    </row>
    <row r="287" spans="1:40" x14ac:dyDescent="0.2">
      <c r="A287" s="1">
        <v>2023</v>
      </c>
      <c r="B287" s="2" t="s">
        <v>310</v>
      </c>
      <c r="C287" s="2" t="s">
        <v>310</v>
      </c>
      <c r="D287" s="1" t="s">
        <v>655</v>
      </c>
      <c r="E287" s="3">
        <v>2130718</v>
      </c>
      <c r="F287" s="1">
        <v>498</v>
      </c>
      <c r="G287" s="3">
        <v>8461</v>
      </c>
      <c r="H287" s="1">
        <v>0</v>
      </c>
      <c r="I287" s="3">
        <v>2130220</v>
      </c>
      <c r="J287" s="3">
        <v>2121759</v>
      </c>
      <c r="K287" s="3">
        <v>2121759</v>
      </c>
      <c r="L287" s="3">
        <v>110697</v>
      </c>
      <c r="M287" s="3">
        <v>243117</v>
      </c>
      <c r="N287" s="3">
        <v>20820</v>
      </c>
      <c r="O287" s="3">
        <v>27841</v>
      </c>
      <c r="P287" s="3">
        <v>127448</v>
      </c>
      <c r="Q287" s="3">
        <v>1600297</v>
      </c>
      <c r="R287" s="3">
        <v>1591836</v>
      </c>
      <c r="S287" s="3">
        <v>1591836</v>
      </c>
      <c r="T287" s="3">
        <v>213022</v>
      </c>
      <c r="U287" s="3">
        <v>213022</v>
      </c>
      <c r="V287" s="3">
        <v>213022</v>
      </c>
      <c r="W287" s="3">
        <v>213022</v>
      </c>
      <c r="X287" s="3">
        <v>211612</v>
      </c>
      <c r="Y287" s="3">
        <v>211612</v>
      </c>
      <c r="Z287" s="4">
        <v>211612</v>
      </c>
      <c r="AA287" s="4">
        <v>211612</v>
      </c>
      <c r="AB287" s="4">
        <v>211612</v>
      </c>
      <c r="AC287" s="4">
        <v>211611</v>
      </c>
      <c r="AD287" s="4">
        <v>213022</v>
      </c>
      <c r="AE287" s="4">
        <v>426044</v>
      </c>
      <c r="AF287" s="4">
        <v>639066</v>
      </c>
      <c r="AG287" s="4">
        <v>852088</v>
      </c>
      <c r="AH287" s="4">
        <v>1063700</v>
      </c>
      <c r="AI287" s="4">
        <v>1275312</v>
      </c>
      <c r="AJ287" s="4">
        <v>1486924</v>
      </c>
      <c r="AK287" s="4">
        <v>1698536</v>
      </c>
      <c r="AL287" s="4">
        <v>1910148</v>
      </c>
      <c r="AM287" s="4">
        <v>2121759</v>
      </c>
      <c r="AN287" s="150">
        <v>182748</v>
      </c>
    </row>
    <row r="288" spans="1:40" x14ac:dyDescent="0.2">
      <c r="A288" s="1">
        <v>2023</v>
      </c>
      <c r="B288" s="2" t="s">
        <v>311</v>
      </c>
      <c r="C288" s="2" t="s">
        <v>311</v>
      </c>
      <c r="D288" s="1" t="s">
        <v>656</v>
      </c>
      <c r="E288" s="3">
        <v>2416453</v>
      </c>
      <c r="F288" s="1">
        <v>299</v>
      </c>
      <c r="G288" s="3">
        <v>7549</v>
      </c>
      <c r="H288" s="1">
        <v>0</v>
      </c>
      <c r="I288" s="3">
        <v>2416154</v>
      </c>
      <c r="J288" s="3">
        <v>2408605</v>
      </c>
      <c r="K288" s="3">
        <v>2408605</v>
      </c>
      <c r="L288" s="3">
        <v>66418</v>
      </c>
      <c r="M288" s="3">
        <v>219705</v>
      </c>
      <c r="N288" s="3">
        <v>26784</v>
      </c>
      <c r="O288" s="3">
        <v>23085</v>
      </c>
      <c r="P288" s="3">
        <v>113709</v>
      </c>
      <c r="Q288" s="3">
        <v>1966453</v>
      </c>
      <c r="R288" s="3">
        <v>1958904</v>
      </c>
      <c r="S288" s="3">
        <v>1958904</v>
      </c>
      <c r="T288" s="3">
        <v>241615</v>
      </c>
      <c r="U288" s="3">
        <v>241615</v>
      </c>
      <c r="V288" s="3">
        <v>241615</v>
      </c>
      <c r="W288" s="3">
        <v>241615</v>
      </c>
      <c r="X288" s="3">
        <v>240358</v>
      </c>
      <c r="Y288" s="3">
        <v>240358</v>
      </c>
      <c r="Z288" s="4">
        <v>240357</v>
      </c>
      <c r="AA288" s="4">
        <v>240357</v>
      </c>
      <c r="AB288" s="4">
        <v>240357</v>
      </c>
      <c r="AC288" s="4">
        <v>240358</v>
      </c>
      <c r="AD288" s="4">
        <v>241615</v>
      </c>
      <c r="AE288" s="4">
        <v>483230</v>
      </c>
      <c r="AF288" s="4">
        <v>724845</v>
      </c>
      <c r="AG288" s="4">
        <v>966460</v>
      </c>
      <c r="AH288" s="4">
        <v>1206818</v>
      </c>
      <c r="AI288" s="4">
        <v>1447176</v>
      </c>
      <c r="AJ288" s="4">
        <v>1687533</v>
      </c>
      <c r="AK288" s="4">
        <v>1927890</v>
      </c>
      <c r="AL288" s="4">
        <v>2168247</v>
      </c>
      <c r="AM288" s="4">
        <v>2408605</v>
      </c>
      <c r="AN288" s="150">
        <v>153566</v>
      </c>
    </row>
    <row r="289" spans="1:40" x14ac:dyDescent="0.2">
      <c r="A289" s="1">
        <v>2023</v>
      </c>
      <c r="B289" s="2" t="s">
        <v>312</v>
      </c>
      <c r="C289" s="2" t="s">
        <v>312</v>
      </c>
      <c r="D289" s="1" t="s">
        <v>657</v>
      </c>
      <c r="E289" s="3">
        <v>767409</v>
      </c>
      <c r="F289" s="1">
        <v>133</v>
      </c>
      <c r="G289" s="3">
        <v>3824</v>
      </c>
      <c r="H289" s="1">
        <v>0</v>
      </c>
      <c r="I289" s="3">
        <v>767276</v>
      </c>
      <c r="J289" s="3">
        <v>763452</v>
      </c>
      <c r="K289" s="3">
        <v>763452</v>
      </c>
      <c r="L289" s="3">
        <v>29519</v>
      </c>
      <c r="M289" s="3">
        <v>114706</v>
      </c>
      <c r="N289" s="3">
        <v>11349</v>
      </c>
      <c r="O289" s="3">
        <v>11381</v>
      </c>
      <c r="P289" s="3">
        <v>57606</v>
      </c>
      <c r="Q289" s="3">
        <v>542715</v>
      </c>
      <c r="R289" s="3">
        <v>538891</v>
      </c>
      <c r="S289" s="3">
        <v>538891</v>
      </c>
      <c r="T289" s="3">
        <v>76728</v>
      </c>
      <c r="U289" s="3">
        <v>76728</v>
      </c>
      <c r="V289" s="3">
        <v>76728</v>
      </c>
      <c r="W289" s="3">
        <v>76728</v>
      </c>
      <c r="X289" s="3">
        <v>76090</v>
      </c>
      <c r="Y289" s="3">
        <v>76090</v>
      </c>
      <c r="Z289" s="4">
        <v>76090</v>
      </c>
      <c r="AA289" s="4">
        <v>76090</v>
      </c>
      <c r="AB289" s="4">
        <v>76090</v>
      </c>
      <c r="AC289" s="4">
        <v>76090</v>
      </c>
      <c r="AD289" s="4">
        <v>76728</v>
      </c>
      <c r="AE289" s="4">
        <v>153456</v>
      </c>
      <c r="AF289" s="4">
        <v>230184</v>
      </c>
      <c r="AG289" s="4">
        <v>306912</v>
      </c>
      <c r="AH289" s="4">
        <v>383002</v>
      </c>
      <c r="AI289" s="4">
        <v>459092</v>
      </c>
      <c r="AJ289" s="4">
        <v>535182</v>
      </c>
      <c r="AK289" s="4">
        <v>611272</v>
      </c>
      <c r="AL289" s="4">
        <v>687362</v>
      </c>
      <c r="AM289" s="4">
        <v>763452</v>
      </c>
      <c r="AN289" s="150">
        <v>78852</v>
      </c>
    </row>
    <row r="290" spans="1:40" x14ac:dyDescent="0.2">
      <c r="A290" s="1">
        <v>2023</v>
      </c>
      <c r="B290" s="2" t="s">
        <v>313</v>
      </c>
      <c r="C290" s="2" t="s">
        <v>313</v>
      </c>
      <c r="D290" s="1" t="s">
        <v>658</v>
      </c>
      <c r="E290" s="3">
        <v>5001394</v>
      </c>
      <c r="F290" s="1">
        <v>779</v>
      </c>
      <c r="G290" s="3">
        <v>18176</v>
      </c>
      <c r="H290" s="1">
        <v>0</v>
      </c>
      <c r="I290" s="3">
        <v>5000615</v>
      </c>
      <c r="J290" s="3">
        <v>4982439</v>
      </c>
      <c r="K290" s="3">
        <v>4982439</v>
      </c>
      <c r="L290" s="3">
        <v>173427</v>
      </c>
      <c r="M290" s="3">
        <v>465333</v>
      </c>
      <c r="N290" s="3">
        <v>53350</v>
      </c>
      <c r="O290" s="3">
        <v>48391</v>
      </c>
      <c r="P290" s="3">
        <v>273789</v>
      </c>
      <c r="Q290" s="3">
        <v>3986325</v>
      </c>
      <c r="R290" s="3">
        <v>3968149</v>
      </c>
      <c r="S290" s="3">
        <v>3968149</v>
      </c>
      <c r="T290" s="3">
        <v>500062</v>
      </c>
      <c r="U290" s="3">
        <v>500062</v>
      </c>
      <c r="V290" s="3">
        <v>500062</v>
      </c>
      <c r="W290" s="3">
        <v>500062</v>
      </c>
      <c r="X290" s="3">
        <v>497032</v>
      </c>
      <c r="Y290" s="3">
        <v>497032</v>
      </c>
      <c r="Z290" s="4">
        <v>497032</v>
      </c>
      <c r="AA290" s="4">
        <v>497032</v>
      </c>
      <c r="AB290" s="4">
        <v>497032</v>
      </c>
      <c r="AC290" s="4">
        <v>497031</v>
      </c>
      <c r="AD290" s="4">
        <v>500062</v>
      </c>
      <c r="AE290" s="4">
        <v>1000124</v>
      </c>
      <c r="AF290" s="4">
        <v>1500186</v>
      </c>
      <c r="AG290" s="4">
        <v>2000248</v>
      </c>
      <c r="AH290" s="4">
        <v>2497280</v>
      </c>
      <c r="AI290" s="4">
        <v>2994312</v>
      </c>
      <c r="AJ290" s="4">
        <v>3491344</v>
      </c>
      <c r="AK290" s="4">
        <v>3988376</v>
      </c>
      <c r="AL290" s="4">
        <v>4485408</v>
      </c>
      <c r="AM290" s="4">
        <v>4982439</v>
      </c>
      <c r="AN290" s="150">
        <v>371851</v>
      </c>
    </row>
    <row r="291" spans="1:40" x14ac:dyDescent="0.2">
      <c r="A291" s="1">
        <v>2023</v>
      </c>
      <c r="B291" s="2" t="s">
        <v>314</v>
      </c>
      <c r="C291" s="2" t="s">
        <v>314</v>
      </c>
      <c r="D291" s="1" t="s">
        <v>659</v>
      </c>
      <c r="E291" s="3">
        <v>1501406</v>
      </c>
      <c r="F291" s="3">
        <v>862</v>
      </c>
      <c r="G291" s="3">
        <v>8867</v>
      </c>
      <c r="H291" s="3">
        <v>0</v>
      </c>
      <c r="I291" s="3">
        <v>1500544</v>
      </c>
      <c r="J291" s="3">
        <v>1491677</v>
      </c>
      <c r="K291" s="3">
        <v>1491677</v>
      </c>
      <c r="L291" s="3">
        <v>191876</v>
      </c>
      <c r="M291" s="3">
        <v>208634</v>
      </c>
      <c r="N291" s="3">
        <v>27968</v>
      </c>
      <c r="O291" s="3">
        <v>18467</v>
      </c>
      <c r="P291" s="3">
        <v>133567</v>
      </c>
      <c r="Q291" s="3">
        <v>920032</v>
      </c>
      <c r="R291" s="3">
        <v>911165</v>
      </c>
      <c r="S291" s="3">
        <v>911165</v>
      </c>
      <c r="T291" s="3">
        <v>150054</v>
      </c>
      <c r="U291" s="3">
        <v>150054</v>
      </c>
      <c r="V291" s="3">
        <v>150054</v>
      </c>
      <c r="W291" s="3">
        <v>150054</v>
      </c>
      <c r="X291" s="3">
        <v>148577</v>
      </c>
      <c r="Y291" s="3">
        <v>148577</v>
      </c>
      <c r="Z291" s="4">
        <v>148577</v>
      </c>
      <c r="AA291" s="4">
        <v>148577</v>
      </c>
      <c r="AB291" s="4">
        <v>148577</v>
      </c>
      <c r="AC291" s="4">
        <v>148576</v>
      </c>
      <c r="AD291" s="4">
        <v>150054</v>
      </c>
      <c r="AE291" s="4">
        <v>300108</v>
      </c>
      <c r="AF291" s="4">
        <v>450162</v>
      </c>
      <c r="AG291" s="4">
        <v>600216</v>
      </c>
      <c r="AH291" s="4">
        <v>748793</v>
      </c>
      <c r="AI291" s="4">
        <v>897370</v>
      </c>
      <c r="AJ291" s="4">
        <v>1045947</v>
      </c>
      <c r="AK291" s="4">
        <v>1194524</v>
      </c>
      <c r="AL291" s="4">
        <v>1343101</v>
      </c>
      <c r="AM291" s="4">
        <v>1491677</v>
      </c>
      <c r="AN291" s="150">
        <v>175684</v>
      </c>
    </row>
    <row r="292" spans="1:40" x14ac:dyDescent="0.2">
      <c r="A292" s="1">
        <v>2023</v>
      </c>
      <c r="B292" s="2" t="s">
        <v>315</v>
      </c>
      <c r="C292" s="2" t="s">
        <v>315</v>
      </c>
      <c r="D292" s="1" t="s">
        <v>660</v>
      </c>
      <c r="E292" s="3">
        <v>22610300</v>
      </c>
      <c r="F292" s="3">
        <v>3350</v>
      </c>
      <c r="G292" s="3">
        <v>81344</v>
      </c>
      <c r="H292" s="1">
        <v>0</v>
      </c>
      <c r="I292" s="3">
        <v>22606950</v>
      </c>
      <c r="J292" s="3">
        <v>22525606</v>
      </c>
      <c r="K292" s="3">
        <v>22525606</v>
      </c>
      <c r="L292" s="3">
        <v>745363</v>
      </c>
      <c r="M292" s="3">
        <v>2203426</v>
      </c>
      <c r="N292" s="3">
        <v>251769</v>
      </c>
      <c r="O292" s="3">
        <v>258995</v>
      </c>
      <c r="P292" s="3">
        <v>1225286</v>
      </c>
      <c r="Q292" s="3">
        <v>17922111</v>
      </c>
      <c r="R292" s="3">
        <v>17840767</v>
      </c>
      <c r="S292" s="3">
        <v>17840767</v>
      </c>
      <c r="T292" s="3">
        <v>2260695</v>
      </c>
      <c r="U292" s="3">
        <v>2260695</v>
      </c>
      <c r="V292" s="3">
        <v>2260695</v>
      </c>
      <c r="W292" s="3">
        <v>2260695</v>
      </c>
      <c r="X292" s="3">
        <v>2247138</v>
      </c>
      <c r="Y292" s="3">
        <v>2247138</v>
      </c>
      <c r="Z292" s="4">
        <v>2247138</v>
      </c>
      <c r="AA292" s="4">
        <v>2247138</v>
      </c>
      <c r="AB292" s="4">
        <v>2247138</v>
      </c>
      <c r="AC292" s="4">
        <v>2247136</v>
      </c>
      <c r="AD292" s="4">
        <v>2260695</v>
      </c>
      <c r="AE292" s="4">
        <v>4521390</v>
      </c>
      <c r="AF292" s="4">
        <v>6782085</v>
      </c>
      <c r="AG292" s="4">
        <v>9042780</v>
      </c>
      <c r="AH292" s="4">
        <v>11289918</v>
      </c>
      <c r="AI292" s="4">
        <v>13537056</v>
      </c>
      <c r="AJ292" s="4">
        <v>15784194</v>
      </c>
      <c r="AK292" s="4">
        <v>18031332</v>
      </c>
      <c r="AL292" s="4">
        <v>20278470</v>
      </c>
      <c r="AM292" s="4">
        <v>22525606</v>
      </c>
      <c r="AN292" s="150">
        <v>1669660</v>
      </c>
    </row>
    <row r="293" spans="1:40" x14ac:dyDescent="0.2">
      <c r="A293" s="1">
        <v>2023</v>
      </c>
      <c r="B293" s="2" t="s">
        <v>317</v>
      </c>
      <c r="C293" s="2" t="s">
        <v>317</v>
      </c>
      <c r="D293" s="1" t="s">
        <v>806</v>
      </c>
      <c r="E293" s="3">
        <v>6428316</v>
      </c>
      <c r="F293" s="3">
        <v>829</v>
      </c>
      <c r="G293" s="3">
        <v>22877</v>
      </c>
      <c r="H293" s="1">
        <v>0</v>
      </c>
      <c r="I293" s="3">
        <v>6427487</v>
      </c>
      <c r="J293" s="3">
        <v>6404610</v>
      </c>
      <c r="K293" s="3">
        <v>6404610</v>
      </c>
      <c r="L293" s="3">
        <v>184496</v>
      </c>
      <c r="M293" s="3">
        <v>612012</v>
      </c>
      <c r="N293" s="3">
        <v>73966</v>
      </c>
      <c r="O293" s="3">
        <v>61099</v>
      </c>
      <c r="P293" s="3">
        <v>344597</v>
      </c>
      <c r="Q293" s="3">
        <v>5151317</v>
      </c>
      <c r="R293" s="3">
        <v>5128440</v>
      </c>
      <c r="S293" s="3">
        <v>5128440</v>
      </c>
      <c r="T293" s="3">
        <v>642749</v>
      </c>
      <c r="U293" s="3">
        <v>642749</v>
      </c>
      <c r="V293" s="3">
        <v>642749</v>
      </c>
      <c r="W293" s="3">
        <v>642749</v>
      </c>
      <c r="X293" s="3">
        <v>638936</v>
      </c>
      <c r="Y293" s="3">
        <v>638936</v>
      </c>
      <c r="Z293" s="4">
        <v>638936</v>
      </c>
      <c r="AA293" s="4">
        <v>638936</v>
      </c>
      <c r="AB293" s="4">
        <v>638936</v>
      </c>
      <c r="AC293" s="4">
        <v>638934</v>
      </c>
      <c r="AD293" s="4">
        <v>642749</v>
      </c>
      <c r="AE293" s="4">
        <v>1285498</v>
      </c>
      <c r="AF293" s="4">
        <v>1928247</v>
      </c>
      <c r="AG293" s="4">
        <v>2570996</v>
      </c>
      <c r="AH293" s="4">
        <v>3209932</v>
      </c>
      <c r="AI293" s="4">
        <v>3848868</v>
      </c>
      <c r="AJ293" s="4">
        <v>4487804</v>
      </c>
      <c r="AK293" s="4">
        <v>5126740</v>
      </c>
      <c r="AL293" s="4">
        <v>5765676</v>
      </c>
      <c r="AM293" s="4">
        <v>6404610</v>
      </c>
      <c r="AN293" s="150">
        <v>450111</v>
      </c>
    </row>
    <row r="294" spans="1:40" x14ac:dyDescent="0.2">
      <c r="A294" s="1">
        <v>2023</v>
      </c>
      <c r="B294" s="2" t="s">
        <v>318</v>
      </c>
      <c r="C294" s="2" t="s">
        <v>318</v>
      </c>
      <c r="D294" s="1" t="s">
        <v>661</v>
      </c>
      <c r="E294" s="3">
        <v>5779183</v>
      </c>
      <c r="F294" s="1">
        <v>862</v>
      </c>
      <c r="G294" s="3">
        <v>20392</v>
      </c>
      <c r="H294" s="1">
        <v>0</v>
      </c>
      <c r="I294" s="3">
        <v>5778321</v>
      </c>
      <c r="J294" s="3">
        <v>5757929</v>
      </c>
      <c r="K294" s="3">
        <v>5757929</v>
      </c>
      <c r="L294" s="3">
        <v>191876</v>
      </c>
      <c r="M294" s="3">
        <v>561210</v>
      </c>
      <c r="N294" s="3">
        <v>61589</v>
      </c>
      <c r="O294" s="3">
        <v>58395</v>
      </c>
      <c r="P294" s="3">
        <v>307171</v>
      </c>
      <c r="Q294" s="3">
        <v>4598080</v>
      </c>
      <c r="R294" s="3">
        <v>4577688</v>
      </c>
      <c r="S294" s="3">
        <v>4577688</v>
      </c>
      <c r="T294" s="3">
        <v>577832</v>
      </c>
      <c r="U294" s="3">
        <v>577832</v>
      </c>
      <c r="V294" s="3">
        <v>577832</v>
      </c>
      <c r="W294" s="3">
        <v>577832</v>
      </c>
      <c r="X294" s="3">
        <v>574434</v>
      </c>
      <c r="Y294" s="3">
        <v>574434</v>
      </c>
      <c r="Z294" s="4">
        <v>574433</v>
      </c>
      <c r="AA294" s="4">
        <v>574433</v>
      </c>
      <c r="AB294" s="4">
        <v>574433</v>
      </c>
      <c r="AC294" s="4">
        <v>574434</v>
      </c>
      <c r="AD294" s="4">
        <v>577832</v>
      </c>
      <c r="AE294" s="4">
        <v>1155664</v>
      </c>
      <c r="AF294" s="4">
        <v>1733496</v>
      </c>
      <c r="AG294" s="4">
        <v>2311328</v>
      </c>
      <c r="AH294" s="4">
        <v>2885762</v>
      </c>
      <c r="AI294" s="4">
        <v>3460196</v>
      </c>
      <c r="AJ294" s="4">
        <v>4034629</v>
      </c>
      <c r="AK294" s="4">
        <v>4609062</v>
      </c>
      <c r="AL294" s="4">
        <v>5183495</v>
      </c>
      <c r="AM294" s="4">
        <v>5757929</v>
      </c>
      <c r="AN294" s="150">
        <v>402623</v>
      </c>
    </row>
    <row r="295" spans="1:40" x14ac:dyDescent="0.2">
      <c r="A295" s="1">
        <v>2023</v>
      </c>
      <c r="B295" s="2" t="s">
        <v>319</v>
      </c>
      <c r="C295" s="2" t="s">
        <v>319</v>
      </c>
      <c r="D295" s="1" t="s">
        <v>662</v>
      </c>
      <c r="E295" s="3">
        <v>1723949</v>
      </c>
      <c r="F295" s="3">
        <v>249</v>
      </c>
      <c r="G295" s="3">
        <v>6675</v>
      </c>
      <c r="H295" s="1">
        <v>0</v>
      </c>
      <c r="I295" s="3">
        <v>1723700</v>
      </c>
      <c r="J295" s="3">
        <v>1717025</v>
      </c>
      <c r="K295" s="3">
        <v>1717025</v>
      </c>
      <c r="L295" s="3">
        <v>55349</v>
      </c>
      <c r="M295" s="3">
        <v>182510</v>
      </c>
      <c r="N295" s="3">
        <v>22359</v>
      </c>
      <c r="O295" s="3">
        <v>19712</v>
      </c>
      <c r="P295" s="3">
        <v>100542</v>
      </c>
      <c r="Q295" s="3">
        <v>1343228</v>
      </c>
      <c r="R295" s="3">
        <v>1336553</v>
      </c>
      <c r="S295" s="3">
        <v>1336553</v>
      </c>
      <c r="T295" s="3">
        <v>172370</v>
      </c>
      <c r="U295" s="3">
        <v>172370</v>
      </c>
      <c r="V295" s="3">
        <v>172370</v>
      </c>
      <c r="W295" s="3">
        <v>172370</v>
      </c>
      <c r="X295" s="3">
        <v>171258</v>
      </c>
      <c r="Y295" s="3">
        <v>171258</v>
      </c>
      <c r="Z295" s="4">
        <v>171257</v>
      </c>
      <c r="AA295" s="4">
        <v>171257</v>
      </c>
      <c r="AB295" s="4">
        <v>171257</v>
      </c>
      <c r="AC295" s="4">
        <v>171258</v>
      </c>
      <c r="AD295" s="4">
        <v>172370</v>
      </c>
      <c r="AE295" s="4">
        <v>344740</v>
      </c>
      <c r="AF295" s="4">
        <v>517110</v>
      </c>
      <c r="AG295" s="4">
        <v>689480</v>
      </c>
      <c r="AH295" s="4">
        <v>860738</v>
      </c>
      <c r="AI295" s="4">
        <v>1031996</v>
      </c>
      <c r="AJ295" s="4">
        <v>1203253</v>
      </c>
      <c r="AK295" s="4">
        <v>1374510</v>
      </c>
      <c r="AL295" s="4">
        <v>1545767</v>
      </c>
      <c r="AM295" s="4">
        <v>1717025</v>
      </c>
      <c r="AN295" s="150">
        <v>138550</v>
      </c>
    </row>
    <row r="296" spans="1:40" x14ac:dyDescent="0.2">
      <c r="A296" s="1">
        <v>2023</v>
      </c>
      <c r="B296" s="2" t="s">
        <v>320</v>
      </c>
      <c r="C296" s="2" t="s">
        <v>320</v>
      </c>
      <c r="D296" s="1" t="s">
        <v>663</v>
      </c>
      <c r="E296" s="3">
        <v>11222708</v>
      </c>
      <c r="F296" s="3">
        <v>1443</v>
      </c>
      <c r="G296" s="3">
        <v>38414</v>
      </c>
      <c r="H296" s="1">
        <v>0</v>
      </c>
      <c r="I296" s="3">
        <v>11221265</v>
      </c>
      <c r="J296" s="3">
        <v>11182851</v>
      </c>
      <c r="K296" s="3">
        <v>11182851</v>
      </c>
      <c r="L296" s="3">
        <v>321023</v>
      </c>
      <c r="M296" s="3">
        <v>1063115</v>
      </c>
      <c r="N296" s="3">
        <v>116843</v>
      </c>
      <c r="O296" s="3">
        <v>119673</v>
      </c>
      <c r="P296" s="3">
        <v>578634</v>
      </c>
      <c r="Q296" s="3">
        <v>9021977</v>
      </c>
      <c r="R296" s="3">
        <v>8983563</v>
      </c>
      <c r="S296" s="3">
        <v>8983563</v>
      </c>
      <c r="T296" s="3">
        <v>1122127</v>
      </c>
      <c r="U296" s="3">
        <v>1122127</v>
      </c>
      <c r="V296" s="3">
        <v>1122127</v>
      </c>
      <c r="W296" s="3">
        <v>1122127</v>
      </c>
      <c r="X296" s="3">
        <v>1115724</v>
      </c>
      <c r="Y296" s="3">
        <v>1115724</v>
      </c>
      <c r="Z296" s="4">
        <v>1115724</v>
      </c>
      <c r="AA296" s="4">
        <v>1115724</v>
      </c>
      <c r="AB296" s="4">
        <v>1115724</v>
      </c>
      <c r="AC296" s="4">
        <v>1115723</v>
      </c>
      <c r="AD296" s="4">
        <v>1122127</v>
      </c>
      <c r="AE296" s="4">
        <v>2244254</v>
      </c>
      <c r="AF296" s="4">
        <v>3366381</v>
      </c>
      <c r="AG296" s="4">
        <v>4488508</v>
      </c>
      <c r="AH296" s="4">
        <v>5604232</v>
      </c>
      <c r="AI296" s="4">
        <v>6719956</v>
      </c>
      <c r="AJ296" s="4">
        <v>7835680</v>
      </c>
      <c r="AK296" s="4">
        <v>8951404</v>
      </c>
      <c r="AL296" s="4">
        <v>10067128</v>
      </c>
      <c r="AM296" s="4">
        <v>11182851</v>
      </c>
      <c r="AN296" s="150">
        <v>768129</v>
      </c>
    </row>
    <row r="297" spans="1:40" x14ac:dyDescent="0.2">
      <c r="A297" s="1">
        <v>2023</v>
      </c>
      <c r="B297" s="2" t="s">
        <v>321</v>
      </c>
      <c r="C297" s="2" t="s">
        <v>321</v>
      </c>
      <c r="D297" s="1" t="s">
        <v>664</v>
      </c>
      <c r="E297" s="3">
        <v>3551390</v>
      </c>
      <c r="F297" s="3">
        <v>614</v>
      </c>
      <c r="G297" s="3">
        <v>11330</v>
      </c>
      <c r="H297" s="1">
        <v>0</v>
      </c>
      <c r="I297" s="3">
        <v>3550776</v>
      </c>
      <c r="J297" s="3">
        <v>3539446</v>
      </c>
      <c r="K297" s="3">
        <v>3539446</v>
      </c>
      <c r="L297" s="3">
        <v>136527</v>
      </c>
      <c r="M297" s="3">
        <v>337959</v>
      </c>
      <c r="N297" s="3">
        <v>36781</v>
      </c>
      <c r="O297" s="3">
        <v>36324</v>
      </c>
      <c r="P297" s="3">
        <v>170671</v>
      </c>
      <c r="Q297" s="3">
        <v>2832514</v>
      </c>
      <c r="R297" s="3">
        <v>2821184</v>
      </c>
      <c r="S297" s="3">
        <v>2821184</v>
      </c>
      <c r="T297" s="3">
        <v>355078</v>
      </c>
      <c r="U297" s="3">
        <v>355078</v>
      </c>
      <c r="V297" s="3">
        <v>355078</v>
      </c>
      <c r="W297" s="3">
        <v>355078</v>
      </c>
      <c r="X297" s="3">
        <v>353189</v>
      </c>
      <c r="Y297" s="3">
        <v>353189</v>
      </c>
      <c r="Z297" s="4">
        <v>353189</v>
      </c>
      <c r="AA297" s="4">
        <v>353189</v>
      </c>
      <c r="AB297" s="4">
        <v>353189</v>
      </c>
      <c r="AC297" s="4">
        <v>353189</v>
      </c>
      <c r="AD297" s="4">
        <v>355078</v>
      </c>
      <c r="AE297" s="4">
        <v>710156</v>
      </c>
      <c r="AF297" s="4">
        <v>1065234</v>
      </c>
      <c r="AG297" s="4">
        <v>1420312</v>
      </c>
      <c r="AH297" s="4">
        <v>1773501</v>
      </c>
      <c r="AI297" s="4">
        <v>2126690</v>
      </c>
      <c r="AJ297" s="4">
        <v>2479879</v>
      </c>
      <c r="AK297" s="4">
        <v>2833068</v>
      </c>
      <c r="AL297" s="4">
        <v>3186257</v>
      </c>
      <c r="AM297" s="4">
        <v>3539446</v>
      </c>
      <c r="AN297" s="150">
        <v>228756</v>
      </c>
    </row>
    <row r="298" spans="1:40" x14ac:dyDescent="0.2">
      <c r="A298" s="1">
        <v>2023</v>
      </c>
      <c r="B298" s="2" t="s">
        <v>322</v>
      </c>
      <c r="C298" s="2" t="s">
        <v>322</v>
      </c>
      <c r="D298" s="1" t="s">
        <v>665</v>
      </c>
      <c r="E298" s="3">
        <v>4623404</v>
      </c>
      <c r="F298" s="3">
        <v>746</v>
      </c>
      <c r="G298" s="3">
        <v>19226</v>
      </c>
      <c r="H298" s="3">
        <v>0</v>
      </c>
      <c r="I298" s="3">
        <v>4622658</v>
      </c>
      <c r="J298" s="3">
        <v>4603432</v>
      </c>
      <c r="K298" s="3">
        <v>4603432</v>
      </c>
      <c r="L298" s="3">
        <v>166047</v>
      </c>
      <c r="M298" s="3">
        <v>545956</v>
      </c>
      <c r="N298" s="3">
        <v>63012</v>
      </c>
      <c r="O298" s="3">
        <v>58058</v>
      </c>
      <c r="P298" s="3">
        <v>289603</v>
      </c>
      <c r="Q298" s="3">
        <v>3499982</v>
      </c>
      <c r="R298" s="3">
        <v>3480756</v>
      </c>
      <c r="S298" s="3">
        <v>3480756</v>
      </c>
      <c r="T298" s="3">
        <v>462266</v>
      </c>
      <c r="U298" s="3">
        <v>462266</v>
      </c>
      <c r="V298" s="3">
        <v>462266</v>
      </c>
      <c r="W298" s="3">
        <v>462266</v>
      </c>
      <c r="X298" s="3">
        <v>459061</v>
      </c>
      <c r="Y298" s="3">
        <v>459061</v>
      </c>
      <c r="Z298" s="4">
        <v>459062</v>
      </c>
      <c r="AA298" s="4">
        <v>459062</v>
      </c>
      <c r="AB298" s="4">
        <v>459062</v>
      </c>
      <c r="AC298" s="4">
        <v>459060</v>
      </c>
      <c r="AD298" s="4">
        <v>462266</v>
      </c>
      <c r="AE298" s="4">
        <v>924532</v>
      </c>
      <c r="AF298" s="4">
        <v>1386798</v>
      </c>
      <c r="AG298" s="4">
        <v>1849064</v>
      </c>
      <c r="AH298" s="4">
        <v>2308125</v>
      </c>
      <c r="AI298" s="4">
        <v>2767186</v>
      </c>
      <c r="AJ298" s="4">
        <v>3226248</v>
      </c>
      <c r="AK298" s="4">
        <v>3685310</v>
      </c>
      <c r="AL298" s="4">
        <v>4144372</v>
      </c>
      <c r="AM298" s="4">
        <v>4603432</v>
      </c>
      <c r="AN298" s="150">
        <v>392912</v>
      </c>
    </row>
    <row r="299" spans="1:40" x14ac:dyDescent="0.2">
      <c r="A299" s="1">
        <v>2023</v>
      </c>
      <c r="B299" s="2" t="s">
        <v>323</v>
      </c>
      <c r="C299" s="2" t="s">
        <v>323</v>
      </c>
      <c r="D299" s="1" t="s">
        <v>666</v>
      </c>
      <c r="E299" s="3">
        <v>3613482</v>
      </c>
      <c r="F299" s="1">
        <v>448</v>
      </c>
      <c r="G299" s="3">
        <v>12924</v>
      </c>
      <c r="H299" s="1">
        <v>0</v>
      </c>
      <c r="I299" s="3">
        <v>3613034</v>
      </c>
      <c r="J299" s="3">
        <v>3600110</v>
      </c>
      <c r="K299" s="3">
        <v>3600110</v>
      </c>
      <c r="L299" s="3">
        <v>99628</v>
      </c>
      <c r="M299" s="3">
        <v>365026</v>
      </c>
      <c r="N299" s="3">
        <v>45465</v>
      </c>
      <c r="O299" s="3">
        <v>38065</v>
      </c>
      <c r="P299" s="3">
        <v>194679</v>
      </c>
      <c r="Q299" s="3">
        <v>2870171</v>
      </c>
      <c r="R299" s="3">
        <v>2857247</v>
      </c>
      <c r="S299" s="3">
        <v>2857247</v>
      </c>
      <c r="T299" s="3">
        <v>361303</v>
      </c>
      <c r="U299" s="3">
        <v>361303</v>
      </c>
      <c r="V299" s="3">
        <v>361303</v>
      </c>
      <c r="W299" s="3">
        <v>361303</v>
      </c>
      <c r="X299" s="3">
        <v>359150</v>
      </c>
      <c r="Y299" s="3">
        <v>359150</v>
      </c>
      <c r="Z299" s="4">
        <v>359150</v>
      </c>
      <c r="AA299" s="4">
        <v>359150</v>
      </c>
      <c r="AB299" s="4">
        <v>359150</v>
      </c>
      <c r="AC299" s="4">
        <v>359148</v>
      </c>
      <c r="AD299" s="4">
        <v>361303</v>
      </c>
      <c r="AE299" s="4">
        <v>722606</v>
      </c>
      <c r="AF299" s="4">
        <v>1083909</v>
      </c>
      <c r="AG299" s="4">
        <v>1445212</v>
      </c>
      <c r="AH299" s="4">
        <v>1804362</v>
      </c>
      <c r="AI299" s="4">
        <v>2163512</v>
      </c>
      <c r="AJ299" s="4">
        <v>2522662</v>
      </c>
      <c r="AK299" s="4">
        <v>2881812</v>
      </c>
      <c r="AL299" s="4">
        <v>3240962</v>
      </c>
      <c r="AM299" s="4">
        <v>3600110</v>
      </c>
      <c r="AN299" s="150">
        <v>283574</v>
      </c>
    </row>
    <row r="300" spans="1:40" x14ac:dyDescent="0.2">
      <c r="A300" s="1">
        <v>2023</v>
      </c>
      <c r="B300" s="2" t="s">
        <v>324</v>
      </c>
      <c r="C300" s="2" t="s">
        <v>324</v>
      </c>
      <c r="D300" s="1" t="s">
        <v>667</v>
      </c>
      <c r="E300" s="3">
        <v>4658768</v>
      </c>
      <c r="F300" s="1">
        <v>614</v>
      </c>
      <c r="G300" s="3">
        <v>16000</v>
      </c>
      <c r="H300" s="1">
        <v>0</v>
      </c>
      <c r="I300" s="3">
        <v>4658154</v>
      </c>
      <c r="J300" s="3">
        <v>4642154</v>
      </c>
      <c r="K300" s="3">
        <v>4642154</v>
      </c>
      <c r="L300" s="3">
        <v>136527</v>
      </c>
      <c r="M300" s="3">
        <v>462265</v>
      </c>
      <c r="N300" s="3">
        <v>50816</v>
      </c>
      <c r="O300" s="3">
        <v>48122</v>
      </c>
      <c r="P300" s="3">
        <v>241014</v>
      </c>
      <c r="Q300" s="3">
        <v>3719410</v>
      </c>
      <c r="R300" s="3">
        <v>3703410</v>
      </c>
      <c r="S300" s="3">
        <v>3703410</v>
      </c>
      <c r="T300" s="3">
        <v>465815</v>
      </c>
      <c r="U300" s="3">
        <v>465815</v>
      </c>
      <c r="V300" s="3">
        <v>465815</v>
      </c>
      <c r="W300" s="3">
        <v>465815</v>
      </c>
      <c r="X300" s="3">
        <v>463149</v>
      </c>
      <c r="Y300" s="3">
        <v>463149</v>
      </c>
      <c r="Z300" s="4">
        <v>463149</v>
      </c>
      <c r="AA300" s="4">
        <v>463149</v>
      </c>
      <c r="AB300" s="4">
        <v>463149</v>
      </c>
      <c r="AC300" s="4">
        <v>463149</v>
      </c>
      <c r="AD300" s="4">
        <v>465815</v>
      </c>
      <c r="AE300" s="4">
        <v>931630</v>
      </c>
      <c r="AF300" s="4">
        <v>1397445</v>
      </c>
      <c r="AG300" s="4">
        <v>1863260</v>
      </c>
      <c r="AH300" s="4">
        <v>2326409</v>
      </c>
      <c r="AI300" s="4">
        <v>2789558</v>
      </c>
      <c r="AJ300" s="4">
        <v>3252707</v>
      </c>
      <c r="AK300" s="4">
        <v>3715856</v>
      </c>
      <c r="AL300" s="4">
        <v>4179005</v>
      </c>
      <c r="AM300" s="4">
        <v>4642154</v>
      </c>
      <c r="AN300" s="150">
        <v>333560</v>
      </c>
    </row>
    <row r="301" spans="1:40" x14ac:dyDescent="0.2">
      <c r="A301" s="1">
        <v>2023</v>
      </c>
      <c r="B301" s="2" t="s">
        <v>325</v>
      </c>
      <c r="C301" s="2" t="s">
        <v>325</v>
      </c>
      <c r="D301" s="1" t="s">
        <v>668</v>
      </c>
      <c r="E301" s="3">
        <v>11971496</v>
      </c>
      <c r="F301" s="3">
        <v>1509</v>
      </c>
      <c r="G301" s="3">
        <v>38414</v>
      </c>
      <c r="H301" s="3">
        <v>0</v>
      </c>
      <c r="I301" s="3">
        <v>11969987</v>
      </c>
      <c r="J301" s="3">
        <v>11931573</v>
      </c>
      <c r="K301" s="3">
        <v>11931573</v>
      </c>
      <c r="L301" s="3">
        <v>335783</v>
      </c>
      <c r="M301" s="3">
        <v>1031612</v>
      </c>
      <c r="N301" s="3">
        <v>126983</v>
      </c>
      <c r="O301" s="3">
        <v>114514</v>
      </c>
      <c r="P301" s="3">
        <v>578634</v>
      </c>
      <c r="Q301" s="3">
        <v>9782461</v>
      </c>
      <c r="R301" s="3">
        <v>9744047</v>
      </c>
      <c r="S301" s="3">
        <v>9744047</v>
      </c>
      <c r="T301" s="3">
        <v>1196999</v>
      </c>
      <c r="U301" s="3">
        <v>1196999</v>
      </c>
      <c r="V301" s="3">
        <v>1196999</v>
      </c>
      <c r="W301" s="3">
        <v>1196999</v>
      </c>
      <c r="X301" s="3">
        <v>1190596</v>
      </c>
      <c r="Y301" s="3">
        <v>1190596</v>
      </c>
      <c r="Z301" s="4">
        <v>1190596</v>
      </c>
      <c r="AA301" s="4">
        <v>1190596</v>
      </c>
      <c r="AB301" s="4">
        <v>1190596</v>
      </c>
      <c r="AC301" s="4">
        <v>1190597</v>
      </c>
      <c r="AD301" s="4">
        <v>1196999</v>
      </c>
      <c r="AE301" s="4">
        <v>2393998</v>
      </c>
      <c r="AF301" s="4">
        <v>3590997</v>
      </c>
      <c r="AG301" s="4">
        <v>4787996</v>
      </c>
      <c r="AH301" s="4">
        <v>5978592</v>
      </c>
      <c r="AI301" s="4">
        <v>7169188</v>
      </c>
      <c r="AJ301" s="4">
        <v>8359784</v>
      </c>
      <c r="AK301" s="4">
        <v>9550380</v>
      </c>
      <c r="AL301" s="4">
        <v>10740976</v>
      </c>
      <c r="AM301" s="4">
        <v>11931573</v>
      </c>
      <c r="AN301" s="150">
        <v>791220</v>
      </c>
    </row>
    <row r="302" spans="1:40" x14ac:dyDescent="0.2">
      <c r="A302" s="1">
        <v>2023</v>
      </c>
      <c r="B302" s="2" t="s">
        <v>326</v>
      </c>
      <c r="C302" s="2" t="s">
        <v>326</v>
      </c>
      <c r="D302" s="1" t="s">
        <v>669</v>
      </c>
      <c r="E302" s="3">
        <v>88744283</v>
      </c>
      <c r="F302" s="3">
        <v>7679</v>
      </c>
      <c r="G302" s="3">
        <v>253685</v>
      </c>
      <c r="H302" s="1">
        <v>0</v>
      </c>
      <c r="I302" s="3">
        <v>88736604</v>
      </c>
      <c r="J302" s="3">
        <v>88482919</v>
      </c>
      <c r="K302" s="3">
        <v>88482919</v>
      </c>
      <c r="L302" s="3">
        <v>1708431</v>
      </c>
      <c r="M302" s="3">
        <v>6682947</v>
      </c>
      <c r="N302" s="3">
        <v>920287</v>
      </c>
      <c r="O302" s="3">
        <v>730505</v>
      </c>
      <c r="P302" s="3">
        <v>3821268</v>
      </c>
      <c r="Q302" s="3">
        <v>74873166</v>
      </c>
      <c r="R302" s="3">
        <v>74619481</v>
      </c>
      <c r="S302" s="3">
        <v>74619481</v>
      </c>
      <c r="T302" s="3">
        <v>8873660</v>
      </c>
      <c r="U302" s="3">
        <v>8873660</v>
      </c>
      <c r="V302" s="3">
        <v>8873660</v>
      </c>
      <c r="W302" s="3">
        <v>8873660</v>
      </c>
      <c r="X302" s="3">
        <v>8831380</v>
      </c>
      <c r="Y302" s="3">
        <v>8831380</v>
      </c>
      <c r="Z302" s="4">
        <v>8831380</v>
      </c>
      <c r="AA302" s="4">
        <v>8831380</v>
      </c>
      <c r="AB302" s="4">
        <v>8831380</v>
      </c>
      <c r="AC302" s="4">
        <v>8831379</v>
      </c>
      <c r="AD302" s="4">
        <v>8873660</v>
      </c>
      <c r="AE302" s="4">
        <v>17747320</v>
      </c>
      <c r="AF302" s="4">
        <v>26620980</v>
      </c>
      <c r="AG302" s="4">
        <v>35494640</v>
      </c>
      <c r="AH302" s="4">
        <v>44326020</v>
      </c>
      <c r="AI302" s="4">
        <v>53157400</v>
      </c>
      <c r="AJ302" s="4">
        <v>61988780</v>
      </c>
      <c r="AK302" s="4">
        <v>70820160</v>
      </c>
      <c r="AL302" s="4">
        <v>79651540</v>
      </c>
      <c r="AM302" s="4">
        <v>88482919</v>
      </c>
      <c r="AN302" s="150">
        <v>5741971</v>
      </c>
    </row>
    <row r="303" spans="1:40" x14ac:dyDescent="0.2">
      <c r="A303" s="1">
        <v>2023</v>
      </c>
      <c r="B303" s="2" t="s">
        <v>327</v>
      </c>
      <c r="C303" s="2" t="s">
        <v>327</v>
      </c>
      <c r="D303" s="1" t="s">
        <v>670</v>
      </c>
      <c r="E303" s="3">
        <v>77499940</v>
      </c>
      <c r="F303" s="3">
        <v>1509</v>
      </c>
      <c r="G303" s="3">
        <v>299670</v>
      </c>
      <c r="H303" s="1">
        <v>0</v>
      </c>
      <c r="I303" s="3">
        <v>77498431</v>
      </c>
      <c r="J303" s="3">
        <v>77198761</v>
      </c>
      <c r="K303" s="3">
        <v>77198761</v>
      </c>
      <c r="L303" s="3">
        <v>335783</v>
      </c>
      <c r="M303" s="3">
        <v>7157700</v>
      </c>
      <c r="N303" s="3">
        <v>941013</v>
      </c>
      <c r="O303" s="3">
        <v>746855</v>
      </c>
      <c r="P303" s="3">
        <v>4513933</v>
      </c>
      <c r="Q303" s="3">
        <v>63803147</v>
      </c>
      <c r="R303" s="3">
        <v>63503477</v>
      </c>
      <c r="S303" s="3">
        <v>63503477</v>
      </c>
      <c r="T303" s="3">
        <v>7749843</v>
      </c>
      <c r="U303" s="3">
        <v>7749843</v>
      </c>
      <c r="V303" s="3">
        <v>7749843</v>
      </c>
      <c r="W303" s="3">
        <v>7749843</v>
      </c>
      <c r="X303" s="3">
        <v>7699898</v>
      </c>
      <c r="Y303" s="3">
        <v>7699898</v>
      </c>
      <c r="Z303" s="4">
        <v>7699898</v>
      </c>
      <c r="AA303" s="4">
        <v>7699898</v>
      </c>
      <c r="AB303" s="4">
        <v>7699898</v>
      </c>
      <c r="AC303" s="4">
        <v>7699899</v>
      </c>
      <c r="AD303" s="4">
        <v>7749843</v>
      </c>
      <c r="AE303" s="4">
        <v>15499686</v>
      </c>
      <c r="AF303" s="4">
        <v>23249529</v>
      </c>
      <c r="AG303" s="4">
        <v>30999372</v>
      </c>
      <c r="AH303" s="4">
        <v>38699270</v>
      </c>
      <c r="AI303" s="4">
        <v>46399168</v>
      </c>
      <c r="AJ303" s="4">
        <v>54099066</v>
      </c>
      <c r="AK303" s="4">
        <v>61798964</v>
      </c>
      <c r="AL303" s="4">
        <v>69498862</v>
      </c>
      <c r="AM303" s="4">
        <v>77198761</v>
      </c>
      <c r="AN303" s="150">
        <v>6374798</v>
      </c>
    </row>
    <row r="304" spans="1:40" x14ac:dyDescent="0.2">
      <c r="A304" s="1">
        <v>2023</v>
      </c>
      <c r="B304" s="2" t="s">
        <v>328</v>
      </c>
      <c r="C304" s="2" t="s">
        <v>328</v>
      </c>
      <c r="D304" s="1" t="s">
        <v>671</v>
      </c>
      <c r="E304" s="3">
        <v>14722535</v>
      </c>
      <c r="F304" s="3">
        <v>1542</v>
      </c>
      <c r="G304" s="3">
        <v>51502</v>
      </c>
      <c r="H304" s="3">
        <v>0</v>
      </c>
      <c r="I304" s="3">
        <v>14720993</v>
      </c>
      <c r="J304" s="3">
        <v>14669491</v>
      </c>
      <c r="K304" s="3">
        <v>14669491</v>
      </c>
      <c r="L304" s="3">
        <v>343163</v>
      </c>
      <c r="M304" s="3">
        <v>1468110</v>
      </c>
      <c r="N304" s="3">
        <v>141844</v>
      </c>
      <c r="O304" s="3">
        <v>163287</v>
      </c>
      <c r="P304" s="3">
        <v>775782</v>
      </c>
      <c r="Q304" s="3">
        <v>11828807</v>
      </c>
      <c r="R304" s="3">
        <v>11777305</v>
      </c>
      <c r="S304" s="3">
        <v>11777305</v>
      </c>
      <c r="T304" s="3">
        <v>1472099</v>
      </c>
      <c r="U304" s="3">
        <v>1472099</v>
      </c>
      <c r="V304" s="3">
        <v>1472099</v>
      </c>
      <c r="W304" s="3">
        <v>1472099</v>
      </c>
      <c r="X304" s="3">
        <v>1463516</v>
      </c>
      <c r="Y304" s="3">
        <v>1463516</v>
      </c>
      <c r="Z304" s="4">
        <v>1463516</v>
      </c>
      <c r="AA304" s="4">
        <v>1463516</v>
      </c>
      <c r="AB304" s="4">
        <v>1463516</v>
      </c>
      <c r="AC304" s="4">
        <v>1463515</v>
      </c>
      <c r="AD304" s="4">
        <v>1472099</v>
      </c>
      <c r="AE304" s="4">
        <v>2944198</v>
      </c>
      <c r="AF304" s="4">
        <v>4416297</v>
      </c>
      <c r="AG304" s="4">
        <v>5888396</v>
      </c>
      <c r="AH304" s="4">
        <v>7351912</v>
      </c>
      <c r="AI304" s="4">
        <v>8815428</v>
      </c>
      <c r="AJ304" s="4">
        <v>10278944</v>
      </c>
      <c r="AK304" s="4">
        <v>11742460</v>
      </c>
      <c r="AL304" s="4">
        <v>13205976</v>
      </c>
      <c r="AM304" s="4">
        <v>14669491</v>
      </c>
      <c r="AN304" s="150">
        <v>1099731</v>
      </c>
    </row>
    <row r="305" spans="1:40" x14ac:dyDescent="0.2">
      <c r="A305" s="1">
        <v>2023</v>
      </c>
      <c r="B305" s="2" t="s">
        <v>329</v>
      </c>
      <c r="C305" s="2" t="s">
        <v>329</v>
      </c>
      <c r="D305" s="1" t="s">
        <v>672</v>
      </c>
      <c r="E305" s="3">
        <v>3642693</v>
      </c>
      <c r="F305" s="3">
        <v>531</v>
      </c>
      <c r="G305" s="3">
        <v>13692</v>
      </c>
      <c r="H305" s="1">
        <v>0</v>
      </c>
      <c r="I305" s="3">
        <v>3642162</v>
      </c>
      <c r="J305" s="3">
        <v>3628470</v>
      </c>
      <c r="K305" s="3">
        <v>3628470</v>
      </c>
      <c r="L305" s="3">
        <v>118077</v>
      </c>
      <c r="M305" s="3">
        <v>425516</v>
      </c>
      <c r="N305" s="3">
        <v>47956</v>
      </c>
      <c r="O305" s="3">
        <v>47461</v>
      </c>
      <c r="P305" s="3">
        <v>206236</v>
      </c>
      <c r="Q305" s="3">
        <v>2796916</v>
      </c>
      <c r="R305" s="3">
        <v>2783224</v>
      </c>
      <c r="S305" s="3">
        <v>2783224</v>
      </c>
      <c r="T305" s="3">
        <v>364216</v>
      </c>
      <c r="U305" s="3">
        <v>364216</v>
      </c>
      <c r="V305" s="3">
        <v>364216</v>
      </c>
      <c r="W305" s="3">
        <v>364216</v>
      </c>
      <c r="X305" s="3">
        <v>361934</v>
      </c>
      <c r="Y305" s="3">
        <v>361934</v>
      </c>
      <c r="Z305" s="4">
        <v>361935</v>
      </c>
      <c r="AA305" s="4">
        <v>361935</v>
      </c>
      <c r="AB305" s="4">
        <v>361935</v>
      </c>
      <c r="AC305" s="4">
        <v>361933</v>
      </c>
      <c r="AD305" s="4">
        <v>364216</v>
      </c>
      <c r="AE305" s="4">
        <v>728432</v>
      </c>
      <c r="AF305" s="4">
        <v>1092648</v>
      </c>
      <c r="AG305" s="4">
        <v>1456864</v>
      </c>
      <c r="AH305" s="4">
        <v>1818798</v>
      </c>
      <c r="AI305" s="4">
        <v>2180732</v>
      </c>
      <c r="AJ305" s="4">
        <v>2542667</v>
      </c>
      <c r="AK305" s="4">
        <v>2904602</v>
      </c>
      <c r="AL305" s="4">
        <v>3266537</v>
      </c>
      <c r="AM305" s="4">
        <v>3628470</v>
      </c>
      <c r="AN305" s="150">
        <v>268719</v>
      </c>
    </row>
    <row r="306" spans="1:40" x14ac:dyDescent="0.2">
      <c r="A306" s="1">
        <v>2023</v>
      </c>
      <c r="B306" s="2" t="s">
        <v>330</v>
      </c>
      <c r="C306" s="2" t="s">
        <v>330</v>
      </c>
      <c r="D306" s="1" t="s">
        <v>673</v>
      </c>
      <c r="E306" s="3">
        <v>12688704</v>
      </c>
      <c r="F306" s="3">
        <v>1808</v>
      </c>
      <c r="G306" s="3">
        <v>41887</v>
      </c>
      <c r="H306" s="1">
        <v>0</v>
      </c>
      <c r="I306" s="3">
        <v>12686896</v>
      </c>
      <c r="J306" s="3">
        <v>12645009</v>
      </c>
      <c r="K306" s="3">
        <v>12645009</v>
      </c>
      <c r="L306" s="3">
        <v>402201</v>
      </c>
      <c r="M306" s="3">
        <v>1149878</v>
      </c>
      <c r="N306" s="3">
        <v>140614</v>
      </c>
      <c r="O306" s="3">
        <v>127106</v>
      </c>
      <c r="P306" s="3">
        <v>630945</v>
      </c>
      <c r="Q306" s="3">
        <v>10236152</v>
      </c>
      <c r="R306" s="3">
        <v>10194265</v>
      </c>
      <c r="S306" s="3">
        <v>10194265</v>
      </c>
      <c r="T306" s="3">
        <v>1268690</v>
      </c>
      <c r="U306" s="3">
        <v>1268690</v>
      </c>
      <c r="V306" s="3">
        <v>1268690</v>
      </c>
      <c r="W306" s="3">
        <v>1268690</v>
      </c>
      <c r="X306" s="3">
        <v>1261708</v>
      </c>
      <c r="Y306" s="3">
        <v>1261708</v>
      </c>
      <c r="Z306" s="4">
        <v>1261708</v>
      </c>
      <c r="AA306" s="4">
        <v>1261708</v>
      </c>
      <c r="AB306" s="4">
        <v>1261708</v>
      </c>
      <c r="AC306" s="4">
        <v>1261709</v>
      </c>
      <c r="AD306" s="4">
        <v>1268690</v>
      </c>
      <c r="AE306" s="4">
        <v>2537380</v>
      </c>
      <c r="AF306" s="4">
        <v>3806070</v>
      </c>
      <c r="AG306" s="4">
        <v>5074760</v>
      </c>
      <c r="AH306" s="4">
        <v>6336468</v>
      </c>
      <c r="AI306" s="4">
        <v>7598176</v>
      </c>
      <c r="AJ306" s="4">
        <v>8859884</v>
      </c>
      <c r="AK306" s="4">
        <v>10121592</v>
      </c>
      <c r="AL306" s="4">
        <v>11383300</v>
      </c>
      <c r="AM306" s="4">
        <v>12645009</v>
      </c>
      <c r="AN306" s="150">
        <v>866583</v>
      </c>
    </row>
    <row r="307" spans="1:40" x14ac:dyDescent="0.2">
      <c r="A307" s="1">
        <v>2023</v>
      </c>
      <c r="B307" s="2" t="s">
        <v>331</v>
      </c>
      <c r="C307" s="2" t="s">
        <v>331</v>
      </c>
      <c r="D307" s="1" t="s">
        <v>674</v>
      </c>
      <c r="E307" s="3">
        <v>1647700</v>
      </c>
      <c r="F307" s="3">
        <v>431</v>
      </c>
      <c r="G307" s="3">
        <v>7554</v>
      </c>
      <c r="H307" s="1">
        <v>0</v>
      </c>
      <c r="I307" s="3">
        <v>1647269</v>
      </c>
      <c r="J307" s="3">
        <v>1639715</v>
      </c>
      <c r="K307" s="3">
        <v>1639715</v>
      </c>
      <c r="L307" s="3">
        <v>95938</v>
      </c>
      <c r="M307" s="3">
        <v>227100</v>
      </c>
      <c r="N307" s="3">
        <v>21802</v>
      </c>
      <c r="O307" s="3">
        <v>24263</v>
      </c>
      <c r="P307" s="3">
        <v>113780</v>
      </c>
      <c r="Q307" s="3">
        <v>1164386</v>
      </c>
      <c r="R307" s="3">
        <v>1156832</v>
      </c>
      <c r="S307" s="3">
        <v>1156832</v>
      </c>
      <c r="T307" s="3">
        <v>164727</v>
      </c>
      <c r="U307" s="3">
        <v>164727</v>
      </c>
      <c r="V307" s="3">
        <v>164727</v>
      </c>
      <c r="W307" s="3">
        <v>164727</v>
      </c>
      <c r="X307" s="3">
        <v>163468</v>
      </c>
      <c r="Y307" s="3">
        <v>163468</v>
      </c>
      <c r="Z307" s="4">
        <v>163468</v>
      </c>
      <c r="AA307" s="4">
        <v>163468</v>
      </c>
      <c r="AB307" s="4">
        <v>163468</v>
      </c>
      <c r="AC307" s="4">
        <v>163467</v>
      </c>
      <c r="AD307" s="4">
        <v>164727</v>
      </c>
      <c r="AE307" s="4">
        <v>329454</v>
      </c>
      <c r="AF307" s="4">
        <v>494181</v>
      </c>
      <c r="AG307" s="4">
        <v>658908</v>
      </c>
      <c r="AH307" s="4">
        <v>822376</v>
      </c>
      <c r="AI307" s="4">
        <v>985844</v>
      </c>
      <c r="AJ307" s="4">
        <v>1149312</v>
      </c>
      <c r="AK307" s="4">
        <v>1312780</v>
      </c>
      <c r="AL307" s="4">
        <v>1476248</v>
      </c>
      <c r="AM307" s="4">
        <v>1639715</v>
      </c>
      <c r="AN307" s="150">
        <v>154084</v>
      </c>
    </row>
    <row r="308" spans="1:40" x14ac:dyDescent="0.2">
      <c r="A308" s="1">
        <v>2023</v>
      </c>
      <c r="B308" s="2" t="s">
        <v>332</v>
      </c>
      <c r="C308" s="2" t="s">
        <v>332</v>
      </c>
      <c r="D308" s="1" t="s">
        <v>675</v>
      </c>
      <c r="E308" s="3">
        <v>4506552</v>
      </c>
      <c r="F308" s="3">
        <v>697</v>
      </c>
      <c r="G308" s="3">
        <v>18276</v>
      </c>
      <c r="H308" s="1">
        <v>0</v>
      </c>
      <c r="I308" s="3">
        <v>4505855</v>
      </c>
      <c r="J308" s="3">
        <v>4487579</v>
      </c>
      <c r="K308" s="3">
        <v>4487579</v>
      </c>
      <c r="L308" s="3">
        <v>154976</v>
      </c>
      <c r="M308" s="3">
        <v>485322</v>
      </c>
      <c r="N308" s="3">
        <v>53196</v>
      </c>
      <c r="O308" s="3">
        <v>51788</v>
      </c>
      <c r="P308" s="3">
        <v>275291</v>
      </c>
      <c r="Q308" s="3">
        <v>3485282</v>
      </c>
      <c r="R308" s="3">
        <v>3467006</v>
      </c>
      <c r="S308" s="3">
        <v>3467006</v>
      </c>
      <c r="T308" s="3">
        <v>450586</v>
      </c>
      <c r="U308" s="3">
        <v>450586</v>
      </c>
      <c r="V308" s="3">
        <v>450586</v>
      </c>
      <c r="W308" s="3">
        <v>450586</v>
      </c>
      <c r="X308" s="3">
        <v>447539</v>
      </c>
      <c r="Y308" s="3">
        <v>447539</v>
      </c>
      <c r="Z308" s="4">
        <v>447539</v>
      </c>
      <c r="AA308" s="4">
        <v>447539</v>
      </c>
      <c r="AB308" s="4">
        <v>447539</v>
      </c>
      <c r="AC308" s="4">
        <v>447540</v>
      </c>
      <c r="AD308" s="4">
        <v>450586</v>
      </c>
      <c r="AE308" s="4">
        <v>901172</v>
      </c>
      <c r="AF308" s="4">
        <v>1351758</v>
      </c>
      <c r="AG308" s="4">
        <v>1802344</v>
      </c>
      <c r="AH308" s="4">
        <v>2249883</v>
      </c>
      <c r="AI308" s="4">
        <v>2697422</v>
      </c>
      <c r="AJ308" s="4">
        <v>3144961</v>
      </c>
      <c r="AK308" s="4">
        <v>3592500</v>
      </c>
      <c r="AL308" s="4">
        <v>4040039</v>
      </c>
      <c r="AM308" s="4">
        <v>4487579</v>
      </c>
      <c r="AN308" s="150">
        <v>367961</v>
      </c>
    </row>
    <row r="309" spans="1:40" x14ac:dyDescent="0.2">
      <c r="A309" s="1">
        <v>2023</v>
      </c>
      <c r="B309" s="2" t="s">
        <v>333</v>
      </c>
      <c r="C309" s="2" t="s">
        <v>333</v>
      </c>
      <c r="D309" s="1" t="s">
        <v>676</v>
      </c>
      <c r="E309" s="3">
        <v>2926914</v>
      </c>
      <c r="F309" s="3">
        <v>580</v>
      </c>
      <c r="G309" s="3">
        <v>10119</v>
      </c>
      <c r="H309" s="1">
        <v>0</v>
      </c>
      <c r="I309" s="3">
        <v>2926334</v>
      </c>
      <c r="J309" s="3">
        <v>2916215</v>
      </c>
      <c r="K309" s="3">
        <v>2916215</v>
      </c>
      <c r="L309" s="3">
        <v>129148</v>
      </c>
      <c r="M309" s="3">
        <v>333452</v>
      </c>
      <c r="N309" s="3">
        <v>53631</v>
      </c>
      <c r="O309" s="3">
        <v>42702</v>
      </c>
      <c r="P309" s="3">
        <v>155336</v>
      </c>
      <c r="Q309" s="3">
        <v>2212065</v>
      </c>
      <c r="R309" s="3">
        <v>2201946</v>
      </c>
      <c r="S309" s="3">
        <v>2201946</v>
      </c>
      <c r="T309" s="3">
        <v>292633</v>
      </c>
      <c r="U309" s="3">
        <v>292633</v>
      </c>
      <c r="V309" s="3">
        <v>292633</v>
      </c>
      <c r="W309" s="3">
        <v>292633</v>
      </c>
      <c r="X309" s="3">
        <v>290947</v>
      </c>
      <c r="Y309" s="3">
        <v>290947</v>
      </c>
      <c r="Z309" s="4">
        <v>290947</v>
      </c>
      <c r="AA309" s="4">
        <v>290947</v>
      </c>
      <c r="AB309" s="4">
        <v>290947</v>
      </c>
      <c r="AC309" s="4">
        <v>290948</v>
      </c>
      <c r="AD309" s="4">
        <v>292633</v>
      </c>
      <c r="AE309" s="4">
        <v>585266</v>
      </c>
      <c r="AF309" s="4">
        <v>877899</v>
      </c>
      <c r="AG309" s="4">
        <v>1170532</v>
      </c>
      <c r="AH309" s="4">
        <v>1461479</v>
      </c>
      <c r="AI309" s="4">
        <v>1752426</v>
      </c>
      <c r="AJ309" s="4">
        <v>2043373</v>
      </c>
      <c r="AK309" s="4">
        <v>2334320</v>
      </c>
      <c r="AL309" s="4">
        <v>2625267</v>
      </c>
      <c r="AM309" s="4">
        <v>2916215</v>
      </c>
      <c r="AN309" s="150">
        <v>208442</v>
      </c>
    </row>
    <row r="310" spans="1:40" x14ac:dyDescent="0.2">
      <c r="A310" s="1">
        <v>2023</v>
      </c>
      <c r="B310" s="2" t="s">
        <v>334</v>
      </c>
      <c r="C310" s="2" t="s">
        <v>334</v>
      </c>
      <c r="D310" s="1" t="s">
        <v>677</v>
      </c>
      <c r="E310" s="3">
        <v>1421313</v>
      </c>
      <c r="F310" s="3">
        <v>348</v>
      </c>
      <c r="G310" s="3">
        <v>6062</v>
      </c>
      <c r="H310" s="3">
        <v>0</v>
      </c>
      <c r="I310" s="3">
        <v>1420965</v>
      </c>
      <c r="J310" s="3">
        <v>1414903</v>
      </c>
      <c r="K310" s="3">
        <v>1414903</v>
      </c>
      <c r="L310" s="3">
        <v>77489</v>
      </c>
      <c r="M310" s="3">
        <v>173248</v>
      </c>
      <c r="N310" s="3">
        <v>16991</v>
      </c>
      <c r="O310" s="3">
        <v>18164</v>
      </c>
      <c r="P310" s="3">
        <v>91456</v>
      </c>
      <c r="Q310" s="3">
        <v>1043617</v>
      </c>
      <c r="R310" s="3">
        <v>1037555</v>
      </c>
      <c r="S310" s="3">
        <v>1037555</v>
      </c>
      <c r="T310" s="3">
        <v>142097</v>
      </c>
      <c r="U310" s="3">
        <v>142097</v>
      </c>
      <c r="V310" s="3">
        <v>142097</v>
      </c>
      <c r="W310" s="3">
        <v>142097</v>
      </c>
      <c r="X310" s="3">
        <v>141086</v>
      </c>
      <c r="Y310" s="3">
        <v>141086</v>
      </c>
      <c r="Z310" s="4">
        <v>141086</v>
      </c>
      <c r="AA310" s="4">
        <v>141086</v>
      </c>
      <c r="AB310" s="4">
        <v>141086</v>
      </c>
      <c r="AC310" s="4">
        <v>141085</v>
      </c>
      <c r="AD310" s="4">
        <v>142097</v>
      </c>
      <c r="AE310" s="4">
        <v>284194</v>
      </c>
      <c r="AF310" s="4">
        <v>426291</v>
      </c>
      <c r="AG310" s="4">
        <v>568388</v>
      </c>
      <c r="AH310" s="4">
        <v>709474</v>
      </c>
      <c r="AI310" s="4">
        <v>850560</v>
      </c>
      <c r="AJ310" s="4">
        <v>991646</v>
      </c>
      <c r="AK310" s="4">
        <v>1132732</v>
      </c>
      <c r="AL310" s="4">
        <v>1273818</v>
      </c>
      <c r="AM310" s="4">
        <v>1414903</v>
      </c>
      <c r="AN310" s="150">
        <v>124656</v>
      </c>
    </row>
    <row r="311" spans="1:40" x14ac:dyDescent="0.2">
      <c r="A311" s="1">
        <v>2023</v>
      </c>
      <c r="B311" s="2" t="s">
        <v>335</v>
      </c>
      <c r="C311" s="2" t="s">
        <v>335</v>
      </c>
      <c r="D311" s="1" t="s">
        <v>678</v>
      </c>
      <c r="E311" s="3">
        <v>8837433</v>
      </c>
      <c r="F311" s="3">
        <v>1045</v>
      </c>
      <c r="G311" s="3">
        <v>33112</v>
      </c>
      <c r="H311" s="1">
        <v>0</v>
      </c>
      <c r="I311" s="3">
        <v>8836388</v>
      </c>
      <c r="J311" s="3">
        <v>8803276</v>
      </c>
      <c r="K311" s="3">
        <v>8803276</v>
      </c>
      <c r="L311" s="3">
        <v>232465</v>
      </c>
      <c r="M311" s="3">
        <v>886389</v>
      </c>
      <c r="N311" s="3">
        <v>97636</v>
      </c>
      <c r="O311" s="3">
        <v>98486</v>
      </c>
      <c r="P311" s="3">
        <v>498773</v>
      </c>
      <c r="Q311" s="3">
        <v>7022639</v>
      </c>
      <c r="R311" s="3">
        <v>6989527</v>
      </c>
      <c r="S311" s="3">
        <v>6989527</v>
      </c>
      <c r="T311" s="3">
        <v>883639</v>
      </c>
      <c r="U311" s="3">
        <v>883639</v>
      </c>
      <c r="V311" s="3">
        <v>883639</v>
      </c>
      <c r="W311" s="3">
        <v>883639</v>
      </c>
      <c r="X311" s="3">
        <v>878120</v>
      </c>
      <c r="Y311" s="3">
        <v>878120</v>
      </c>
      <c r="Z311" s="4">
        <v>878120</v>
      </c>
      <c r="AA311" s="4">
        <v>878120</v>
      </c>
      <c r="AB311" s="4">
        <v>878120</v>
      </c>
      <c r="AC311" s="4">
        <v>878120</v>
      </c>
      <c r="AD311" s="4">
        <v>883639</v>
      </c>
      <c r="AE311" s="4">
        <v>1767278</v>
      </c>
      <c r="AF311" s="4">
        <v>2650917</v>
      </c>
      <c r="AG311" s="4">
        <v>3534556</v>
      </c>
      <c r="AH311" s="4">
        <v>4412676</v>
      </c>
      <c r="AI311" s="4">
        <v>5290796</v>
      </c>
      <c r="AJ311" s="4">
        <v>6168916</v>
      </c>
      <c r="AK311" s="4">
        <v>7047036</v>
      </c>
      <c r="AL311" s="4">
        <v>7925156</v>
      </c>
      <c r="AM311" s="4">
        <v>8803276</v>
      </c>
      <c r="AN311" s="150">
        <v>701241</v>
      </c>
    </row>
    <row r="312" spans="1:40" x14ac:dyDescent="0.2">
      <c r="A312" s="1">
        <v>2023</v>
      </c>
      <c r="B312" s="2" t="s">
        <v>336</v>
      </c>
      <c r="C312" s="2" t="s">
        <v>336</v>
      </c>
      <c r="D312" s="1" t="s">
        <v>679</v>
      </c>
      <c r="E312" s="3">
        <v>49624998</v>
      </c>
      <c r="F312" s="3">
        <v>6485</v>
      </c>
      <c r="G312" s="3">
        <v>208425</v>
      </c>
      <c r="H312" s="1">
        <v>0</v>
      </c>
      <c r="I312" s="3">
        <v>49618513</v>
      </c>
      <c r="J312" s="3">
        <v>49410088</v>
      </c>
      <c r="K312" s="3">
        <v>49410088</v>
      </c>
      <c r="L312" s="3">
        <v>1442757</v>
      </c>
      <c r="M312" s="3">
        <v>5343671</v>
      </c>
      <c r="N312" s="3">
        <v>601404</v>
      </c>
      <c r="O312" s="3">
        <v>608599</v>
      </c>
      <c r="P312" s="3">
        <v>3139516</v>
      </c>
      <c r="Q312" s="3">
        <v>38482566</v>
      </c>
      <c r="R312" s="3">
        <v>38274141</v>
      </c>
      <c r="S312" s="3">
        <v>38274141</v>
      </c>
      <c r="T312" s="3">
        <v>4961851</v>
      </c>
      <c r="U312" s="3">
        <v>4961851</v>
      </c>
      <c r="V312" s="3">
        <v>4961851</v>
      </c>
      <c r="W312" s="3">
        <v>4961851</v>
      </c>
      <c r="X312" s="3">
        <v>4927114</v>
      </c>
      <c r="Y312" s="3">
        <v>4927114</v>
      </c>
      <c r="Z312" s="4">
        <v>4927114</v>
      </c>
      <c r="AA312" s="4">
        <v>4927114</v>
      </c>
      <c r="AB312" s="4">
        <v>4927114</v>
      </c>
      <c r="AC312" s="4">
        <v>4927114</v>
      </c>
      <c r="AD312" s="4">
        <v>4961851</v>
      </c>
      <c r="AE312" s="4">
        <v>9923702</v>
      </c>
      <c r="AF312" s="4">
        <v>14885553</v>
      </c>
      <c r="AG312" s="4">
        <v>19847404</v>
      </c>
      <c r="AH312" s="4">
        <v>24774518</v>
      </c>
      <c r="AI312" s="4">
        <v>29701632</v>
      </c>
      <c r="AJ312" s="4">
        <v>34628746</v>
      </c>
      <c r="AK312" s="4">
        <v>39555860</v>
      </c>
      <c r="AL312" s="4">
        <v>44482974</v>
      </c>
      <c r="AM312" s="4">
        <v>49410088</v>
      </c>
      <c r="AN312" s="150">
        <v>4250479</v>
      </c>
    </row>
    <row r="313" spans="1:40" x14ac:dyDescent="0.2">
      <c r="A313" s="1">
        <v>2023</v>
      </c>
      <c r="B313" s="2" t="s">
        <v>337</v>
      </c>
      <c r="C313" s="2" t="s">
        <v>337</v>
      </c>
      <c r="D313" s="1" t="s">
        <v>680</v>
      </c>
      <c r="E313" s="3">
        <v>19716290</v>
      </c>
      <c r="F313" s="3">
        <v>4644</v>
      </c>
      <c r="G313" s="3">
        <v>75928</v>
      </c>
      <c r="H313" s="1">
        <v>0</v>
      </c>
      <c r="I313" s="3">
        <v>19711646</v>
      </c>
      <c r="J313" s="3">
        <v>19635718</v>
      </c>
      <c r="K313" s="3">
        <v>19635718</v>
      </c>
      <c r="L313" s="3">
        <v>1033176</v>
      </c>
      <c r="M313" s="3">
        <v>2016736</v>
      </c>
      <c r="N313" s="3">
        <v>232481</v>
      </c>
      <c r="O313" s="3">
        <v>224458</v>
      </c>
      <c r="P313" s="3">
        <v>1143708</v>
      </c>
      <c r="Q313" s="3">
        <v>15061087</v>
      </c>
      <c r="R313" s="3">
        <v>14985159</v>
      </c>
      <c r="S313" s="3">
        <v>14985159</v>
      </c>
      <c r="T313" s="3">
        <v>1971165</v>
      </c>
      <c r="U313" s="3">
        <v>1971165</v>
      </c>
      <c r="V313" s="3">
        <v>1971165</v>
      </c>
      <c r="W313" s="3">
        <v>1971165</v>
      </c>
      <c r="X313" s="3">
        <v>1958510</v>
      </c>
      <c r="Y313" s="3">
        <v>1958510</v>
      </c>
      <c r="Z313" s="4">
        <v>1958510</v>
      </c>
      <c r="AA313" s="4">
        <v>1958510</v>
      </c>
      <c r="AB313" s="4">
        <v>1958510</v>
      </c>
      <c r="AC313" s="4">
        <v>1958508</v>
      </c>
      <c r="AD313" s="4">
        <v>1971165</v>
      </c>
      <c r="AE313" s="4">
        <v>3942330</v>
      </c>
      <c r="AF313" s="4">
        <v>5913495</v>
      </c>
      <c r="AG313" s="4">
        <v>7884660</v>
      </c>
      <c r="AH313" s="4">
        <v>9843170</v>
      </c>
      <c r="AI313" s="4">
        <v>11801680</v>
      </c>
      <c r="AJ313" s="4">
        <v>13760190</v>
      </c>
      <c r="AK313" s="4">
        <v>15718700</v>
      </c>
      <c r="AL313" s="4">
        <v>17677210</v>
      </c>
      <c r="AM313" s="4">
        <v>19635718</v>
      </c>
      <c r="AN313" s="150">
        <v>1745273</v>
      </c>
    </row>
    <row r="314" spans="1:40" x14ac:dyDescent="0.2">
      <c r="A314" s="1">
        <v>2023</v>
      </c>
      <c r="B314" s="2" t="s">
        <v>338</v>
      </c>
      <c r="C314" s="2" t="s">
        <v>338</v>
      </c>
      <c r="D314" s="1" t="s">
        <v>681</v>
      </c>
      <c r="E314" s="3">
        <v>1878437</v>
      </c>
      <c r="F314" s="3">
        <v>282</v>
      </c>
      <c r="G314" s="3">
        <v>8328</v>
      </c>
      <c r="H314" s="3">
        <v>0</v>
      </c>
      <c r="I314" s="3">
        <v>1878155</v>
      </c>
      <c r="J314" s="3">
        <v>1869827</v>
      </c>
      <c r="K314" s="3">
        <v>1869827</v>
      </c>
      <c r="L314" s="3">
        <v>62729</v>
      </c>
      <c r="M314" s="3">
        <v>228738</v>
      </c>
      <c r="N314" s="3">
        <v>21643</v>
      </c>
      <c r="O314" s="3">
        <v>25050</v>
      </c>
      <c r="P314" s="3">
        <v>125445</v>
      </c>
      <c r="Q314" s="3">
        <v>1414550</v>
      </c>
      <c r="R314" s="3">
        <v>1406222</v>
      </c>
      <c r="S314" s="3">
        <v>1406222</v>
      </c>
      <c r="T314" s="3">
        <v>187816</v>
      </c>
      <c r="U314" s="3">
        <v>187816</v>
      </c>
      <c r="V314" s="3">
        <v>187816</v>
      </c>
      <c r="W314" s="3">
        <v>187816</v>
      </c>
      <c r="X314" s="3">
        <v>186427</v>
      </c>
      <c r="Y314" s="3">
        <v>186427</v>
      </c>
      <c r="Z314" s="4">
        <v>186427</v>
      </c>
      <c r="AA314" s="4">
        <v>186427</v>
      </c>
      <c r="AB314" s="4">
        <v>186427</v>
      </c>
      <c r="AC314" s="4">
        <v>186428</v>
      </c>
      <c r="AD314" s="4">
        <v>187816</v>
      </c>
      <c r="AE314" s="4">
        <v>375632</v>
      </c>
      <c r="AF314" s="4">
        <v>563448</v>
      </c>
      <c r="AG314" s="4">
        <v>751264</v>
      </c>
      <c r="AH314" s="4">
        <v>937691</v>
      </c>
      <c r="AI314" s="4">
        <v>1124118</v>
      </c>
      <c r="AJ314" s="4">
        <v>1310545</v>
      </c>
      <c r="AK314" s="4">
        <v>1496972</v>
      </c>
      <c r="AL314" s="4">
        <v>1683399</v>
      </c>
      <c r="AM314" s="4">
        <v>1869827</v>
      </c>
      <c r="AN314" s="150">
        <v>181045</v>
      </c>
    </row>
    <row r="315" spans="1:40" x14ac:dyDescent="0.2">
      <c r="A315" s="1">
        <v>2023</v>
      </c>
      <c r="B315" s="2" t="s">
        <v>339</v>
      </c>
      <c r="C315" s="2" t="s">
        <v>339</v>
      </c>
      <c r="D315" s="1" t="s">
        <v>682</v>
      </c>
      <c r="E315" s="3">
        <v>9657360</v>
      </c>
      <c r="F315" s="3">
        <v>1061</v>
      </c>
      <c r="G315" s="3">
        <v>29338</v>
      </c>
      <c r="H315" s="3">
        <v>0</v>
      </c>
      <c r="I315" s="3">
        <v>9656299</v>
      </c>
      <c r="J315" s="3">
        <v>9626961</v>
      </c>
      <c r="K315" s="3">
        <v>9626961</v>
      </c>
      <c r="L315" s="3">
        <v>236155</v>
      </c>
      <c r="M315" s="3">
        <v>793428</v>
      </c>
      <c r="N315" s="3">
        <v>108121</v>
      </c>
      <c r="O315" s="3">
        <v>83493</v>
      </c>
      <c r="P315" s="3">
        <v>441919</v>
      </c>
      <c r="Q315" s="3">
        <v>7993183</v>
      </c>
      <c r="R315" s="3">
        <v>7963845</v>
      </c>
      <c r="S315" s="3">
        <v>7963845</v>
      </c>
      <c r="T315" s="3">
        <v>965630</v>
      </c>
      <c r="U315" s="3">
        <v>965630</v>
      </c>
      <c r="V315" s="3">
        <v>965630</v>
      </c>
      <c r="W315" s="3">
        <v>965630</v>
      </c>
      <c r="X315" s="3">
        <v>960740</v>
      </c>
      <c r="Y315" s="3">
        <v>960740</v>
      </c>
      <c r="Z315" s="4">
        <v>960740</v>
      </c>
      <c r="AA315" s="4">
        <v>960740</v>
      </c>
      <c r="AB315" s="4">
        <v>960740</v>
      </c>
      <c r="AC315" s="4">
        <v>960741</v>
      </c>
      <c r="AD315" s="4">
        <v>965630</v>
      </c>
      <c r="AE315" s="4">
        <v>1931260</v>
      </c>
      <c r="AF315" s="4">
        <v>2896890</v>
      </c>
      <c r="AG315" s="4">
        <v>3862520</v>
      </c>
      <c r="AH315" s="4">
        <v>4823260</v>
      </c>
      <c r="AI315" s="4">
        <v>5784000</v>
      </c>
      <c r="AJ315" s="4">
        <v>6744740</v>
      </c>
      <c r="AK315" s="4">
        <v>7705480</v>
      </c>
      <c r="AL315" s="4">
        <v>8666220</v>
      </c>
      <c r="AM315" s="4">
        <v>9626961</v>
      </c>
      <c r="AN315" s="150">
        <v>599509</v>
      </c>
    </row>
    <row r="316" spans="1:40" x14ac:dyDescent="0.2">
      <c r="A316" s="1">
        <v>2023</v>
      </c>
      <c r="B316" s="2" t="s">
        <v>340</v>
      </c>
      <c r="C316" s="2" t="s">
        <v>340</v>
      </c>
      <c r="D316" s="1" t="s">
        <v>683</v>
      </c>
      <c r="E316" s="3">
        <v>5305773</v>
      </c>
      <c r="F316" s="3">
        <v>879</v>
      </c>
      <c r="G316" s="3">
        <v>22195</v>
      </c>
      <c r="H316" s="1">
        <v>0</v>
      </c>
      <c r="I316" s="3">
        <v>5304894</v>
      </c>
      <c r="J316" s="3">
        <v>5282699</v>
      </c>
      <c r="K316" s="3">
        <v>5282699</v>
      </c>
      <c r="L316" s="3">
        <v>195566</v>
      </c>
      <c r="M316" s="3">
        <v>562303</v>
      </c>
      <c r="N316" s="3">
        <v>64922</v>
      </c>
      <c r="O316" s="3">
        <v>63278</v>
      </c>
      <c r="P316" s="3">
        <v>334328</v>
      </c>
      <c r="Q316" s="3">
        <v>4084497</v>
      </c>
      <c r="R316" s="3">
        <v>4062302</v>
      </c>
      <c r="S316" s="3">
        <v>4062302</v>
      </c>
      <c r="T316" s="3">
        <v>530489</v>
      </c>
      <c r="U316" s="3">
        <v>530489</v>
      </c>
      <c r="V316" s="3">
        <v>530489</v>
      </c>
      <c r="W316" s="3">
        <v>530489</v>
      </c>
      <c r="X316" s="3">
        <v>526791</v>
      </c>
      <c r="Y316" s="3">
        <v>526791</v>
      </c>
      <c r="Z316" s="4">
        <v>526790</v>
      </c>
      <c r="AA316" s="4">
        <v>526790</v>
      </c>
      <c r="AB316" s="4">
        <v>526790</v>
      </c>
      <c r="AC316" s="4">
        <v>526791</v>
      </c>
      <c r="AD316" s="4">
        <v>530489</v>
      </c>
      <c r="AE316" s="4">
        <v>1060978</v>
      </c>
      <c r="AF316" s="4">
        <v>1591467</v>
      </c>
      <c r="AG316" s="4">
        <v>2121956</v>
      </c>
      <c r="AH316" s="4">
        <v>2648747</v>
      </c>
      <c r="AI316" s="4">
        <v>3175538</v>
      </c>
      <c r="AJ316" s="4">
        <v>3702328</v>
      </c>
      <c r="AK316" s="4">
        <v>4229118</v>
      </c>
      <c r="AL316" s="4">
        <v>4755908</v>
      </c>
      <c r="AM316" s="4">
        <v>5282699</v>
      </c>
      <c r="AN316" s="150">
        <v>469071</v>
      </c>
    </row>
    <row r="317" spans="1:40" x14ac:dyDescent="0.2">
      <c r="A317" s="1">
        <v>2023</v>
      </c>
      <c r="B317" s="2" t="s">
        <v>341</v>
      </c>
      <c r="C317" s="2" t="s">
        <v>341</v>
      </c>
      <c r="D317" s="1" t="s">
        <v>684</v>
      </c>
      <c r="E317" s="3">
        <v>5261977</v>
      </c>
      <c r="F317" s="3">
        <v>746</v>
      </c>
      <c r="G317" s="3">
        <v>19326</v>
      </c>
      <c r="H317" s="3">
        <v>0</v>
      </c>
      <c r="I317" s="3">
        <v>5261231</v>
      </c>
      <c r="J317" s="3">
        <v>5241905</v>
      </c>
      <c r="K317" s="3">
        <v>5241905</v>
      </c>
      <c r="L317" s="3">
        <v>166047</v>
      </c>
      <c r="M317" s="3">
        <v>517718</v>
      </c>
      <c r="N317" s="3">
        <v>62419</v>
      </c>
      <c r="O317" s="3">
        <v>51257</v>
      </c>
      <c r="P317" s="3">
        <v>291106</v>
      </c>
      <c r="Q317" s="3">
        <v>4172684</v>
      </c>
      <c r="R317" s="3">
        <v>4153358</v>
      </c>
      <c r="S317" s="3">
        <v>4153358</v>
      </c>
      <c r="T317" s="3">
        <v>526123</v>
      </c>
      <c r="U317" s="3">
        <v>526123</v>
      </c>
      <c r="V317" s="3">
        <v>526123</v>
      </c>
      <c r="W317" s="3">
        <v>526123</v>
      </c>
      <c r="X317" s="3">
        <v>522902</v>
      </c>
      <c r="Y317" s="3">
        <v>522902</v>
      </c>
      <c r="Z317" s="4">
        <v>522902</v>
      </c>
      <c r="AA317" s="4">
        <v>522902</v>
      </c>
      <c r="AB317" s="4">
        <v>522902</v>
      </c>
      <c r="AC317" s="4">
        <v>522903</v>
      </c>
      <c r="AD317" s="4">
        <v>526123</v>
      </c>
      <c r="AE317" s="4">
        <v>1052246</v>
      </c>
      <c r="AF317" s="4">
        <v>1578369</v>
      </c>
      <c r="AG317" s="4">
        <v>2104492</v>
      </c>
      <c r="AH317" s="4">
        <v>2627394</v>
      </c>
      <c r="AI317" s="4">
        <v>3150296</v>
      </c>
      <c r="AJ317" s="4">
        <v>3673198</v>
      </c>
      <c r="AK317" s="4">
        <v>4196100</v>
      </c>
      <c r="AL317" s="4">
        <v>4719002</v>
      </c>
      <c r="AM317" s="4">
        <v>5241905</v>
      </c>
      <c r="AN317" s="150">
        <v>397475</v>
      </c>
    </row>
    <row r="318" spans="1:40" x14ac:dyDescent="0.2">
      <c r="A318" s="1">
        <v>2023</v>
      </c>
      <c r="B318" s="2" t="s">
        <v>342</v>
      </c>
      <c r="C318" s="2" t="s">
        <v>342</v>
      </c>
      <c r="D318" s="1" t="s">
        <v>685</v>
      </c>
      <c r="E318" s="3">
        <v>4021320</v>
      </c>
      <c r="F318" s="3">
        <v>464</v>
      </c>
      <c r="G318" s="3">
        <v>14604</v>
      </c>
      <c r="H318" s="3">
        <v>0</v>
      </c>
      <c r="I318" s="3">
        <v>4020856</v>
      </c>
      <c r="J318" s="3">
        <v>4006252</v>
      </c>
      <c r="K318" s="3">
        <v>4006252</v>
      </c>
      <c r="L318" s="3">
        <v>103318</v>
      </c>
      <c r="M318" s="3">
        <v>404614</v>
      </c>
      <c r="N318" s="3">
        <v>46098</v>
      </c>
      <c r="O318" s="3">
        <v>43005</v>
      </c>
      <c r="P318" s="3">
        <v>219984</v>
      </c>
      <c r="Q318" s="3">
        <v>3203837</v>
      </c>
      <c r="R318" s="3">
        <v>3189233</v>
      </c>
      <c r="S318" s="3">
        <v>3189233</v>
      </c>
      <c r="T318" s="3">
        <v>402086</v>
      </c>
      <c r="U318" s="3">
        <v>402086</v>
      </c>
      <c r="V318" s="3">
        <v>402086</v>
      </c>
      <c r="W318" s="3">
        <v>402086</v>
      </c>
      <c r="X318" s="3">
        <v>399651</v>
      </c>
      <c r="Y318" s="3">
        <v>399651</v>
      </c>
      <c r="Z318" s="4">
        <v>399652</v>
      </c>
      <c r="AA318" s="4">
        <v>399652</v>
      </c>
      <c r="AB318" s="4">
        <v>399652</v>
      </c>
      <c r="AC318" s="4">
        <v>399650</v>
      </c>
      <c r="AD318" s="4">
        <v>402086</v>
      </c>
      <c r="AE318" s="4">
        <v>804172</v>
      </c>
      <c r="AF318" s="4">
        <v>1206258</v>
      </c>
      <c r="AG318" s="4">
        <v>1608344</v>
      </c>
      <c r="AH318" s="4">
        <v>2007995</v>
      </c>
      <c r="AI318" s="4">
        <v>2407646</v>
      </c>
      <c r="AJ318" s="4">
        <v>2807298</v>
      </c>
      <c r="AK318" s="4">
        <v>3206950</v>
      </c>
      <c r="AL318" s="4">
        <v>3606602</v>
      </c>
      <c r="AM318" s="4">
        <v>4006252</v>
      </c>
      <c r="AN318" s="150">
        <v>312752</v>
      </c>
    </row>
    <row r="319" spans="1:40" x14ac:dyDescent="0.2">
      <c r="A319" s="1">
        <v>2023</v>
      </c>
      <c r="B319" s="2" t="s">
        <v>343</v>
      </c>
      <c r="C319" s="2" t="s">
        <v>343</v>
      </c>
      <c r="D319" s="1" t="s">
        <v>686</v>
      </c>
      <c r="E319" s="3">
        <v>6432932</v>
      </c>
      <c r="F319" s="3">
        <v>580</v>
      </c>
      <c r="G319" s="3">
        <v>19236</v>
      </c>
      <c r="H319" s="1">
        <v>0</v>
      </c>
      <c r="I319" s="3">
        <v>6432352</v>
      </c>
      <c r="J319" s="3">
        <v>6413116</v>
      </c>
      <c r="K319" s="3">
        <v>6413116</v>
      </c>
      <c r="L319" s="3">
        <v>129148</v>
      </c>
      <c r="M319" s="3">
        <v>541362</v>
      </c>
      <c r="N319" s="3">
        <v>64293</v>
      </c>
      <c r="O319" s="3">
        <v>62144</v>
      </c>
      <c r="P319" s="3">
        <v>289746</v>
      </c>
      <c r="Q319" s="3">
        <v>5345659</v>
      </c>
      <c r="R319" s="3">
        <v>5326423</v>
      </c>
      <c r="S319" s="3">
        <v>5326423</v>
      </c>
      <c r="T319" s="3">
        <v>643235</v>
      </c>
      <c r="U319" s="3">
        <v>643235</v>
      </c>
      <c r="V319" s="3">
        <v>643235</v>
      </c>
      <c r="W319" s="3">
        <v>643235</v>
      </c>
      <c r="X319" s="3">
        <v>640029</v>
      </c>
      <c r="Y319" s="3">
        <v>640029</v>
      </c>
      <c r="Z319" s="4">
        <v>640030</v>
      </c>
      <c r="AA319" s="4">
        <v>640030</v>
      </c>
      <c r="AB319" s="4">
        <v>640030</v>
      </c>
      <c r="AC319" s="4">
        <v>640028</v>
      </c>
      <c r="AD319" s="4">
        <v>643235</v>
      </c>
      <c r="AE319" s="4">
        <v>1286470</v>
      </c>
      <c r="AF319" s="4">
        <v>1929705</v>
      </c>
      <c r="AG319" s="4">
        <v>2572940</v>
      </c>
      <c r="AH319" s="4">
        <v>3212969</v>
      </c>
      <c r="AI319" s="4">
        <v>3852998</v>
      </c>
      <c r="AJ319" s="4">
        <v>4493028</v>
      </c>
      <c r="AK319" s="4">
        <v>5133058</v>
      </c>
      <c r="AL319" s="4">
        <v>5773088</v>
      </c>
      <c r="AM319" s="4">
        <v>6413116</v>
      </c>
      <c r="AN319" s="150">
        <v>426387</v>
      </c>
    </row>
    <row r="320" spans="1:40" x14ac:dyDescent="0.2">
      <c r="A320" s="1">
        <v>2023</v>
      </c>
      <c r="B320" s="2" t="s">
        <v>344</v>
      </c>
      <c r="C320" s="2" t="s">
        <v>344</v>
      </c>
      <c r="D320" s="1" t="s">
        <v>687</v>
      </c>
      <c r="E320" s="3">
        <v>2543825</v>
      </c>
      <c r="F320" s="1">
        <v>464</v>
      </c>
      <c r="G320" s="3">
        <v>12387</v>
      </c>
      <c r="H320" s="1">
        <v>0</v>
      </c>
      <c r="I320" s="3">
        <v>2543361</v>
      </c>
      <c r="J320" s="3">
        <v>2530974</v>
      </c>
      <c r="K320" s="3">
        <v>2530974</v>
      </c>
      <c r="L320" s="3">
        <v>103318</v>
      </c>
      <c r="M320" s="3">
        <v>350005</v>
      </c>
      <c r="N320" s="3">
        <v>39999</v>
      </c>
      <c r="O320" s="3">
        <v>40317</v>
      </c>
      <c r="P320" s="3">
        <v>186593</v>
      </c>
      <c r="Q320" s="3">
        <v>1823129</v>
      </c>
      <c r="R320" s="3">
        <v>1810742</v>
      </c>
      <c r="S320" s="3">
        <v>1810742</v>
      </c>
      <c r="T320" s="3">
        <v>254336</v>
      </c>
      <c r="U320" s="3">
        <v>254336</v>
      </c>
      <c r="V320" s="3">
        <v>254336</v>
      </c>
      <c r="W320" s="3">
        <v>254336</v>
      </c>
      <c r="X320" s="3">
        <v>252272</v>
      </c>
      <c r="Y320" s="3">
        <v>252272</v>
      </c>
      <c r="Z320" s="4">
        <v>252272</v>
      </c>
      <c r="AA320" s="4">
        <v>252272</v>
      </c>
      <c r="AB320" s="4">
        <v>252272</v>
      </c>
      <c r="AC320" s="4">
        <v>252270</v>
      </c>
      <c r="AD320" s="4">
        <v>254336</v>
      </c>
      <c r="AE320" s="4">
        <v>508672</v>
      </c>
      <c r="AF320" s="4">
        <v>763008</v>
      </c>
      <c r="AG320" s="4">
        <v>1017344</v>
      </c>
      <c r="AH320" s="4">
        <v>1269616</v>
      </c>
      <c r="AI320" s="4">
        <v>1521888</v>
      </c>
      <c r="AJ320" s="4">
        <v>1774160</v>
      </c>
      <c r="AK320" s="4">
        <v>2026432</v>
      </c>
      <c r="AL320" s="4">
        <v>2278704</v>
      </c>
      <c r="AM320" s="4">
        <v>2530974</v>
      </c>
      <c r="AN320" s="150">
        <v>256574</v>
      </c>
    </row>
    <row r="321" spans="1:40" x14ac:dyDescent="0.2">
      <c r="A321" s="1">
        <v>2023</v>
      </c>
      <c r="B321" s="2" t="s">
        <v>345</v>
      </c>
      <c r="C321" s="2" t="s">
        <v>345</v>
      </c>
      <c r="D321" s="1" t="s">
        <v>688</v>
      </c>
      <c r="E321" s="3">
        <v>1098667</v>
      </c>
      <c r="F321" s="3">
        <v>100</v>
      </c>
      <c r="G321" s="3">
        <v>4584</v>
      </c>
      <c r="H321" s="3">
        <v>0</v>
      </c>
      <c r="I321" s="3">
        <v>1098567</v>
      </c>
      <c r="J321" s="3">
        <v>1093983</v>
      </c>
      <c r="K321" s="3">
        <v>1093983</v>
      </c>
      <c r="L321" s="3">
        <v>22139</v>
      </c>
      <c r="M321" s="3">
        <v>148903</v>
      </c>
      <c r="N321" s="3">
        <v>18474</v>
      </c>
      <c r="O321" s="3">
        <v>16793</v>
      </c>
      <c r="P321" s="3">
        <v>69055</v>
      </c>
      <c r="Q321" s="3">
        <v>823203</v>
      </c>
      <c r="R321" s="3">
        <v>818619</v>
      </c>
      <c r="S321" s="3">
        <v>818619</v>
      </c>
      <c r="T321" s="3">
        <v>109857</v>
      </c>
      <c r="U321" s="3">
        <v>109857</v>
      </c>
      <c r="V321" s="3">
        <v>109857</v>
      </c>
      <c r="W321" s="3">
        <v>109857</v>
      </c>
      <c r="X321" s="3">
        <v>109093</v>
      </c>
      <c r="Y321" s="3">
        <v>109093</v>
      </c>
      <c r="Z321" s="4">
        <v>109092</v>
      </c>
      <c r="AA321" s="4">
        <v>109092</v>
      </c>
      <c r="AB321" s="4">
        <v>109092</v>
      </c>
      <c r="AC321" s="4">
        <v>109093</v>
      </c>
      <c r="AD321" s="4">
        <v>109857</v>
      </c>
      <c r="AE321" s="4">
        <v>219714</v>
      </c>
      <c r="AF321" s="4">
        <v>329571</v>
      </c>
      <c r="AG321" s="4">
        <v>439428</v>
      </c>
      <c r="AH321" s="4">
        <v>548521</v>
      </c>
      <c r="AI321" s="4">
        <v>657614</v>
      </c>
      <c r="AJ321" s="4">
        <v>766706</v>
      </c>
      <c r="AK321" s="4">
        <v>875798</v>
      </c>
      <c r="AL321" s="4">
        <v>984890</v>
      </c>
      <c r="AM321" s="4">
        <v>1093983</v>
      </c>
      <c r="AN321" s="150">
        <v>94162</v>
      </c>
    </row>
    <row r="322" spans="1:40" x14ac:dyDescent="0.2">
      <c r="A322" s="1">
        <v>2023</v>
      </c>
      <c r="B322" s="2" t="s">
        <v>346</v>
      </c>
      <c r="C322" s="2" t="s">
        <v>346</v>
      </c>
      <c r="D322" s="1" t="s">
        <v>689</v>
      </c>
      <c r="E322" s="3">
        <v>7266754</v>
      </c>
      <c r="F322" s="3">
        <v>1111</v>
      </c>
      <c r="G322" s="3">
        <v>26920</v>
      </c>
      <c r="H322" s="1">
        <v>0</v>
      </c>
      <c r="I322" s="3">
        <v>7265643</v>
      </c>
      <c r="J322" s="3">
        <v>7238723</v>
      </c>
      <c r="K322" s="3">
        <v>7238723</v>
      </c>
      <c r="L322" s="3">
        <v>243611</v>
      </c>
      <c r="M322" s="3">
        <v>721765</v>
      </c>
      <c r="N322" s="3">
        <v>70276</v>
      </c>
      <c r="O322" s="3">
        <v>79161</v>
      </c>
      <c r="P322" s="3">
        <v>405495</v>
      </c>
      <c r="Q322" s="3">
        <v>5745335</v>
      </c>
      <c r="R322" s="3">
        <v>5718415</v>
      </c>
      <c r="S322" s="3">
        <v>5718415</v>
      </c>
      <c r="T322" s="3">
        <v>726564</v>
      </c>
      <c r="U322" s="3">
        <v>726564</v>
      </c>
      <c r="V322" s="3">
        <v>726564</v>
      </c>
      <c r="W322" s="3">
        <v>726564</v>
      </c>
      <c r="X322" s="3">
        <v>722078</v>
      </c>
      <c r="Y322" s="3">
        <v>722078</v>
      </c>
      <c r="Z322" s="4">
        <v>722078</v>
      </c>
      <c r="AA322" s="4">
        <v>722078</v>
      </c>
      <c r="AB322" s="4">
        <v>722078</v>
      </c>
      <c r="AC322" s="4">
        <v>722077</v>
      </c>
      <c r="AD322" s="4">
        <v>726564</v>
      </c>
      <c r="AE322" s="4">
        <v>1453128</v>
      </c>
      <c r="AF322" s="4">
        <v>2179692</v>
      </c>
      <c r="AG322" s="4">
        <v>2906256</v>
      </c>
      <c r="AH322" s="4">
        <v>3628334</v>
      </c>
      <c r="AI322" s="4">
        <v>4350412</v>
      </c>
      <c r="AJ322" s="4">
        <v>5072490</v>
      </c>
      <c r="AK322" s="4">
        <v>5794568</v>
      </c>
      <c r="AL322" s="4">
        <v>6516646</v>
      </c>
      <c r="AM322" s="4">
        <v>7238723</v>
      </c>
      <c r="AN322" s="150">
        <v>537443</v>
      </c>
    </row>
    <row r="323" spans="1:40" x14ac:dyDescent="0.2">
      <c r="A323" s="1">
        <v>2023</v>
      </c>
      <c r="B323" s="2" t="s">
        <v>347</v>
      </c>
      <c r="C323" s="2" t="s">
        <v>347</v>
      </c>
      <c r="D323" s="1" t="s">
        <v>690</v>
      </c>
      <c r="E323" s="3">
        <v>6026414</v>
      </c>
      <c r="F323" s="1">
        <v>829</v>
      </c>
      <c r="G323" s="3">
        <v>20031</v>
      </c>
      <c r="H323" s="1">
        <v>0</v>
      </c>
      <c r="I323" s="3">
        <v>6025585</v>
      </c>
      <c r="J323" s="3">
        <v>6005554</v>
      </c>
      <c r="K323" s="3">
        <v>6005554</v>
      </c>
      <c r="L323" s="3">
        <v>184496</v>
      </c>
      <c r="M323" s="3">
        <v>548896</v>
      </c>
      <c r="N323" s="3">
        <v>62640</v>
      </c>
      <c r="O323" s="3">
        <v>61359</v>
      </c>
      <c r="P323" s="3">
        <v>301733</v>
      </c>
      <c r="Q323" s="3">
        <v>4866461</v>
      </c>
      <c r="R323" s="3">
        <v>4846430</v>
      </c>
      <c r="S323" s="3">
        <v>4846430</v>
      </c>
      <c r="T323" s="3">
        <v>602559</v>
      </c>
      <c r="U323" s="3">
        <v>602559</v>
      </c>
      <c r="V323" s="3">
        <v>602559</v>
      </c>
      <c r="W323" s="3">
        <v>602559</v>
      </c>
      <c r="X323" s="3">
        <v>599220</v>
      </c>
      <c r="Y323" s="3">
        <v>599220</v>
      </c>
      <c r="Z323" s="4">
        <v>599220</v>
      </c>
      <c r="AA323" s="4">
        <v>599220</v>
      </c>
      <c r="AB323" s="4">
        <v>599220</v>
      </c>
      <c r="AC323" s="4">
        <v>599218</v>
      </c>
      <c r="AD323" s="4">
        <v>602559</v>
      </c>
      <c r="AE323" s="4">
        <v>1205118</v>
      </c>
      <c r="AF323" s="4">
        <v>1807677</v>
      </c>
      <c r="AG323" s="4">
        <v>2410236</v>
      </c>
      <c r="AH323" s="4">
        <v>3009456</v>
      </c>
      <c r="AI323" s="4">
        <v>3608676</v>
      </c>
      <c r="AJ323" s="4">
        <v>4207896</v>
      </c>
      <c r="AK323" s="4">
        <v>4807116</v>
      </c>
      <c r="AL323" s="4">
        <v>5406336</v>
      </c>
      <c r="AM323" s="4">
        <v>6005554</v>
      </c>
      <c r="AN323" s="150">
        <v>394043</v>
      </c>
    </row>
    <row r="324" spans="1:40" x14ac:dyDescent="0.2">
      <c r="A324" s="1">
        <v>2023</v>
      </c>
      <c r="B324" s="2" t="s">
        <v>348</v>
      </c>
      <c r="C324" s="2" t="s">
        <v>348</v>
      </c>
      <c r="D324" s="1" t="s">
        <v>691</v>
      </c>
      <c r="E324" s="3">
        <v>2125904</v>
      </c>
      <c r="F324" s="1">
        <v>265</v>
      </c>
      <c r="G324" s="3">
        <v>7485</v>
      </c>
      <c r="H324" s="3">
        <v>0</v>
      </c>
      <c r="I324" s="3">
        <v>2125639</v>
      </c>
      <c r="J324" s="3">
        <v>2118154</v>
      </c>
      <c r="K324" s="3">
        <v>2118154</v>
      </c>
      <c r="L324" s="3">
        <v>55425</v>
      </c>
      <c r="M324" s="3">
        <v>209148</v>
      </c>
      <c r="N324" s="3">
        <v>25747</v>
      </c>
      <c r="O324" s="3">
        <v>22757</v>
      </c>
      <c r="P324" s="3">
        <v>112743</v>
      </c>
      <c r="Q324" s="3">
        <v>1699819</v>
      </c>
      <c r="R324" s="3">
        <v>1692334</v>
      </c>
      <c r="S324" s="3">
        <v>1692334</v>
      </c>
      <c r="T324" s="3">
        <v>212564</v>
      </c>
      <c r="U324" s="3">
        <v>212564</v>
      </c>
      <c r="V324" s="3">
        <v>212564</v>
      </c>
      <c r="W324" s="3">
        <v>212564</v>
      </c>
      <c r="X324" s="3">
        <v>211316</v>
      </c>
      <c r="Y324" s="3">
        <v>211316</v>
      </c>
      <c r="Z324" s="4">
        <v>211317</v>
      </c>
      <c r="AA324" s="4">
        <v>211317</v>
      </c>
      <c r="AB324" s="4">
        <v>211317</v>
      </c>
      <c r="AC324" s="4">
        <v>211315</v>
      </c>
      <c r="AD324" s="4">
        <v>212564</v>
      </c>
      <c r="AE324" s="4">
        <v>425128</v>
      </c>
      <c r="AF324" s="4">
        <v>637692</v>
      </c>
      <c r="AG324" s="4">
        <v>850256</v>
      </c>
      <c r="AH324" s="4">
        <v>1061572</v>
      </c>
      <c r="AI324" s="4">
        <v>1272888</v>
      </c>
      <c r="AJ324" s="4">
        <v>1484205</v>
      </c>
      <c r="AK324" s="4">
        <v>1695522</v>
      </c>
      <c r="AL324" s="4">
        <v>1906839</v>
      </c>
      <c r="AM324" s="4">
        <v>2118154</v>
      </c>
      <c r="AN324" s="150">
        <v>148641</v>
      </c>
    </row>
    <row r="325" spans="1:40" x14ac:dyDescent="0.2">
      <c r="A325" s="1">
        <v>2023</v>
      </c>
      <c r="B325" s="2" t="s">
        <v>349</v>
      </c>
      <c r="C325" s="2" t="s">
        <v>349</v>
      </c>
      <c r="D325" s="1" t="s">
        <v>692</v>
      </c>
      <c r="E325" s="3">
        <v>11592057</v>
      </c>
      <c r="F325" s="3">
        <v>1194</v>
      </c>
      <c r="G325" s="3">
        <v>40438</v>
      </c>
      <c r="H325" s="1">
        <v>0</v>
      </c>
      <c r="I325" s="3">
        <v>11590863</v>
      </c>
      <c r="J325" s="3">
        <v>11550425</v>
      </c>
      <c r="K325" s="3">
        <v>11550425</v>
      </c>
      <c r="L325" s="3">
        <v>265674</v>
      </c>
      <c r="M325" s="3">
        <v>1051555</v>
      </c>
      <c r="N325" s="3">
        <v>135903</v>
      </c>
      <c r="O325" s="3">
        <v>114197</v>
      </c>
      <c r="P325" s="3">
        <v>609119</v>
      </c>
      <c r="Q325" s="3">
        <v>9414415</v>
      </c>
      <c r="R325" s="3">
        <v>9373977</v>
      </c>
      <c r="S325" s="3">
        <v>9373977</v>
      </c>
      <c r="T325" s="3">
        <v>1159086</v>
      </c>
      <c r="U325" s="3">
        <v>1159086</v>
      </c>
      <c r="V325" s="3">
        <v>1159086</v>
      </c>
      <c r="W325" s="3">
        <v>1159086</v>
      </c>
      <c r="X325" s="3">
        <v>1152347</v>
      </c>
      <c r="Y325" s="3">
        <v>1152347</v>
      </c>
      <c r="Z325" s="4">
        <v>1152347</v>
      </c>
      <c r="AA325" s="4">
        <v>1152347</v>
      </c>
      <c r="AB325" s="4">
        <v>1152347</v>
      </c>
      <c r="AC325" s="4">
        <v>1152346</v>
      </c>
      <c r="AD325" s="4">
        <v>1159086</v>
      </c>
      <c r="AE325" s="4">
        <v>2318172</v>
      </c>
      <c r="AF325" s="4">
        <v>3477258</v>
      </c>
      <c r="AG325" s="4">
        <v>4636344</v>
      </c>
      <c r="AH325" s="4">
        <v>5788691</v>
      </c>
      <c r="AI325" s="4">
        <v>6941038</v>
      </c>
      <c r="AJ325" s="4">
        <v>8093385</v>
      </c>
      <c r="AK325" s="4">
        <v>9245732</v>
      </c>
      <c r="AL325" s="4">
        <v>10398079</v>
      </c>
      <c r="AM325" s="4">
        <v>11550425</v>
      </c>
      <c r="AN325" s="150">
        <v>796626</v>
      </c>
    </row>
    <row r="326" spans="1:40" x14ac:dyDescent="0.2">
      <c r="A326" s="1">
        <v>2023</v>
      </c>
      <c r="B326" s="2" t="s">
        <v>350</v>
      </c>
      <c r="C326" s="2" t="s">
        <v>350</v>
      </c>
      <c r="D326" s="1" t="s">
        <v>693</v>
      </c>
      <c r="E326" s="3">
        <v>3182930</v>
      </c>
      <c r="F326" s="1">
        <v>564</v>
      </c>
      <c r="G326" s="3">
        <v>11364</v>
      </c>
      <c r="H326" s="1">
        <v>0</v>
      </c>
      <c r="I326" s="3">
        <v>3182366</v>
      </c>
      <c r="J326" s="3">
        <v>3171002</v>
      </c>
      <c r="K326" s="3">
        <v>3171002</v>
      </c>
      <c r="L326" s="3">
        <v>125457</v>
      </c>
      <c r="M326" s="3">
        <v>328929</v>
      </c>
      <c r="N326" s="3">
        <v>38444</v>
      </c>
      <c r="O326" s="3">
        <v>36866</v>
      </c>
      <c r="P326" s="3">
        <v>171172</v>
      </c>
      <c r="Q326" s="3">
        <v>2481498</v>
      </c>
      <c r="R326" s="3">
        <v>2470134</v>
      </c>
      <c r="S326" s="3">
        <v>2470134</v>
      </c>
      <c r="T326" s="3">
        <v>318237</v>
      </c>
      <c r="U326" s="3">
        <v>318237</v>
      </c>
      <c r="V326" s="3">
        <v>318237</v>
      </c>
      <c r="W326" s="3">
        <v>318237</v>
      </c>
      <c r="X326" s="3">
        <v>316342</v>
      </c>
      <c r="Y326" s="3">
        <v>316342</v>
      </c>
      <c r="Z326" s="4">
        <v>316343</v>
      </c>
      <c r="AA326" s="4">
        <v>316343</v>
      </c>
      <c r="AB326" s="4">
        <v>316343</v>
      </c>
      <c r="AC326" s="4">
        <v>316341</v>
      </c>
      <c r="AD326" s="4">
        <v>318237</v>
      </c>
      <c r="AE326" s="4">
        <v>636474</v>
      </c>
      <c r="AF326" s="4">
        <v>954711</v>
      </c>
      <c r="AG326" s="4">
        <v>1272948</v>
      </c>
      <c r="AH326" s="4">
        <v>1589290</v>
      </c>
      <c r="AI326" s="4">
        <v>1905632</v>
      </c>
      <c r="AJ326" s="4">
        <v>2221975</v>
      </c>
      <c r="AK326" s="4">
        <v>2538318</v>
      </c>
      <c r="AL326" s="4">
        <v>2854661</v>
      </c>
      <c r="AM326" s="4">
        <v>3171002</v>
      </c>
      <c r="AN326" s="150">
        <v>225337</v>
      </c>
    </row>
    <row r="327" spans="1:40" x14ac:dyDescent="0.2">
      <c r="A327" s="1">
        <v>2023</v>
      </c>
      <c r="B327" s="2" t="s">
        <v>351</v>
      </c>
      <c r="C327" s="2" t="s">
        <v>351</v>
      </c>
      <c r="D327" s="1" t="s">
        <v>694</v>
      </c>
      <c r="E327" s="3">
        <v>3628614</v>
      </c>
      <c r="F327" s="1">
        <v>564</v>
      </c>
      <c r="G327" s="3">
        <v>12485</v>
      </c>
      <c r="H327" s="3">
        <v>0</v>
      </c>
      <c r="I327" s="3">
        <v>3628050</v>
      </c>
      <c r="J327" s="3">
        <v>3615565</v>
      </c>
      <c r="K327" s="3">
        <v>3615565</v>
      </c>
      <c r="L327" s="3">
        <v>125457</v>
      </c>
      <c r="M327" s="3">
        <v>335801</v>
      </c>
      <c r="N327" s="3">
        <v>38463</v>
      </c>
      <c r="O327" s="3">
        <v>36692</v>
      </c>
      <c r="P327" s="3">
        <v>188060</v>
      </c>
      <c r="Q327" s="3">
        <v>2903577</v>
      </c>
      <c r="R327" s="3">
        <v>2891092</v>
      </c>
      <c r="S327" s="3">
        <v>2891092</v>
      </c>
      <c r="T327" s="3">
        <v>362805</v>
      </c>
      <c r="U327" s="3">
        <v>362805</v>
      </c>
      <c r="V327" s="3">
        <v>362805</v>
      </c>
      <c r="W327" s="3">
        <v>362805</v>
      </c>
      <c r="X327" s="3">
        <v>360724</v>
      </c>
      <c r="Y327" s="3">
        <v>360724</v>
      </c>
      <c r="Z327" s="4">
        <v>360724</v>
      </c>
      <c r="AA327" s="4">
        <v>360724</v>
      </c>
      <c r="AB327" s="4">
        <v>360724</v>
      </c>
      <c r="AC327" s="4">
        <v>360725</v>
      </c>
      <c r="AD327" s="4">
        <v>362805</v>
      </c>
      <c r="AE327" s="4">
        <v>725610</v>
      </c>
      <c r="AF327" s="4">
        <v>1088415</v>
      </c>
      <c r="AG327" s="4">
        <v>1451220</v>
      </c>
      <c r="AH327" s="4">
        <v>1811944</v>
      </c>
      <c r="AI327" s="4">
        <v>2172668</v>
      </c>
      <c r="AJ327" s="4">
        <v>2533392</v>
      </c>
      <c r="AK327" s="4">
        <v>2894116</v>
      </c>
      <c r="AL327" s="4">
        <v>3254840</v>
      </c>
      <c r="AM327" s="4">
        <v>3615565</v>
      </c>
      <c r="AN327" s="150">
        <v>266194</v>
      </c>
    </row>
    <row r="328" spans="1:40" x14ac:dyDescent="0.2">
      <c r="A328" s="1">
        <v>2023</v>
      </c>
      <c r="B328" s="2" t="s">
        <v>352</v>
      </c>
      <c r="C328" s="2" t="s">
        <v>352</v>
      </c>
      <c r="D328" s="1" t="s">
        <v>695</v>
      </c>
      <c r="E328" s="3">
        <v>7044701</v>
      </c>
      <c r="F328" s="3">
        <v>979</v>
      </c>
      <c r="G328" s="3">
        <v>24637</v>
      </c>
      <c r="H328" s="1">
        <v>0</v>
      </c>
      <c r="I328" s="3">
        <v>7043722</v>
      </c>
      <c r="J328" s="3">
        <v>7019085</v>
      </c>
      <c r="K328" s="3">
        <v>7019085</v>
      </c>
      <c r="L328" s="3">
        <v>217705</v>
      </c>
      <c r="M328" s="3">
        <v>655293</v>
      </c>
      <c r="N328" s="3">
        <v>73195</v>
      </c>
      <c r="O328" s="3">
        <v>69098</v>
      </c>
      <c r="P328" s="3">
        <v>371110</v>
      </c>
      <c r="Q328" s="3">
        <v>5657321</v>
      </c>
      <c r="R328" s="3">
        <v>5632684</v>
      </c>
      <c r="S328" s="3">
        <v>5632684</v>
      </c>
      <c r="T328" s="3">
        <v>704372</v>
      </c>
      <c r="U328" s="3">
        <v>704372</v>
      </c>
      <c r="V328" s="3">
        <v>704372</v>
      </c>
      <c r="W328" s="3">
        <v>704372</v>
      </c>
      <c r="X328" s="3">
        <v>700266</v>
      </c>
      <c r="Y328" s="3">
        <v>700266</v>
      </c>
      <c r="Z328" s="4">
        <v>700266</v>
      </c>
      <c r="AA328" s="4">
        <v>700266</v>
      </c>
      <c r="AB328" s="4">
        <v>700266</v>
      </c>
      <c r="AC328" s="4">
        <v>700267</v>
      </c>
      <c r="AD328" s="4">
        <v>704372</v>
      </c>
      <c r="AE328" s="4">
        <v>1408744</v>
      </c>
      <c r="AF328" s="4">
        <v>2113116</v>
      </c>
      <c r="AG328" s="4">
        <v>2817488</v>
      </c>
      <c r="AH328" s="4">
        <v>3517754</v>
      </c>
      <c r="AI328" s="4">
        <v>4218020</v>
      </c>
      <c r="AJ328" s="4">
        <v>4918286</v>
      </c>
      <c r="AK328" s="4">
        <v>5618552</v>
      </c>
      <c r="AL328" s="4">
        <v>6318818</v>
      </c>
      <c r="AM328" s="4">
        <v>7019085</v>
      </c>
      <c r="AN328" s="150">
        <v>494942</v>
      </c>
    </row>
    <row r="329" spans="1:40" x14ac:dyDescent="0.2">
      <c r="B329" s="124" t="s">
        <v>790</v>
      </c>
      <c r="D329" s="1" t="s">
        <v>789</v>
      </c>
      <c r="E329" s="3">
        <f t="shared" ref="E329:AN329" si="0">SUM(E2:E328)</f>
        <v>3350578066</v>
      </c>
      <c r="F329" s="3">
        <f t="shared" si="0"/>
        <v>394787</v>
      </c>
      <c r="G329" s="3">
        <f t="shared" si="0"/>
        <v>11535420</v>
      </c>
      <c r="H329" s="3">
        <f t="shared" si="0"/>
        <v>0</v>
      </c>
      <c r="I329" s="3">
        <f t="shared" si="0"/>
        <v>3350183279</v>
      </c>
      <c r="J329" s="3">
        <f t="shared" si="0"/>
        <v>3338647859</v>
      </c>
      <c r="K329" s="3">
        <f t="shared" si="0"/>
        <v>3338647859</v>
      </c>
      <c r="L329" s="3">
        <f t="shared" si="0"/>
        <v>87863724</v>
      </c>
      <c r="M329" s="3">
        <f t="shared" si="0"/>
        <v>308320868</v>
      </c>
      <c r="N329" s="3">
        <f t="shared" si="0"/>
        <v>37947281</v>
      </c>
      <c r="O329" s="3">
        <f t="shared" si="0"/>
        <v>34905716</v>
      </c>
      <c r="P329" s="3">
        <f t="shared" si="0"/>
        <v>173959100</v>
      </c>
      <c r="Q329" s="3">
        <f t="shared" si="0"/>
        <v>2707186590</v>
      </c>
      <c r="R329" s="3">
        <f t="shared" si="0"/>
        <v>2695651170</v>
      </c>
      <c r="S329" s="3">
        <f t="shared" si="0"/>
        <v>2695651170</v>
      </c>
      <c r="T329" s="3">
        <f t="shared" si="0"/>
        <v>335018351</v>
      </c>
      <c r="U329" s="3">
        <f t="shared" si="0"/>
        <v>335018351</v>
      </c>
      <c r="V329" s="3">
        <f t="shared" si="0"/>
        <v>335018351</v>
      </c>
      <c r="W329" s="3">
        <f t="shared" si="0"/>
        <v>335018351</v>
      </c>
      <c r="X329" s="3">
        <f t="shared" si="0"/>
        <v>333095779</v>
      </c>
      <c r="Y329" s="3">
        <f t="shared" si="0"/>
        <v>333095779</v>
      </c>
      <c r="Z329" s="3">
        <f t="shared" si="0"/>
        <v>333095770</v>
      </c>
      <c r="AA329" s="3">
        <f t="shared" si="0"/>
        <v>333095770</v>
      </c>
      <c r="AB329" s="3">
        <f t="shared" si="0"/>
        <v>333095770</v>
      </c>
      <c r="AC329" s="3">
        <f t="shared" si="0"/>
        <v>333095587</v>
      </c>
      <c r="AD329" s="3">
        <f t="shared" si="0"/>
        <v>335018351</v>
      </c>
      <c r="AE329" s="3">
        <f t="shared" si="0"/>
        <v>670036702</v>
      </c>
      <c r="AF329" s="3">
        <f t="shared" si="0"/>
        <v>1005055053</v>
      </c>
      <c r="AG329" s="3">
        <f t="shared" si="0"/>
        <v>1340073404</v>
      </c>
      <c r="AH329" s="3">
        <f t="shared" si="0"/>
        <v>1673169183</v>
      </c>
      <c r="AI329" s="3">
        <f t="shared" si="0"/>
        <v>2006264962</v>
      </c>
      <c r="AJ329" s="3">
        <f t="shared" si="0"/>
        <v>2339360732</v>
      </c>
      <c r="AK329" s="3">
        <f t="shared" si="0"/>
        <v>2672456502</v>
      </c>
      <c r="AL329" s="3">
        <f t="shared" si="0"/>
        <v>3005552272</v>
      </c>
      <c r="AM329" s="3">
        <f t="shared" si="0"/>
        <v>3338647859</v>
      </c>
      <c r="AN329" s="3">
        <f t="shared" si="0"/>
        <v>241465645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46" sqref="B46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2023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710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1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1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Total'!C334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Total'!C334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3350578066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394787</v>
      </c>
    </row>
    <row r="26" spans="1:4" x14ac:dyDescent="0.2">
      <c r="A26" s="6" t="s">
        <v>811</v>
      </c>
      <c r="B26" s="169">
        <f>C26-'Budget Total'!E333</f>
        <v>11500467.289999999</v>
      </c>
      <c r="C26" s="169">
        <v>11500467.289999999</v>
      </c>
      <c r="D26" s="170" t="s">
        <v>812</v>
      </c>
    </row>
    <row r="27" spans="1:4" x14ac:dyDescent="0.2">
      <c r="A27" s="6" t="s">
        <v>813</v>
      </c>
      <c r="B27" s="169">
        <f>MIN('Payment by Source'!$I$6:$I$332)</f>
        <v>28576</v>
      </c>
      <c r="C27" s="169" t="str">
        <f>INDEX('Payment by Source'!$A$6:$I$332,MATCH(Notes!B27,'Payment by Source'!$I$6:$I$332,0),2)</f>
        <v>Lu Verne</v>
      </c>
      <c r="D27" s="169" t="s">
        <v>814</v>
      </c>
    </row>
    <row r="28" spans="1:4" x14ac:dyDescent="0.2">
      <c r="A28" s="6" t="s">
        <v>815</v>
      </c>
      <c r="B28" s="169">
        <f>C28-'Budget Total'!F333</f>
        <v>2236152</v>
      </c>
      <c r="C28" s="169">
        <v>2236152</v>
      </c>
      <c r="D28" s="169"/>
    </row>
    <row r="29" spans="1:4" x14ac:dyDescent="0.2">
      <c r="A29" s="6"/>
      <c r="B29" s="169"/>
      <c r="C29" s="169"/>
      <c r="D29" s="16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1" t="s">
        <v>787</v>
      </c>
      <c r="B35" s="71" t="s">
        <v>788</v>
      </c>
    </row>
    <row r="36" spans="1:2" x14ac:dyDescent="0.2">
      <c r="A36" s="198" t="str">
        <f>_xlfn.CONCAT("9/",B36,"/",$B$1-1)</f>
        <v>9/19/2022</v>
      </c>
      <c r="B36" s="71">
        <v>19</v>
      </c>
    </row>
    <row r="37" spans="1:2" x14ac:dyDescent="0.2">
      <c r="A37" s="198" t="str">
        <f>_xlfn.CONCAT("10/",B37,"/",$B$1-1)</f>
        <v>10/19/2022</v>
      </c>
      <c r="B37" s="71">
        <v>19</v>
      </c>
    </row>
    <row r="38" spans="1:2" x14ac:dyDescent="0.2">
      <c r="A38" s="198" t="str">
        <f>_xlfn.CONCAT("11/",B38,"/",$B$1-1)</f>
        <v>11/17/2022</v>
      </c>
      <c r="B38" s="71">
        <v>17</v>
      </c>
    </row>
    <row r="39" spans="1:2" x14ac:dyDescent="0.2">
      <c r="A39" s="198" t="str">
        <f>_xlfn.CONCAT("12/",B39,"/",$B$1-1)</f>
        <v>12/19/2022</v>
      </c>
      <c r="B39" s="71">
        <v>19</v>
      </c>
    </row>
    <row r="40" spans="1:2" x14ac:dyDescent="0.2">
      <c r="A40" s="198" t="str">
        <f>_xlfn.CONCAT("1/",B40,"/",$B$1)</f>
        <v>1/19/2023</v>
      </c>
      <c r="B40" s="71">
        <v>19</v>
      </c>
    </row>
    <row r="41" spans="1:2" x14ac:dyDescent="0.2">
      <c r="A41" s="198" t="str">
        <f>_xlfn.CONCAT("2/",B41,"/",$B$1)</f>
        <v>2/17/2023</v>
      </c>
      <c r="B41" s="71">
        <v>17</v>
      </c>
    </row>
    <row r="42" spans="1:2" x14ac:dyDescent="0.2">
      <c r="A42" s="198" t="str">
        <f>_xlfn.CONCAT("3/",B42,"/",$B$1)</f>
        <v>3/17/2023</v>
      </c>
      <c r="B42" s="71">
        <v>17</v>
      </c>
    </row>
    <row r="43" spans="1:2" x14ac:dyDescent="0.2">
      <c r="A43" s="198" t="str">
        <f>_xlfn.CONCAT("4/",B43,"/",$B$1)</f>
        <v>4/19/2023</v>
      </c>
      <c r="B43" s="71">
        <v>19</v>
      </c>
    </row>
    <row r="44" spans="1:2" x14ac:dyDescent="0.2">
      <c r="A44" s="198" t="str">
        <f>_xlfn.CONCAT("5/",B44,"/",$B$1)</f>
        <v>5/17/2023</v>
      </c>
      <c r="B44" s="71">
        <v>17</v>
      </c>
    </row>
    <row r="45" spans="1:2" x14ac:dyDescent="0.2">
      <c r="A45" s="198" t="str">
        <f>_xlfn.CONCAT("6/",B45,"/",$B$1)</f>
        <v>6/19/2023</v>
      </c>
      <c r="B45" s="71">
        <v>19</v>
      </c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7" zoomScaleNormal="100" workbookViewId="0">
      <selection activeCell="B36" sqref="B3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2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2" hidden="1" customWidth="1"/>
    <col min="26" max="16384" width="9.140625" style="71"/>
  </cols>
  <sheetData>
    <row r="1" spans="1:25" ht="24" customHeight="1" x14ac:dyDescent="0.4">
      <c r="A1" s="232" t="str">
        <f>CONCATENATE("FY ",Notes!$B$1," Summary of State Aid Payments to School Districts")</f>
        <v>FY 2023 Summary of State Aid Payments to School Districts</v>
      </c>
      <c r="B1" s="233"/>
      <c r="C1" s="233"/>
      <c r="D1" s="233"/>
      <c r="E1" s="234"/>
      <c r="F1" s="70"/>
    </row>
    <row r="2" spans="1:25" ht="19.5" customHeight="1" x14ac:dyDescent="0.3">
      <c r="A2" s="72"/>
      <c r="B2" s="73" t="s">
        <v>789</v>
      </c>
      <c r="C2" s="235"/>
      <c r="D2" s="235"/>
      <c r="E2" s="23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6">
        <f>INDEX('Budget Total'!$A$6:$G$333,MATCH(PaymentSummary!$B$2,Districts,0),3)</f>
        <v>3350578066</v>
      </c>
      <c r="E6" s="92"/>
      <c r="F6" s="93"/>
      <c r="G6" s="133"/>
    </row>
    <row r="7" spans="1:25" ht="15.75" customHeight="1" x14ac:dyDescent="0.25">
      <c r="A7" s="89"/>
      <c r="B7" s="90" t="s">
        <v>775</v>
      </c>
      <c r="C7" s="91"/>
      <c r="D7" s="91"/>
      <c r="E7" s="92"/>
      <c r="G7" s="133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-394787</v>
      </c>
      <c r="D8" s="91"/>
      <c r="E8" s="92"/>
      <c r="F8" s="93"/>
      <c r="G8" s="134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0</v>
      </c>
      <c r="D9" s="91"/>
      <c r="E9" s="92"/>
      <c r="F9" s="93"/>
      <c r="G9" s="134"/>
      <c r="J9" s="126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0</v>
      </c>
      <c r="D10" s="91"/>
      <c r="E10" s="92"/>
      <c r="F10" s="93"/>
      <c r="G10" s="134"/>
      <c r="H10" s="137"/>
      <c r="I10" s="237" t="str">
        <f>CONCATENATE("FY ",Notes!$B$1," Budget for State Payments to School Districts by Month by Source")</f>
        <v>FY 2023 Budget for State Payments to School Districts by Month by Source</v>
      </c>
      <c r="J10" s="237"/>
      <c r="K10" s="237"/>
      <c r="L10" s="237"/>
      <c r="M10" s="237"/>
      <c r="N10" s="237"/>
      <c r="O10" s="237"/>
      <c r="P10" s="237"/>
      <c r="Q10" s="238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1954278</v>
      </c>
      <c r="D11" s="91">
        <f>SUM(C8:C11)</f>
        <v>1559491</v>
      </c>
      <c r="E11" s="92"/>
      <c r="F11" s="93"/>
      <c r="G11" s="134"/>
      <c r="H11" s="140"/>
      <c r="I11" s="222"/>
      <c r="J11" s="222"/>
      <c r="K11" s="222"/>
      <c r="L11" s="222"/>
      <c r="M11" s="222"/>
      <c r="N11" s="222"/>
      <c r="O11" s="222"/>
      <c r="P11" s="222"/>
      <c r="Q11" s="239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3352137557</v>
      </c>
      <c r="E12" s="92"/>
      <c r="F12" s="93"/>
      <c r="G12" s="134"/>
      <c r="H12" s="140"/>
      <c r="I12" s="148"/>
      <c r="J12" s="148"/>
      <c r="K12" s="148"/>
      <c r="L12" s="148"/>
      <c r="M12" s="148"/>
      <c r="N12" s="148"/>
      <c r="O12" s="148"/>
      <c r="P12" s="148"/>
      <c r="Q12" s="143"/>
    </row>
    <row r="13" spans="1:25" ht="18.75" customHeight="1" thickTop="1" x14ac:dyDescent="0.25">
      <c r="A13" s="89"/>
      <c r="B13" s="90"/>
      <c r="C13" s="91"/>
      <c r="D13" s="91"/>
      <c r="E13" s="92"/>
      <c r="G13" s="135"/>
      <c r="H13" s="140"/>
      <c r="I13" s="228" t="s">
        <v>709</v>
      </c>
      <c r="J13" s="228" t="str">
        <f>Data!$L$1</f>
        <v>Preschool State Aid (Code 3117)</v>
      </c>
      <c r="K13" s="228" t="str">
        <f>Data!M1</f>
        <v>Teacher Salary (Code 3204)</v>
      </c>
      <c r="L13" s="230" t="str">
        <f>Data!N1</f>
        <v>Early Intervention (Code 3216)</v>
      </c>
      <c r="M13" s="228" t="str">
        <f>Data!O1</f>
        <v>Professional Development (Code 3376)</v>
      </c>
      <c r="N13" s="228" t="str">
        <f>Data!P1</f>
        <v>Teacher Leadership (Code 3116)</v>
      </c>
      <c r="O13" s="230" t="s">
        <v>758</v>
      </c>
      <c r="P13" s="230" t="s">
        <v>360</v>
      </c>
      <c r="Q13" s="143"/>
      <c r="R13" s="147" t="str">
        <f>'Payment by Source'!C$4</f>
        <v>Preschool State Aid 
(Code 3117)</v>
      </c>
      <c r="S13" s="136" t="str">
        <f>'Payment by Source'!D$4</f>
        <v>Teacher Salary (Code 3204)</v>
      </c>
      <c r="T13" s="136" t="str">
        <f>'Payment by Source'!E$4</f>
        <v>Early Intervention (Code 3216)</v>
      </c>
      <c r="U13" s="136" t="str">
        <f>'Payment by Source'!F$4</f>
        <v>Professional Development (Code 3376)</v>
      </c>
      <c r="V13" s="136" t="str">
        <f>'Payment by Source'!G$4</f>
        <v>Teacher Leadership 
(Code 3116)</v>
      </c>
      <c r="W13" s="136" t="str">
        <f>'Payment by Source'!H$4</f>
        <v>State Foundation Aid 
(Code 3111)</v>
      </c>
      <c r="X13" s="136" t="str">
        <f>'Payment by Source'!I$4</f>
        <v>Regular State Payment</v>
      </c>
      <c r="Y13" s="136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5"/>
      <c r="H14" s="140"/>
      <c r="I14" s="228"/>
      <c r="J14" s="228"/>
      <c r="K14" s="228"/>
      <c r="L14" s="230"/>
      <c r="M14" s="228"/>
      <c r="N14" s="228"/>
      <c r="O14" s="230"/>
      <c r="P14" s="230"/>
      <c r="Q14" s="143"/>
    </row>
    <row r="15" spans="1:25" ht="15.75" customHeight="1" x14ac:dyDescent="0.25">
      <c r="A15" s="89"/>
      <c r="B15" s="90" t="str">
        <f>CONCATENATE("FY ",Notes!$B$1," Payments (EFT Date):")</f>
        <v>FY 2023 Payments (EFT Date):</v>
      </c>
      <c r="C15" s="98"/>
      <c r="D15" s="100" t="s">
        <v>782</v>
      </c>
      <c r="E15" s="92"/>
      <c r="G15" s="133"/>
      <c r="H15" s="140"/>
      <c r="I15" s="229"/>
      <c r="J15" s="229"/>
      <c r="K15" s="229"/>
      <c r="L15" s="231"/>
      <c r="M15" s="229"/>
      <c r="N15" s="229"/>
      <c r="O15" s="231"/>
      <c r="P15" s="231"/>
      <c r="Q15" s="143"/>
    </row>
    <row r="16" spans="1:25" ht="15.75" customHeight="1" x14ac:dyDescent="0.25">
      <c r="A16" s="89"/>
      <c r="B16" s="199" t="str">
        <f>Notes!A36</f>
        <v>9/19/2022</v>
      </c>
      <c r="C16" s="98"/>
      <c r="D16" s="91">
        <f>INDEX(Data[],MATCH($B$3,Data[Dist],0),MATCH($G16,Data[#Headers],0))</f>
        <v>335018351</v>
      </c>
      <c r="E16" s="92"/>
      <c r="G16" s="133" t="str">
        <f>Data[[#Headers],[September Payment]]</f>
        <v>September Payment</v>
      </c>
      <c r="H16" s="140"/>
      <c r="I16" s="129" t="s">
        <v>710</v>
      </c>
      <c r="J16" s="91">
        <f>ROUND(INDEX(Data[],MATCH($B$3,Data[Dist],0),MATCH(J$13,Data[#Headers],0))/10,0)</f>
        <v>8786372</v>
      </c>
      <c r="K16" s="91">
        <f>ROUND(INDEX(Data[],MATCH($B$3,Data[Dist],0),MATCH(K$13,Data[#Headers],0))/10,0)</f>
        <v>30832087</v>
      </c>
      <c r="L16" s="91">
        <f>ROUND(INDEX(Data[],MATCH($B$3,Data[Dist],0),MATCH(L$13,Data[#Headers],0))/10,0)</f>
        <v>3794728</v>
      </c>
      <c r="M16" s="91">
        <f>ROUND(INDEX(Data[],MATCH($B$3,Data[Dist],0),MATCH(M$13,Data[#Headers],0))/10,0)</f>
        <v>3490572</v>
      </c>
      <c r="N16" s="91">
        <f>ROUND(INDEX(Data[],MATCH($B$3,Data[Dist],0),MATCH(N$13,Data[#Headers],0))/10,0)</f>
        <v>17395910</v>
      </c>
      <c r="O16" s="91">
        <f>P16-SUM(J16:N16)</f>
        <v>270718682</v>
      </c>
      <c r="P16" s="91">
        <f>D16</f>
        <v>335018351</v>
      </c>
      <c r="Q16" s="143"/>
    </row>
    <row r="17" spans="1:17" ht="15.75" customHeight="1" x14ac:dyDescent="0.25">
      <c r="A17" s="89"/>
      <c r="B17" s="199" t="str">
        <f>Notes!A37</f>
        <v>10/19/2022</v>
      </c>
      <c r="C17" s="98"/>
      <c r="D17" s="91">
        <f>INDEX(Data[],MATCH($B$3,Data[Dist],0),MATCH($G17,Data[#Headers],0))</f>
        <v>335018351</v>
      </c>
      <c r="E17" s="92"/>
      <c r="G17" s="133" t="str">
        <f>Data[[#Headers],[October Payment]]</f>
        <v>October Payment</v>
      </c>
      <c r="H17" s="140"/>
      <c r="I17" s="129" t="s">
        <v>713</v>
      </c>
      <c r="J17" s="91">
        <f>ROUND(INDEX(Data[],MATCH($B$3,Data[Dist],0),MATCH(J$13,Data[#Headers],0))/10,0)</f>
        <v>8786372</v>
      </c>
      <c r="K17" s="91">
        <f>ROUND(INDEX(Data[],MATCH($B$3,Data[Dist],0),MATCH(K$13,Data[#Headers],0))/10,0)</f>
        <v>30832087</v>
      </c>
      <c r="L17" s="91">
        <f>ROUND(INDEX(Data[],MATCH($B$3,Data[Dist],0),MATCH(L$13,Data[#Headers],0))/10,0)</f>
        <v>3794728</v>
      </c>
      <c r="M17" s="91">
        <f>ROUND(INDEX(Data[],MATCH($B$3,Data[Dist],0),MATCH(M$13,Data[#Headers],0))/10,0)</f>
        <v>3490572</v>
      </c>
      <c r="N17" s="91">
        <f>ROUND(INDEX(Data[],MATCH($B$3,Data[Dist],0),MATCH(N$13,Data[#Headers],0))/10,0)</f>
        <v>17395910</v>
      </c>
      <c r="O17" s="91">
        <f t="shared" ref="O17:O24" si="0">P17-SUM(J17:N17)</f>
        <v>270718682</v>
      </c>
      <c r="P17" s="91">
        <f t="shared" ref="P17:P25" si="1">D17</f>
        <v>335018351</v>
      </c>
      <c r="Q17" s="143"/>
    </row>
    <row r="18" spans="1:17" ht="15.75" customHeight="1" x14ac:dyDescent="0.25">
      <c r="A18" s="89"/>
      <c r="B18" s="199" t="str">
        <f>Notes!A38</f>
        <v>11/17/2022</v>
      </c>
      <c r="C18" s="98"/>
      <c r="D18" s="91">
        <f>INDEX(Data[],MATCH($B$3,Data[Dist],0),MATCH($G18,Data[#Headers],0))</f>
        <v>335018351</v>
      </c>
      <c r="E18" s="92"/>
      <c r="G18" s="133" t="str">
        <f>Data[[#Headers],[November Payment]]</f>
        <v>November Payment</v>
      </c>
      <c r="H18" s="140"/>
      <c r="I18" s="129" t="s">
        <v>714</v>
      </c>
      <c r="J18" s="91">
        <f>ROUND(INDEX(Data[],MATCH($B$3,Data[Dist],0),MATCH(J$13,Data[#Headers],0))/10,0)</f>
        <v>8786372</v>
      </c>
      <c r="K18" s="91">
        <f>ROUND(INDEX(Data[],MATCH($B$3,Data[Dist],0),MATCH(K$13,Data[#Headers],0))/10,0)</f>
        <v>30832087</v>
      </c>
      <c r="L18" s="91">
        <f>ROUND(INDEX(Data[],MATCH($B$3,Data[Dist],0),MATCH(L$13,Data[#Headers],0))/10,0)</f>
        <v>3794728</v>
      </c>
      <c r="M18" s="91">
        <f>ROUND(INDEX(Data[],MATCH($B$3,Data[Dist],0),MATCH(M$13,Data[#Headers],0))/10,0)</f>
        <v>3490572</v>
      </c>
      <c r="N18" s="91">
        <f>ROUND(INDEX(Data[],MATCH($B$3,Data[Dist],0),MATCH(N$13,Data[#Headers],0))/10,0)</f>
        <v>17395910</v>
      </c>
      <c r="O18" s="91">
        <f t="shared" si="0"/>
        <v>270718682</v>
      </c>
      <c r="P18" s="91">
        <f t="shared" si="1"/>
        <v>335018351</v>
      </c>
      <c r="Q18" s="143"/>
    </row>
    <row r="19" spans="1:17" ht="15.75" customHeight="1" x14ac:dyDescent="0.25">
      <c r="A19" s="89"/>
      <c r="B19" s="199" t="str">
        <f>Notes!A39</f>
        <v>12/19/2022</v>
      </c>
      <c r="C19" s="98"/>
      <c r="D19" s="91">
        <f>INDEX(Data[],MATCH($B$3,Data[Dist],0),MATCH($G19,Data[#Headers],0))</f>
        <v>335018351</v>
      </c>
      <c r="E19" s="92"/>
      <c r="G19" s="133" t="str">
        <f>Data[[#Headers],[December Payment]]</f>
        <v>December Payment</v>
      </c>
      <c r="H19" s="140"/>
      <c r="I19" s="129" t="s">
        <v>715</v>
      </c>
      <c r="J19" s="91">
        <f>ROUND(INDEX(Data[],MATCH($B$3,Data[Dist],0),MATCH(J$13,Data[#Headers],0))/10,0)</f>
        <v>8786372</v>
      </c>
      <c r="K19" s="91">
        <f>ROUND(INDEX(Data[],MATCH($B$3,Data[Dist],0),MATCH(K$13,Data[#Headers],0))/10,0)</f>
        <v>30832087</v>
      </c>
      <c r="L19" s="91">
        <f>ROUND(INDEX(Data[],MATCH($B$3,Data[Dist],0),MATCH(L$13,Data[#Headers],0))/10,0)</f>
        <v>3794728</v>
      </c>
      <c r="M19" s="91">
        <f>ROUND(INDEX(Data[],MATCH($B$3,Data[Dist],0),MATCH(M$13,Data[#Headers],0))/10,0)</f>
        <v>3490572</v>
      </c>
      <c r="N19" s="91">
        <f>ROUND(INDEX(Data[],MATCH($B$3,Data[Dist],0),MATCH(N$13,Data[#Headers],0))/10,0)</f>
        <v>17395910</v>
      </c>
      <c r="O19" s="91">
        <f t="shared" si="0"/>
        <v>270718682</v>
      </c>
      <c r="P19" s="91">
        <f t="shared" si="1"/>
        <v>335018351</v>
      </c>
      <c r="Q19" s="143"/>
    </row>
    <row r="20" spans="1:17" ht="15.75" customHeight="1" x14ac:dyDescent="0.25">
      <c r="A20" s="89"/>
      <c r="B20" s="199" t="str">
        <f>Notes!A40</f>
        <v>1/19/2023</v>
      </c>
      <c r="C20" s="98"/>
      <c r="D20" s="91">
        <f>INDEX(Data[],MATCH($B$3,Data[Dist],0),MATCH($G20,Data[#Headers],0))</f>
        <v>333095779</v>
      </c>
      <c r="E20" s="92"/>
      <c r="F20" s="96"/>
      <c r="G20" s="133" t="str">
        <f>Data[[#Headers],[January Payment]]</f>
        <v>January Payment</v>
      </c>
      <c r="H20" s="140"/>
      <c r="I20" s="129" t="s">
        <v>716</v>
      </c>
      <c r="J20" s="91">
        <f>ROUND(INDEX(Data[],MATCH($B$3,Data[Dist],0),MATCH(J$13,Data[#Headers],0))/10,0)</f>
        <v>8786372</v>
      </c>
      <c r="K20" s="91">
        <f>ROUND(INDEX(Data[],MATCH($B$3,Data[Dist],0),MATCH(K$13,Data[#Headers],0))/10,0)</f>
        <v>30832087</v>
      </c>
      <c r="L20" s="91">
        <f>ROUND(INDEX(Data[],MATCH($B$3,Data[Dist],0),MATCH(L$13,Data[#Headers],0))/10,0)</f>
        <v>3794728</v>
      </c>
      <c r="M20" s="91">
        <f>ROUND(INDEX(Data[],MATCH($B$3,Data[Dist],0),MATCH(M$13,Data[#Headers],0))/10,0)</f>
        <v>3490572</v>
      </c>
      <c r="N20" s="91">
        <f>ROUND(INDEX(Data[],MATCH($B$3,Data[Dist],0),MATCH(N$13,Data[#Headers],0))/10,0)</f>
        <v>17395910</v>
      </c>
      <c r="O20" s="91">
        <f t="shared" si="0"/>
        <v>268796110</v>
      </c>
      <c r="P20" s="91">
        <f t="shared" si="1"/>
        <v>333095779</v>
      </c>
      <c r="Q20" s="143"/>
    </row>
    <row r="21" spans="1:17" ht="15.75" customHeight="1" x14ac:dyDescent="0.25">
      <c r="A21" s="89"/>
      <c r="B21" s="199" t="str">
        <f>Notes!A41</f>
        <v>2/17/2023</v>
      </c>
      <c r="C21" s="98"/>
      <c r="D21" s="91">
        <f>INDEX(Data[],MATCH($B$3,Data[Dist],0),MATCH($G21,Data[#Headers],0))</f>
        <v>333095779</v>
      </c>
      <c r="E21" s="101"/>
      <c r="F21" s="96"/>
      <c r="G21" s="133" t="str">
        <f>Data[[#Headers],[February Payment]]</f>
        <v>February Payment</v>
      </c>
      <c r="H21" s="140"/>
      <c r="I21" s="129" t="s">
        <v>717</v>
      </c>
      <c r="J21" s="91">
        <f>ROUND(INDEX(Data[],MATCH($B$3,Data[Dist],0),MATCH(J$13,Data[#Headers],0))/10,0)</f>
        <v>8786372</v>
      </c>
      <c r="K21" s="91">
        <f>ROUND(INDEX(Data[],MATCH($B$3,Data[Dist],0),MATCH(K$13,Data[#Headers],0))/10,0)</f>
        <v>30832087</v>
      </c>
      <c r="L21" s="91">
        <f>ROUND(INDEX(Data[],MATCH($B$3,Data[Dist],0),MATCH(L$13,Data[#Headers],0))/10,0)</f>
        <v>3794728</v>
      </c>
      <c r="M21" s="91">
        <f>ROUND(INDEX(Data[],MATCH($B$3,Data[Dist],0),MATCH(M$13,Data[#Headers],0))/10,0)</f>
        <v>3490572</v>
      </c>
      <c r="N21" s="91">
        <f>ROUND(INDEX(Data[],MATCH($B$3,Data[Dist],0),MATCH(N$13,Data[#Headers],0))/10,0)</f>
        <v>17395910</v>
      </c>
      <c r="O21" s="91">
        <f t="shared" si="0"/>
        <v>268796110</v>
      </c>
      <c r="P21" s="91">
        <f t="shared" si="1"/>
        <v>333095779</v>
      </c>
      <c r="Q21" s="143"/>
    </row>
    <row r="22" spans="1:17" ht="15.75" customHeight="1" x14ac:dyDescent="0.25">
      <c r="A22" s="89"/>
      <c r="B22" s="199" t="str">
        <f>Notes!A42</f>
        <v>3/17/2023</v>
      </c>
      <c r="C22" s="98"/>
      <c r="D22" s="91">
        <f>INDEX(Data[],MATCH($B$3,Data[Dist],0),MATCH($G22,Data[#Headers],0))</f>
        <v>333095770</v>
      </c>
      <c r="E22" s="101"/>
      <c r="F22" s="96"/>
      <c r="G22" s="133" t="str">
        <f>Data[[#Headers],[March Payment]]</f>
        <v>March Payment</v>
      </c>
      <c r="H22" s="140"/>
      <c r="I22" s="129" t="s">
        <v>718</v>
      </c>
      <c r="J22" s="91">
        <f>ROUND(INDEX(Data[],MATCH($B$3,Data[Dist],0),MATCH(J$13,Data[#Headers],0))/10,0)</f>
        <v>8786372</v>
      </c>
      <c r="K22" s="91">
        <f>ROUND(INDEX(Data[],MATCH($B$3,Data[Dist],0),MATCH(K$13,Data[#Headers],0))/10,0)</f>
        <v>30832087</v>
      </c>
      <c r="L22" s="91">
        <f>ROUND(INDEX(Data[],MATCH($B$3,Data[Dist],0),MATCH(L$13,Data[#Headers],0))/10,0)</f>
        <v>3794728</v>
      </c>
      <c r="M22" s="91">
        <f>ROUND(INDEX(Data[],MATCH($B$3,Data[Dist],0),MATCH(M$13,Data[#Headers],0))/10,0)</f>
        <v>3490572</v>
      </c>
      <c r="N22" s="91">
        <f>ROUND(INDEX(Data[],MATCH($B$3,Data[Dist],0),MATCH(N$13,Data[#Headers],0))/10,0)</f>
        <v>17395910</v>
      </c>
      <c r="O22" s="91">
        <f t="shared" si="0"/>
        <v>268796101</v>
      </c>
      <c r="P22" s="91">
        <f t="shared" si="1"/>
        <v>333095770</v>
      </c>
      <c r="Q22" s="143"/>
    </row>
    <row r="23" spans="1:17" ht="15.75" customHeight="1" x14ac:dyDescent="0.25">
      <c r="A23" s="89"/>
      <c r="B23" s="199" t="str">
        <f>Notes!A43</f>
        <v>4/19/2023</v>
      </c>
      <c r="C23" s="98"/>
      <c r="D23" s="91">
        <f>INDEX(Data[],MATCH($B$3,Data[Dist],0),MATCH($G23,Data[#Headers],0))</f>
        <v>333095770</v>
      </c>
      <c r="E23" s="92"/>
      <c r="F23" s="96"/>
      <c r="G23" s="133" t="str">
        <f>Data[[#Headers],[April Payment]]</f>
        <v>April Payment</v>
      </c>
      <c r="H23" s="140"/>
      <c r="I23" s="129" t="s">
        <v>719</v>
      </c>
      <c r="J23" s="91">
        <f>ROUND(INDEX(Data[],MATCH($B$3,Data[Dist],0),MATCH(J$13,Data[#Headers],0))/10,0)</f>
        <v>8786372</v>
      </c>
      <c r="K23" s="91">
        <f>ROUND(INDEX(Data[],MATCH($B$3,Data[Dist],0),MATCH(K$13,Data[#Headers],0))/10,0)</f>
        <v>30832087</v>
      </c>
      <c r="L23" s="91">
        <f>ROUND(INDEX(Data[],MATCH($B$3,Data[Dist],0),MATCH(L$13,Data[#Headers],0))/10,0)</f>
        <v>3794728</v>
      </c>
      <c r="M23" s="91">
        <f>ROUND(INDEX(Data[],MATCH($B$3,Data[Dist],0),MATCH(M$13,Data[#Headers],0))/10,0)</f>
        <v>3490572</v>
      </c>
      <c r="N23" s="91">
        <f>ROUND(INDEX(Data[],MATCH($B$3,Data[Dist],0),MATCH(N$13,Data[#Headers],0))/10,0)</f>
        <v>17395910</v>
      </c>
      <c r="O23" s="91">
        <f t="shared" si="0"/>
        <v>268796101</v>
      </c>
      <c r="P23" s="91">
        <f t="shared" si="1"/>
        <v>333095770</v>
      </c>
      <c r="Q23" s="143"/>
    </row>
    <row r="24" spans="1:17" ht="15.75" customHeight="1" x14ac:dyDescent="0.25">
      <c r="A24" s="89"/>
      <c r="B24" s="199" t="str">
        <f>Notes!A44</f>
        <v>5/17/2023</v>
      </c>
      <c r="C24" s="98"/>
      <c r="D24" s="91">
        <f>INDEX(Data[],MATCH($B$3,Data[Dist],0),MATCH($G24,Data[#Headers],0))</f>
        <v>333095770</v>
      </c>
      <c r="E24" s="92"/>
      <c r="F24" s="96"/>
      <c r="G24" s="133" t="str">
        <f>Data[[#Headers],[May Payment]]</f>
        <v>May Payment</v>
      </c>
      <c r="H24" s="140"/>
      <c r="I24" s="129" t="s">
        <v>720</v>
      </c>
      <c r="J24" s="91">
        <f>ROUND(INDEX(Data[],MATCH($B$3,Data[Dist],0),MATCH(J$13,Data[#Headers],0))/10,0)</f>
        <v>8786372</v>
      </c>
      <c r="K24" s="91">
        <f>ROUND(INDEX(Data[],MATCH($B$3,Data[Dist],0),MATCH(K$13,Data[#Headers],0))/10,0)</f>
        <v>30832087</v>
      </c>
      <c r="L24" s="91">
        <f>ROUND(INDEX(Data[],MATCH($B$3,Data[Dist],0),MATCH(L$13,Data[#Headers],0))/10,0)</f>
        <v>3794728</v>
      </c>
      <c r="M24" s="91">
        <f>ROUND(INDEX(Data[],MATCH($B$3,Data[Dist],0),MATCH(M$13,Data[#Headers],0))/10,0)</f>
        <v>3490572</v>
      </c>
      <c r="N24" s="91">
        <f>ROUND(INDEX(Data[],MATCH($B$3,Data[Dist],0),MATCH(N$13,Data[#Headers],0))/10,0)</f>
        <v>17395910</v>
      </c>
      <c r="O24" s="91">
        <f t="shared" si="0"/>
        <v>268796101</v>
      </c>
      <c r="P24" s="91">
        <f t="shared" si="1"/>
        <v>333095770</v>
      </c>
      <c r="Q24" s="143"/>
    </row>
    <row r="25" spans="1:17" ht="15.75" customHeight="1" x14ac:dyDescent="0.25">
      <c r="A25" s="89"/>
      <c r="B25" s="199" t="str">
        <f>Notes!A45</f>
        <v>6/19/2023</v>
      </c>
      <c r="C25" s="98"/>
      <c r="D25" s="91">
        <f>INDEX(Data[],MATCH($B$3,Data[Dist],0),MATCH($G25,Data[#Headers],0))</f>
        <v>333095587</v>
      </c>
      <c r="E25" s="92"/>
      <c r="F25" s="96"/>
      <c r="G25" s="133" t="str">
        <f>Data[[#Headers],[June Payment]]</f>
        <v>June Payment</v>
      </c>
      <c r="H25" s="140"/>
      <c r="I25" s="129" t="s">
        <v>721</v>
      </c>
      <c r="J25" s="125">
        <f>INDEX('Payment by Source'!$A$6:$I$333,MATCH(PaymentSummary!$B$3,'Payment by Source'!$A$6:$A$333,0),MATCH(R$13,'Payment by Source'!$A$4:$I$4,0))</f>
        <v>8786425</v>
      </c>
      <c r="K25" s="125">
        <f>INDEX('Payment by Source'!$A$6:$I$333,MATCH(PaymentSummary!$B$3,'Payment by Source'!$A$6:$A$333,0),MATCH(S$13,'Payment by Source'!$A$4:$I$4,0))</f>
        <v>30832111</v>
      </c>
      <c r="L25" s="125">
        <f>INDEX('Payment by Source'!$A$6:$I$333,MATCH(PaymentSummary!$B$3,'Payment by Source'!$A$6:$A$333,0),MATCH(T$13,'Payment by Source'!$A$4:$I$4,0))</f>
        <v>3794744</v>
      </c>
      <c r="M25" s="125">
        <f>INDEX('Payment by Source'!$A$6:$I$333,MATCH(PaymentSummary!$B$3,'Payment by Source'!$A$6:$A$333,0),MATCH(U$13,'Payment by Source'!$A$4:$I$4,0))</f>
        <v>3490591</v>
      </c>
      <c r="N25" s="125">
        <f>INDEX('Payment by Source'!$A$6:$I$333,MATCH(PaymentSummary!$B$3,'Payment by Source'!$A$6:$A$333,0),MATCH(V$13,'Payment by Source'!$A$4:$I$4,0))</f>
        <v>17395925</v>
      </c>
      <c r="O25" s="125">
        <f>INDEX('Payment by Source'!$A$6:$I$333,MATCH(PaymentSummary!$B$3,'Payment by Source'!$A$6:$A$333,0),MATCH(W$13,'Payment by Source'!$A$4:$I$4,0))</f>
        <v>270718555</v>
      </c>
      <c r="P25" s="91">
        <f t="shared" si="1"/>
        <v>333095587</v>
      </c>
      <c r="Q25" s="143"/>
    </row>
    <row r="26" spans="1:17" ht="15.75" customHeight="1" thickBot="1" x14ac:dyDescent="0.3">
      <c r="A26" s="89"/>
      <c r="B26" s="102" t="str">
        <f>CONCATENATE(TEXT(B25,"   mm/dd/yyyy")," Special Ed Deficit")</f>
        <v xml:space="preserve">   06/19/2023 Special Ed Deficit</v>
      </c>
      <c r="C26" s="98"/>
      <c r="D26" s="91">
        <f>C11</f>
        <v>1954278</v>
      </c>
      <c r="E26" s="92"/>
      <c r="F26" s="96"/>
      <c r="G26" s="133"/>
      <c r="H26" s="140"/>
      <c r="I26" s="129" t="s">
        <v>791</v>
      </c>
      <c r="J26" s="95">
        <f>INDEX(Data[],MATCH($B$3,Data[Dist],0),MATCH(J$13,Data[#Headers],0))</f>
        <v>87863724</v>
      </c>
      <c r="K26" s="95">
        <f>INDEX(Data[],MATCH($B$3,Data[Dist],0),MATCH(K$13,Data[#Headers],0))</f>
        <v>308320868</v>
      </c>
      <c r="L26" s="95">
        <f>INDEX(Data[],MATCH($B$3,Data[Dist],0),MATCH(L$13,Data[#Headers],0))</f>
        <v>37947281</v>
      </c>
      <c r="M26" s="95">
        <f>INDEX(Data[],MATCH($B$3,Data[Dist],0),MATCH(M$13,Data[#Headers],0))</f>
        <v>34905716</v>
      </c>
      <c r="N26" s="95">
        <f>INDEX(Data[],MATCH($B$3,Data[Dist],0),MATCH(N$13,Data[#Headers],0))</f>
        <v>173959100</v>
      </c>
      <c r="O26" s="95">
        <f>SUM(O16:O25)</f>
        <v>2697573806</v>
      </c>
      <c r="P26" s="95">
        <f>SUM(P16:P25)</f>
        <v>3338647859</v>
      </c>
      <c r="Q26" s="143"/>
    </row>
    <row r="27" spans="1:17" ht="18" customHeight="1" thickTop="1" thickBot="1" x14ac:dyDescent="0.3">
      <c r="A27" s="89"/>
      <c r="B27" s="103" t="s">
        <v>783</v>
      </c>
      <c r="C27" s="98"/>
      <c r="D27" s="95">
        <f>SUM(D16:D26)</f>
        <v>3340602137</v>
      </c>
      <c r="E27" s="92"/>
      <c r="F27" s="96"/>
      <c r="H27" s="140"/>
      <c r="I27" s="148"/>
      <c r="J27" s="148"/>
      <c r="K27" s="148"/>
      <c r="L27" s="148"/>
      <c r="M27" s="148"/>
      <c r="N27" s="148"/>
      <c r="O27" s="148"/>
      <c r="P27" s="148"/>
      <c r="Q27" s="143"/>
    </row>
    <row r="28" spans="1:17" ht="13.5" customHeight="1" thickTop="1" x14ac:dyDescent="0.25">
      <c r="A28" s="104"/>
      <c r="B28" s="105"/>
      <c r="C28" s="106"/>
      <c r="D28" s="106"/>
      <c r="E28" s="107"/>
      <c r="F28" s="96"/>
      <c r="H28" s="140"/>
      <c r="I28" s="148"/>
      <c r="J28" s="90" t="str">
        <f>IF($B$3="9999","Note: Total will not add down for statewide totals.","")</f>
        <v>Note: Total will not add down for statewide totals.</v>
      </c>
      <c r="K28" s="149"/>
      <c r="L28" s="149"/>
      <c r="M28" s="149"/>
      <c r="N28" s="149"/>
      <c r="O28" s="149"/>
      <c r="P28" s="148"/>
      <c r="Q28" s="143"/>
    </row>
    <row r="29" spans="1:17" ht="7.5" customHeight="1" x14ac:dyDescent="0.25">
      <c r="A29" s="108"/>
      <c r="B29" s="103"/>
      <c r="C29" s="91"/>
      <c r="D29" s="91"/>
      <c r="E29" s="96"/>
      <c r="F29" s="96"/>
      <c r="H29" s="144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ht="7.5" customHeight="1" x14ac:dyDescent="0.25">
      <c r="A30" s="109"/>
      <c r="B30" s="110"/>
      <c r="C30" s="111"/>
      <c r="D30" s="111"/>
      <c r="E30" s="112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5"/>
      <c r="C32" s="106"/>
      <c r="D32" s="106"/>
      <c r="E32" s="107"/>
    </row>
    <row r="33" spans="1:17" ht="7.5" customHeight="1" x14ac:dyDescent="0.25">
      <c r="B33" s="90"/>
      <c r="C33" s="113"/>
      <c r="D33" s="113"/>
      <c r="E33" s="96"/>
      <c r="H33" s="137"/>
      <c r="I33" s="138"/>
      <c r="J33" s="225" t="s">
        <v>796</v>
      </c>
      <c r="K33" s="225" t="s">
        <v>797</v>
      </c>
      <c r="L33" s="139"/>
    </row>
    <row r="34" spans="1:17" ht="7.5" customHeight="1" x14ac:dyDescent="0.25">
      <c r="A34" s="84"/>
      <c r="B34" s="114"/>
      <c r="C34" s="115"/>
      <c r="D34" s="115"/>
      <c r="E34" s="112"/>
      <c r="H34" s="140"/>
      <c r="I34" s="148"/>
      <c r="J34" s="226"/>
      <c r="K34" s="226"/>
      <c r="L34" s="143"/>
    </row>
    <row r="35" spans="1:17" ht="15.75" customHeight="1" x14ac:dyDescent="0.25">
      <c r="A35" s="72"/>
      <c r="B35" s="90" t="s">
        <v>785</v>
      </c>
      <c r="C35" s="113"/>
      <c r="D35" s="113"/>
      <c r="E35" s="92"/>
      <c r="H35" s="140"/>
      <c r="I35" s="103"/>
      <c r="J35" s="227"/>
      <c r="K35" s="227"/>
      <c r="L35" s="141"/>
      <c r="Q35" s="128"/>
    </row>
    <row r="36" spans="1:17" ht="15.75" customHeight="1" x14ac:dyDescent="0.25">
      <c r="A36" s="72"/>
      <c r="B36" s="102" t="str">
        <f>CONCATENATE("   12/01/",Notes!$B$1-1)</f>
        <v xml:space="preserve">   12/01/2022</v>
      </c>
      <c r="C36" s="116">
        <f>IFERROR(INDEX(SurtaxPayment!$C$6:$U$340,MATCH(PaymentSummary!$B$3,SurtaxPayment!$C$6:$C$340,0),9),0)</f>
        <v>75137126.25</v>
      </c>
      <c r="D36" s="116"/>
      <c r="E36" s="92"/>
      <c r="H36" s="140"/>
      <c r="I36" s="130" t="s">
        <v>715</v>
      </c>
      <c r="J36" s="116">
        <f>IFERROR(INDEX(SurtaxPayment!$C$6:$U$340,MATCH(PaymentSummary!$B$3,SurtaxPayment!$C$6:$C$340,0),10),0)</f>
        <v>7800045.8299999973</v>
      </c>
      <c r="K36" s="116">
        <f>IFERROR(INDEX(SurtaxPayment!$C$6:$U$340,MATCH(PaymentSummary!$B$3,SurtaxPayment!$C$6:$C$340,0),11),0)</f>
        <v>67337080.419999957</v>
      </c>
      <c r="L36" s="142"/>
      <c r="O36" s="127"/>
      <c r="P36" s="127"/>
    </row>
    <row r="37" spans="1:17" ht="15.75" customHeight="1" x14ac:dyDescent="0.25">
      <c r="A37" s="72"/>
      <c r="B37" s="102" t="str">
        <f>CONCATENATE("   02/01/",Notes!$B$1)</f>
        <v xml:space="preserve">   02/01/2023</v>
      </c>
      <c r="C37" s="116">
        <f>IFERROR(INDEX(SurtaxPayment!$C$6:$U$340,MATCH(PaymentSummary!$B$3,SurtaxPayment!$C$6:$C$340,0),13),0)</f>
        <v>29315857.75</v>
      </c>
      <c r="D37" s="116"/>
      <c r="E37" s="92"/>
      <c r="H37" s="140"/>
      <c r="I37" s="130" t="s">
        <v>717</v>
      </c>
      <c r="J37" s="116">
        <f>IFERROR(INDEX(SurtaxPayment!$C$6:$U$340,MATCH(PaymentSummary!$B$3,SurtaxPayment!$C$6:$C$340,0),14),0)</f>
        <v>2960676.0899999994</v>
      </c>
      <c r="K37" s="116">
        <f>IFERROR(INDEX(SurtaxPayment!$C$6:$U$340,MATCH(PaymentSummary!$B$3,SurtaxPayment!$C$6:$C$340,0),15),0)</f>
        <v>26355181.660000008</v>
      </c>
      <c r="L37" s="143"/>
    </row>
    <row r="38" spans="1:17" ht="18" customHeight="1" thickBot="1" x14ac:dyDescent="0.3">
      <c r="A38" s="72"/>
      <c r="B38" s="103" t="s">
        <v>786</v>
      </c>
      <c r="C38" s="116"/>
      <c r="D38" s="117">
        <f>C36+C37</f>
        <v>104452984</v>
      </c>
      <c r="E38" s="92"/>
      <c r="H38" s="140"/>
      <c r="I38" s="130" t="s">
        <v>793</v>
      </c>
      <c r="J38" s="131">
        <f>SUM(J36:J37)</f>
        <v>10760721.919999996</v>
      </c>
      <c r="K38" s="131">
        <f>SUM(K36:K37)</f>
        <v>93692262.079999968</v>
      </c>
      <c r="L38" s="143"/>
    </row>
    <row r="39" spans="1:17" ht="7.5" customHeight="1" thickTop="1" x14ac:dyDescent="0.25">
      <c r="A39" s="75"/>
      <c r="B39" s="105"/>
      <c r="C39" s="106"/>
      <c r="D39" s="106"/>
      <c r="E39" s="107"/>
      <c r="H39" s="144"/>
      <c r="I39" s="145"/>
      <c r="J39" s="145"/>
      <c r="K39" s="145"/>
      <c r="L39" s="146"/>
    </row>
    <row r="40" spans="1:17" ht="7.5" customHeight="1" x14ac:dyDescent="0.25">
      <c r="B40" s="90"/>
      <c r="C40" s="113"/>
      <c r="D40" s="113"/>
      <c r="E40" s="96"/>
    </row>
    <row r="41" spans="1:17" ht="7.5" customHeight="1" x14ac:dyDescent="0.25">
      <c r="A41" s="84"/>
      <c r="B41" s="114"/>
      <c r="C41" s="115"/>
      <c r="D41" s="115"/>
      <c r="E41" s="112"/>
    </row>
    <row r="42" spans="1:17" ht="15.75" customHeight="1" thickBot="1" x14ac:dyDescent="0.3">
      <c r="A42" s="72"/>
      <c r="B42" s="103" t="str">
        <f>CONCATENATE("FY ",Notes!$B$1," AEA Flowthrough Amount")</f>
        <v>FY 2023 AEA Flowthrough Amount</v>
      </c>
      <c r="C42" s="113"/>
      <c r="D42" s="95">
        <f>INDEX(Data[],MATCH(PaymentSummary!$B$3,Data[Dist],0),MATCH($G$42,Data[#Headers],0))</f>
        <v>241465645</v>
      </c>
      <c r="E42" s="92"/>
      <c r="G42" s="132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8"/>
      <c r="C43" s="119"/>
      <c r="D43" s="119"/>
      <c r="E43" s="107"/>
    </row>
    <row r="44" spans="1:17" x14ac:dyDescent="0.2">
      <c r="B44" s="120"/>
      <c r="C44" s="96"/>
      <c r="D44" s="96"/>
    </row>
  </sheetData>
  <mergeCells count="13">
    <mergeCell ref="A1:E1"/>
    <mergeCell ref="C2:E2"/>
    <mergeCell ref="J13:J15"/>
    <mergeCell ref="K13:K15"/>
    <mergeCell ref="L13:L15"/>
    <mergeCell ref="I13:I15"/>
    <mergeCell ref="I10:Q11"/>
    <mergeCell ref="K33:K35"/>
    <mergeCell ref="J33:J35"/>
    <mergeCell ref="N13:N15"/>
    <mergeCell ref="O13:O15"/>
    <mergeCell ref="P13:P15"/>
    <mergeCell ref="M13:M15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3"/>
  <sheetViews>
    <sheetView workbookViewId="0">
      <pane ySplit="2" topLeftCell="A313" activePane="bottomLeft" state="frozen"/>
      <selection pane="bottomLeft" activeCell="I317" sqref="I317"/>
    </sheetView>
  </sheetViews>
  <sheetFormatPr defaultRowHeight="15" x14ac:dyDescent="0.25"/>
  <cols>
    <col min="1" max="1" width="9.140625" style="165"/>
    <col min="2" max="2" width="8.5703125" style="123" customWidth="1"/>
    <col min="3" max="3" width="9.140625" style="165" customWidth="1"/>
    <col min="4" max="4" width="40.140625" style="123" bestFit="1" customWidth="1"/>
    <col min="5" max="5" width="16.5703125" style="123" bestFit="1" customWidth="1"/>
    <col min="6" max="16384" width="9.140625" style="123"/>
  </cols>
  <sheetData>
    <row r="1" spans="1:8" ht="43.5" customHeight="1" x14ac:dyDescent="0.25">
      <c r="D1" s="167" t="str">
        <f>CONCATENATE("FY ",$A$3," Special Education Deficit Payment
Based on FY ",$A$3-1," Special Education Balances")</f>
        <v>FY 2022 Special Education Deficit Payment
Based on FY 2021 Special Education Balances</v>
      </c>
      <c r="E1" s="164"/>
      <c r="F1" s="164"/>
      <c r="H1" s="208" t="s">
        <v>1164</v>
      </c>
    </row>
    <row r="2" spans="1:8" ht="30" x14ac:dyDescent="0.25">
      <c r="A2" s="200" t="s">
        <v>353</v>
      </c>
      <c r="B2" s="201" t="s">
        <v>799</v>
      </c>
      <c r="C2" s="200" t="s">
        <v>354</v>
      </c>
      <c r="D2" s="201" t="s">
        <v>804</v>
      </c>
      <c r="E2" s="201" t="s">
        <v>805</v>
      </c>
    </row>
    <row r="3" spans="1:8" x14ac:dyDescent="0.25">
      <c r="A3" s="202">
        <v>2022</v>
      </c>
      <c r="B3" s="203" t="s">
        <v>21</v>
      </c>
      <c r="C3" s="204" t="s">
        <v>21</v>
      </c>
      <c r="D3" s="203" t="s">
        <v>381</v>
      </c>
      <c r="E3" s="205">
        <v>727</v>
      </c>
    </row>
    <row r="4" spans="1:8" x14ac:dyDescent="0.25">
      <c r="A4" s="202">
        <v>2022</v>
      </c>
      <c r="B4" s="203" t="s">
        <v>22</v>
      </c>
      <c r="C4" s="204" t="s">
        <v>22</v>
      </c>
      <c r="D4" s="203" t="s">
        <v>382</v>
      </c>
      <c r="E4" s="205">
        <v>17638</v>
      </c>
    </row>
    <row r="5" spans="1:8" x14ac:dyDescent="0.25">
      <c r="A5" s="202">
        <v>2022</v>
      </c>
      <c r="B5" s="203" t="s">
        <v>20</v>
      </c>
      <c r="C5" s="204" t="s">
        <v>20</v>
      </c>
      <c r="D5" s="203" t="s">
        <v>0</v>
      </c>
      <c r="E5" s="205">
        <v>3259</v>
      </c>
    </row>
    <row r="6" spans="1:8" x14ac:dyDescent="0.25">
      <c r="A6" s="202">
        <v>2022</v>
      </c>
      <c r="B6" s="203" t="s">
        <v>42</v>
      </c>
      <c r="C6" s="204" t="s">
        <v>42</v>
      </c>
      <c r="D6" s="203" t="s">
        <v>19</v>
      </c>
      <c r="E6" s="205">
        <v>7289</v>
      </c>
    </row>
    <row r="7" spans="1:8" x14ac:dyDescent="0.25">
      <c r="A7" s="202">
        <v>2022</v>
      </c>
      <c r="B7" s="203" t="s">
        <v>23</v>
      </c>
      <c r="C7" s="204" t="s">
        <v>23</v>
      </c>
      <c r="D7" s="203" t="s">
        <v>383</v>
      </c>
      <c r="E7" s="205">
        <v>4165</v>
      </c>
    </row>
    <row r="8" spans="1:8" x14ac:dyDescent="0.25">
      <c r="A8" s="202">
        <v>2022</v>
      </c>
      <c r="B8" s="203" t="s">
        <v>24</v>
      </c>
      <c r="C8" s="204" t="s">
        <v>24</v>
      </c>
      <c r="D8" s="203" t="s">
        <v>384</v>
      </c>
      <c r="E8" s="205">
        <v>532</v>
      </c>
    </row>
    <row r="9" spans="1:8" x14ac:dyDescent="0.25">
      <c r="A9" s="202">
        <v>2022</v>
      </c>
      <c r="B9" s="203" t="s">
        <v>25</v>
      </c>
      <c r="C9" s="204" t="s">
        <v>25</v>
      </c>
      <c r="D9" s="203" t="s">
        <v>385</v>
      </c>
      <c r="E9" s="205">
        <v>3056</v>
      </c>
    </row>
    <row r="10" spans="1:8" x14ac:dyDescent="0.25">
      <c r="A10" s="202">
        <v>2022</v>
      </c>
      <c r="B10" s="203" t="s">
        <v>26</v>
      </c>
      <c r="C10" s="204" t="s">
        <v>26</v>
      </c>
      <c r="D10" s="203" t="s">
        <v>386</v>
      </c>
      <c r="E10" s="205">
        <v>1060</v>
      </c>
    </row>
    <row r="11" spans="1:8" x14ac:dyDescent="0.25">
      <c r="A11" s="202">
        <v>2022</v>
      </c>
      <c r="B11" s="203" t="s">
        <v>27</v>
      </c>
      <c r="C11" s="204" t="s">
        <v>27</v>
      </c>
      <c r="D11" s="203" t="s">
        <v>387</v>
      </c>
      <c r="E11" s="205">
        <v>2284</v>
      </c>
    </row>
    <row r="12" spans="1:8" x14ac:dyDescent="0.25">
      <c r="A12" s="202">
        <v>2022</v>
      </c>
      <c r="B12" s="203" t="s">
        <v>28</v>
      </c>
      <c r="C12" s="204" t="s">
        <v>28</v>
      </c>
      <c r="D12" s="203" t="s">
        <v>388</v>
      </c>
      <c r="E12" s="205">
        <v>6676</v>
      </c>
    </row>
    <row r="13" spans="1:8" x14ac:dyDescent="0.25">
      <c r="A13" s="202">
        <v>2022</v>
      </c>
      <c r="B13" s="203" t="s">
        <v>29</v>
      </c>
      <c r="C13" s="204" t="s">
        <v>29</v>
      </c>
      <c r="D13" s="203" t="s">
        <v>389</v>
      </c>
      <c r="E13" s="205">
        <v>1929</v>
      </c>
    </row>
    <row r="14" spans="1:8" x14ac:dyDescent="0.25">
      <c r="A14" s="202">
        <v>2022</v>
      </c>
      <c r="B14" s="203" t="s">
        <v>31</v>
      </c>
      <c r="C14" s="204" t="s">
        <v>31</v>
      </c>
      <c r="D14" s="203" t="s">
        <v>800</v>
      </c>
      <c r="E14" s="205">
        <v>3366</v>
      </c>
    </row>
    <row r="15" spans="1:8" x14ac:dyDescent="0.25">
      <c r="A15" s="202">
        <v>2022</v>
      </c>
      <c r="B15" s="203" t="s">
        <v>32</v>
      </c>
      <c r="C15" s="204" t="s">
        <v>32</v>
      </c>
      <c r="D15" s="203" t="s">
        <v>391</v>
      </c>
      <c r="E15" s="205">
        <v>20511</v>
      </c>
    </row>
    <row r="16" spans="1:8" x14ac:dyDescent="0.25">
      <c r="A16" s="202">
        <v>2022</v>
      </c>
      <c r="B16" s="203" t="s">
        <v>33</v>
      </c>
      <c r="C16" s="204" t="s">
        <v>33</v>
      </c>
      <c r="D16" s="203" t="s">
        <v>392</v>
      </c>
      <c r="E16" s="205">
        <v>3409</v>
      </c>
    </row>
    <row r="17" spans="1:5" x14ac:dyDescent="0.25">
      <c r="A17" s="202">
        <v>2022</v>
      </c>
      <c r="B17" s="203" t="s">
        <v>34</v>
      </c>
      <c r="C17" s="204" t="s">
        <v>34</v>
      </c>
      <c r="D17" s="203" t="s">
        <v>393</v>
      </c>
      <c r="E17" s="205">
        <v>1550</v>
      </c>
    </row>
    <row r="18" spans="1:5" x14ac:dyDescent="0.25">
      <c r="A18" s="202">
        <v>2022</v>
      </c>
      <c r="B18" s="203" t="s">
        <v>35</v>
      </c>
      <c r="C18" s="204" t="s">
        <v>35</v>
      </c>
      <c r="D18" s="203" t="s">
        <v>394</v>
      </c>
      <c r="E18" s="205">
        <v>88199</v>
      </c>
    </row>
    <row r="19" spans="1:5" x14ac:dyDescent="0.25">
      <c r="A19" s="202">
        <v>2022</v>
      </c>
      <c r="B19" s="203" t="s">
        <v>36</v>
      </c>
      <c r="C19" s="204" t="s">
        <v>36</v>
      </c>
      <c r="D19" s="203" t="s">
        <v>395</v>
      </c>
      <c r="E19" s="205">
        <v>703</v>
      </c>
    </row>
    <row r="20" spans="1:5" x14ac:dyDescent="0.25">
      <c r="A20" s="202">
        <v>2022</v>
      </c>
      <c r="B20" s="203" t="s">
        <v>38</v>
      </c>
      <c r="C20" s="204" t="s">
        <v>38</v>
      </c>
      <c r="D20" s="203" t="s">
        <v>397</v>
      </c>
      <c r="E20" s="205">
        <v>0</v>
      </c>
    </row>
    <row r="21" spans="1:5" x14ac:dyDescent="0.25">
      <c r="A21" s="202">
        <v>2022</v>
      </c>
      <c r="B21" s="203" t="s">
        <v>39</v>
      </c>
      <c r="C21" s="204" t="s">
        <v>39</v>
      </c>
      <c r="D21" s="203" t="s">
        <v>398</v>
      </c>
      <c r="E21" s="205">
        <v>6661</v>
      </c>
    </row>
    <row r="22" spans="1:5" x14ac:dyDescent="0.25">
      <c r="A22" s="202">
        <v>2022</v>
      </c>
      <c r="B22" s="203" t="s">
        <v>40</v>
      </c>
      <c r="C22" s="204" t="s">
        <v>40</v>
      </c>
      <c r="D22" s="203" t="s">
        <v>399</v>
      </c>
      <c r="E22" s="205">
        <v>217</v>
      </c>
    </row>
    <row r="23" spans="1:5" x14ac:dyDescent="0.25">
      <c r="A23" s="202">
        <v>2022</v>
      </c>
      <c r="B23" s="203" t="s">
        <v>43</v>
      </c>
      <c r="C23" s="204" t="s">
        <v>43</v>
      </c>
      <c r="D23" s="203" t="s">
        <v>400</v>
      </c>
      <c r="E23" s="205">
        <v>9921</v>
      </c>
    </row>
    <row r="24" spans="1:5" x14ac:dyDescent="0.25">
      <c r="A24" s="202">
        <v>2022</v>
      </c>
      <c r="B24" s="203" t="s">
        <v>45</v>
      </c>
      <c r="C24" s="204" t="s">
        <v>45</v>
      </c>
      <c r="D24" s="203" t="s">
        <v>401</v>
      </c>
      <c r="E24" s="205">
        <v>41</v>
      </c>
    </row>
    <row r="25" spans="1:5" x14ac:dyDescent="0.25">
      <c r="A25" s="202">
        <v>2022</v>
      </c>
      <c r="B25" s="203" t="s">
        <v>46</v>
      </c>
      <c r="C25" s="204" t="s">
        <v>46</v>
      </c>
      <c r="D25" s="203" t="s">
        <v>1</v>
      </c>
      <c r="E25" s="205">
        <v>1434</v>
      </c>
    </row>
    <row r="26" spans="1:5" x14ac:dyDescent="0.25">
      <c r="A26" s="202">
        <v>2022</v>
      </c>
      <c r="B26" s="203" t="s">
        <v>47</v>
      </c>
      <c r="C26" s="204" t="s">
        <v>47</v>
      </c>
      <c r="D26" s="203" t="s">
        <v>402</v>
      </c>
      <c r="E26" s="205">
        <v>905</v>
      </c>
    </row>
    <row r="27" spans="1:5" x14ac:dyDescent="0.25">
      <c r="A27" s="202">
        <v>2022</v>
      </c>
      <c r="B27" s="203" t="s">
        <v>48</v>
      </c>
      <c r="C27" s="204" t="s">
        <v>48</v>
      </c>
      <c r="D27" s="203" t="s">
        <v>403</v>
      </c>
      <c r="E27" s="205">
        <v>3039</v>
      </c>
    </row>
    <row r="28" spans="1:5" x14ac:dyDescent="0.25">
      <c r="A28" s="202">
        <v>2022</v>
      </c>
      <c r="B28" s="203" t="s">
        <v>49</v>
      </c>
      <c r="C28" s="204" t="s">
        <v>49</v>
      </c>
      <c r="D28" s="203" t="s">
        <v>404</v>
      </c>
      <c r="E28" s="205">
        <v>0</v>
      </c>
    </row>
    <row r="29" spans="1:5" x14ac:dyDescent="0.25">
      <c r="A29" s="202">
        <v>2022</v>
      </c>
      <c r="B29" s="203" t="s">
        <v>50</v>
      </c>
      <c r="C29" s="204" t="s">
        <v>50</v>
      </c>
      <c r="D29" s="203" t="s">
        <v>405</v>
      </c>
      <c r="E29" s="205">
        <v>10081</v>
      </c>
    </row>
    <row r="30" spans="1:5" x14ac:dyDescent="0.25">
      <c r="A30" s="202">
        <v>2022</v>
      </c>
      <c r="B30" s="203" t="s">
        <v>51</v>
      </c>
      <c r="C30" s="204" t="s">
        <v>51</v>
      </c>
      <c r="D30" s="203" t="s">
        <v>406</v>
      </c>
      <c r="E30" s="205">
        <v>0</v>
      </c>
    </row>
    <row r="31" spans="1:5" x14ac:dyDescent="0.25">
      <c r="A31" s="202">
        <v>2022</v>
      </c>
      <c r="B31" s="203" t="s">
        <v>52</v>
      </c>
      <c r="C31" s="204" t="s">
        <v>52</v>
      </c>
      <c r="D31" s="203" t="s">
        <v>407</v>
      </c>
      <c r="E31" s="205">
        <v>3379</v>
      </c>
    </row>
    <row r="32" spans="1:5" x14ac:dyDescent="0.25">
      <c r="A32" s="202">
        <v>2022</v>
      </c>
      <c r="B32" s="203" t="s">
        <v>53</v>
      </c>
      <c r="C32" s="204" t="s">
        <v>53</v>
      </c>
      <c r="D32" s="203" t="s">
        <v>408</v>
      </c>
      <c r="E32" s="205">
        <v>8003</v>
      </c>
    </row>
    <row r="33" spans="1:5" x14ac:dyDescent="0.25">
      <c r="A33" s="202">
        <v>2022</v>
      </c>
      <c r="B33" s="203" t="s">
        <v>55</v>
      </c>
      <c r="C33" s="204" t="s">
        <v>55</v>
      </c>
      <c r="D33" s="203" t="s">
        <v>410</v>
      </c>
      <c r="E33" s="205">
        <v>3618</v>
      </c>
    </row>
    <row r="34" spans="1:5" x14ac:dyDescent="0.25">
      <c r="A34" s="202">
        <v>2022</v>
      </c>
      <c r="B34" s="203" t="s">
        <v>56</v>
      </c>
      <c r="C34" s="204" t="s">
        <v>56</v>
      </c>
      <c r="D34" s="203" t="s">
        <v>411</v>
      </c>
      <c r="E34" s="205">
        <v>9026</v>
      </c>
    </row>
    <row r="35" spans="1:5" x14ac:dyDescent="0.25">
      <c r="A35" s="202">
        <v>2022</v>
      </c>
      <c r="B35" s="203" t="s">
        <v>57</v>
      </c>
      <c r="C35" s="204" t="s">
        <v>57</v>
      </c>
      <c r="D35" s="203" t="s">
        <v>412</v>
      </c>
      <c r="E35" s="205">
        <v>2927</v>
      </c>
    </row>
    <row r="36" spans="1:5" x14ac:dyDescent="0.25">
      <c r="A36" s="202">
        <v>2022</v>
      </c>
      <c r="B36" s="203" t="s">
        <v>113</v>
      </c>
      <c r="C36" s="204" t="s">
        <v>113</v>
      </c>
      <c r="D36" s="203" t="s">
        <v>466</v>
      </c>
      <c r="E36" s="205">
        <v>0</v>
      </c>
    </row>
    <row r="37" spans="1:5" x14ac:dyDescent="0.25">
      <c r="A37" s="202">
        <v>2022</v>
      </c>
      <c r="B37" s="203" t="s">
        <v>59</v>
      </c>
      <c r="C37" s="204" t="s">
        <v>59</v>
      </c>
      <c r="D37" s="203" t="s">
        <v>414</v>
      </c>
      <c r="E37" s="205">
        <v>0</v>
      </c>
    </row>
    <row r="38" spans="1:5" x14ac:dyDescent="0.25">
      <c r="A38" s="202">
        <v>2022</v>
      </c>
      <c r="B38" s="203" t="s">
        <v>61</v>
      </c>
      <c r="C38" s="204" t="s">
        <v>61</v>
      </c>
      <c r="D38" s="203" t="s">
        <v>416</v>
      </c>
      <c r="E38" s="205">
        <v>0</v>
      </c>
    </row>
    <row r="39" spans="1:5" x14ac:dyDescent="0.25">
      <c r="A39" s="202">
        <v>2022</v>
      </c>
      <c r="B39" s="203" t="s">
        <v>63</v>
      </c>
      <c r="C39" s="204" t="s">
        <v>63</v>
      </c>
      <c r="D39" s="203" t="s">
        <v>3</v>
      </c>
      <c r="E39" s="205">
        <v>0</v>
      </c>
    </row>
    <row r="40" spans="1:5" x14ac:dyDescent="0.25">
      <c r="A40" s="202">
        <v>2022</v>
      </c>
      <c r="B40" s="203" t="s">
        <v>64</v>
      </c>
      <c r="C40" s="204" t="s">
        <v>64</v>
      </c>
      <c r="D40" s="203" t="s">
        <v>417</v>
      </c>
      <c r="E40" s="205">
        <v>2160</v>
      </c>
    </row>
    <row r="41" spans="1:5" x14ac:dyDescent="0.25">
      <c r="A41" s="202">
        <v>2022</v>
      </c>
      <c r="B41" s="203" t="s">
        <v>62</v>
      </c>
      <c r="C41" s="204" t="s">
        <v>62</v>
      </c>
      <c r="D41" s="203" t="s">
        <v>2</v>
      </c>
      <c r="E41" s="205">
        <v>2455</v>
      </c>
    </row>
    <row r="42" spans="1:5" x14ac:dyDescent="0.25">
      <c r="A42" s="202">
        <v>2022</v>
      </c>
      <c r="B42" s="203" t="s">
        <v>65</v>
      </c>
      <c r="C42" s="204" t="s">
        <v>65</v>
      </c>
      <c r="D42" s="203" t="s">
        <v>418</v>
      </c>
      <c r="E42" s="205">
        <v>1032</v>
      </c>
    </row>
    <row r="43" spans="1:5" x14ac:dyDescent="0.25">
      <c r="A43" s="202">
        <v>2022</v>
      </c>
      <c r="B43" s="203" t="s">
        <v>66</v>
      </c>
      <c r="C43" s="204" t="s">
        <v>66</v>
      </c>
      <c r="D43" s="203" t="s">
        <v>419</v>
      </c>
      <c r="E43" s="205">
        <v>0</v>
      </c>
    </row>
    <row r="44" spans="1:5" x14ac:dyDescent="0.25">
      <c r="A44" s="202">
        <v>2022</v>
      </c>
      <c r="B44" s="203" t="s">
        <v>67</v>
      </c>
      <c r="C44" s="204" t="s">
        <v>67</v>
      </c>
      <c r="D44" s="203" t="s">
        <v>420</v>
      </c>
      <c r="E44" s="205">
        <v>5032</v>
      </c>
    </row>
    <row r="45" spans="1:5" x14ac:dyDescent="0.25">
      <c r="A45" s="202">
        <v>2022</v>
      </c>
      <c r="B45" s="203" t="s">
        <v>68</v>
      </c>
      <c r="C45" s="204" t="s">
        <v>68</v>
      </c>
      <c r="D45" s="203" t="s">
        <v>421</v>
      </c>
      <c r="E45" s="205">
        <v>7204</v>
      </c>
    </row>
    <row r="46" spans="1:5" x14ac:dyDescent="0.25">
      <c r="A46" s="202">
        <v>2022</v>
      </c>
      <c r="B46" s="203" t="s">
        <v>69</v>
      </c>
      <c r="C46" s="204" t="s">
        <v>69</v>
      </c>
      <c r="D46" s="203" t="s">
        <v>422</v>
      </c>
      <c r="E46" s="205">
        <v>15819</v>
      </c>
    </row>
    <row r="47" spans="1:5" x14ac:dyDescent="0.25">
      <c r="A47" s="202">
        <v>2022</v>
      </c>
      <c r="B47" s="203" t="s">
        <v>70</v>
      </c>
      <c r="C47" s="204" t="s">
        <v>70</v>
      </c>
      <c r="D47" s="203" t="s">
        <v>423</v>
      </c>
      <c r="E47" s="205">
        <v>185405</v>
      </c>
    </row>
    <row r="48" spans="1:5" x14ac:dyDescent="0.25">
      <c r="A48" s="202">
        <v>2022</v>
      </c>
      <c r="B48" s="203" t="s">
        <v>71</v>
      </c>
      <c r="C48" s="204" t="s">
        <v>71</v>
      </c>
      <c r="D48" s="203" t="s">
        <v>424</v>
      </c>
      <c r="E48" s="205">
        <v>1554</v>
      </c>
    </row>
    <row r="49" spans="1:5" x14ac:dyDescent="0.25">
      <c r="A49" s="202">
        <v>2022</v>
      </c>
      <c r="B49" s="203" t="s">
        <v>72</v>
      </c>
      <c r="C49" s="204" t="s">
        <v>72</v>
      </c>
      <c r="D49" s="203" t="s">
        <v>425</v>
      </c>
      <c r="E49" s="205">
        <v>0</v>
      </c>
    </row>
    <row r="50" spans="1:5" x14ac:dyDescent="0.25">
      <c r="A50" s="202">
        <v>2022</v>
      </c>
      <c r="B50" s="203" t="s">
        <v>76</v>
      </c>
      <c r="C50" s="204" t="s">
        <v>76</v>
      </c>
      <c r="D50" s="203" t="s">
        <v>429</v>
      </c>
      <c r="E50" s="205">
        <v>825</v>
      </c>
    </row>
    <row r="51" spans="1:5" x14ac:dyDescent="0.25">
      <c r="A51" s="202">
        <v>2022</v>
      </c>
      <c r="B51" s="203" t="s">
        <v>74</v>
      </c>
      <c r="C51" s="204" t="s">
        <v>74</v>
      </c>
      <c r="D51" s="203" t="s">
        <v>427</v>
      </c>
      <c r="E51" s="205">
        <v>3188</v>
      </c>
    </row>
    <row r="52" spans="1:5" x14ac:dyDescent="0.25">
      <c r="A52" s="202">
        <v>2022</v>
      </c>
      <c r="B52" s="203" t="s">
        <v>75</v>
      </c>
      <c r="C52" s="204" t="s">
        <v>75</v>
      </c>
      <c r="D52" s="203" t="s">
        <v>428</v>
      </c>
      <c r="E52" s="205">
        <v>5931</v>
      </c>
    </row>
    <row r="53" spans="1:5" x14ac:dyDescent="0.25">
      <c r="A53" s="202">
        <v>2022</v>
      </c>
      <c r="B53" s="203" t="s">
        <v>77</v>
      </c>
      <c r="C53" s="204" t="s">
        <v>77</v>
      </c>
      <c r="D53" s="203" t="s">
        <v>430</v>
      </c>
      <c r="E53" s="205">
        <v>1652</v>
      </c>
    </row>
    <row r="54" spans="1:5" x14ac:dyDescent="0.25">
      <c r="A54" s="202">
        <v>2022</v>
      </c>
      <c r="B54" s="203" t="s">
        <v>73</v>
      </c>
      <c r="C54" s="204" t="s">
        <v>73</v>
      </c>
      <c r="D54" s="203" t="s">
        <v>426</v>
      </c>
      <c r="E54" s="205">
        <v>4113</v>
      </c>
    </row>
    <row r="55" spans="1:5" x14ac:dyDescent="0.25">
      <c r="A55" s="202">
        <v>2022</v>
      </c>
      <c r="B55" s="203" t="s">
        <v>78</v>
      </c>
      <c r="C55" s="204" t="s">
        <v>78</v>
      </c>
      <c r="D55" s="203" t="s">
        <v>431</v>
      </c>
      <c r="E55" s="205">
        <v>3853</v>
      </c>
    </row>
    <row r="56" spans="1:5" x14ac:dyDescent="0.25">
      <c r="A56" s="202">
        <v>2022</v>
      </c>
      <c r="B56" s="203" t="s">
        <v>230</v>
      </c>
      <c r="C56" s="204" t="s">
        <v>230</v>
      </c>
      <c r="D56" s="203" t="s">
        <v>580</v>
      </c>
      <c r="E56" s="205">
        <v>6784</v>
      </c>
    </row>
    <row r="57" spans="1:5" x14ac:dyDescent="0.25">
      <c r="A57" s="202">
        <v>2022</v>
      </c>
      <c r="B57" s="203" t="s">
        <v>79</v>
      </c>
      <c r="C57" s="204" t="s">
        <v>79</v>
      </c>
      <c r="D57" s="203" t="s">
        <v>432</v>
      </c>
      <c r="E57" s="205">
        <v>0</v>
      </c>
    </row>
    <row r="58" spans="1:5" x14ac:dyDescent="0.25">
      <c r="A58" s="202">
        <v>2022</v>
      </c>
      <c r="B58" s="203" t="s">
        <v>80</v>
      </c>
      <c r="C58" s="204" t="s">
        <v>80</v>
      </c>
      <c r="D58" s="203" t="s">
        <v>433</v>
      </c>
      <c r="E58" s="205">
        <v>4128</v>
      </c>
    </row>
    <row r="59" spans="1:5" x14ac:dyDescent="0.25">
      <c r="A59" s="202">
        <v>2022</v>
      </c>
      <c r="B59" s="203" t="s">
        <v>81</v>
      </c>
      <c r="C59" s="204" t="s">
        <v>81</v>
      </c>
      <c r="D59" s="203" t="s">
        <v>434</v>
      </c>
      <c r="E59" s="205">
        <v>850</v>
      </c>
    </row>
    <row r="60" spans="1:5" x14ac:dyDescent="0.25">
      <c r="A60" s="202">
        <v>2022</v>
      </c>
      <c r="B60" s="203" t="s">
        <v>82</v>
      </c>
      <c r="C60" s="204" t="s">
        <v>82</v>
      </c>
      <c r="D60" s="203" t="s">
        <v>435</v>
      </c>
      <c r="E60" s="205">
        <v>0</v>
      </c>
    </row>
    <row r="61" spans="1:5" x14ac:dyDescent="0.25">
      <c r="A61" s="202">
        <v>2022</v>
      </c>
      <c r="B61" s="203" t="s">
        <v>83</v>
      </c>
      <c r="C61" s="204" t="s">
        <v>83</v>
      </c>
      <c r="D61" s="203" t="s">
        <v>436</v>
      </c>
      <c r="E61" s="205">
        <v>3312</v>
      </c>
    </row>
    <row r="62" spans="1:5" x14ac:dyDescent="0.25">
      <c r="A62" s="202">
        <v>2022</v>
      </c>
      <c r="B62" s="203" t="s">
        <v>84</v>
      </c>
      <c r="C62" s="204" t="s">
        <v>84</v>
      </c>
      <c r="D62" s="203" t="s">
        <v>437</v>
      </c>
      <c r="E62" s="205">
        <v>6313</v>
      </c>
    </row>
    <row r="63" spans="1:5" x14ac:dyDescent="0.25">
      <c r="A63" s="202">
        <v>2022</v>
      </c>
      <c r="B63" s="203" t="s">
        <v>85</v>
      </c>
      <c r="C63" s="204" t="s">
        <v>85</v>
      </c>
      <c r="D63" s="203" t="s">
        <v>438</v>
      </c>
      <c r="E63" s="205">
        <v>6098</v>
      </c>
    </row>
    <row r="64" spans="1:5" x14ac:dyDescent="0.25">
      <c r="A64" s="202">
        <v>2022</v>
      </c>
      <c r="B64" s="203" t="s">
        <v>86</v>
      </c>
      <c r="C64" s="204" t="s">
        <v>86</v>
      </c>
      <c r="D64" s="203" t="s">
        <v>439</v>
      </c>
      <c r="E64" s="205">
        <v>3399</v>
      </c>
    </row>
    <row r="65" spans="1:5" x14ac:dyDescent="0.25">
      <c r="A65" s="202">
        <v>2022</v>
      </c>
      <c r="B65" s="203" t="s">
        <v>87</v>
      </c>
      <c r="C65" s="204" t="s">
        <v>87</v>
      </c>
      <c r="D65" s="203" t="s">
        <v>440</v>
      </c>
      <c r="E65" s="205">
        <v>3070</v>
      </c>
    </row>
    <row r="66" spans="1:5" x14ac:dyDescent="0.25">
      <c r="A66" s="202">
        <v>2022</v>
      </c>
      <c r="B66" s="203" t="s">
        <v>150</v>
      </c>
      <c r="C66" s="204" t="s">
        <v>150</v>
      </c>
      <c r="D66" s="203" t="s">
        <v>502</v>
      </c>
      <c r="E66" s="205">
        <v>1364</v>
      </c>
    </row>
    <row r="67" spans="1:5" x14ac:dyDescent="0.25">
      <c r="A67" s="202">
        <v>2022</v>
      </c>
      <c r="B67" s="203" t="s">
        <v>88</v>
      </c>
      <c r="C67" s="204" t="s">
        <v>88</v>
      </c>
      <c r="D67" s="203" t="s">
        <v>441</v>
      </c>
      <c r="E67" s="205">
        <v>16752</v>
      </c>
    </row>
    <row r="68" spans="1:5" x14ac:dyDescent="0.25">
      <c r="A68" s="202">
        <v>2022</v>
      </c>
      <c r="B68" s="203" t="s">
        <v>89</v>
      </c>
      <c r="C68" s="204" t="s">
        <v>89</v>
      </c>
      <c r="D68" s="203" t="s">
        <v>442</v>
      </c>
      <c r="E68" s="205">
        <v>3288</v>
      </c>
    </row>
    <row r="69" spans="1:5" x14ac:dyDescent="0.25">
      <c r="A69" s="202">
        <v>2022</v>
      </c>
      <c r="B69" s="203" t="s">
        <v>90</v>
      </c>
      <c r="C69" s="204" t="s">
        <v>90</v>
      </c>
      <c r="D69" s="203" t="s">
        <v>443</v>
      </c>
      <c r="E69" s="205">
        <v>0</v>
      </c>
    </row>
    <row r="70" spans="1:5" x14ac:dyDescent="0.25">
      <c r="A70" s="202">
        <v>2022</v>
      </c>
      <c r="B70" s="203" t="s">
        <v>91</v>
      </c>
      <c r="C70" s="204" t="s">
        <v>91</v>
      </c>
      <c r="D70" s="203" t="s">
        <v>444</v>
      </c>
      <c r="E70" s="205">
        <v>3820</v>
      </c>
    </row>
    <row r="71" spans="1:5" x14ac:dyDescent="0.25">
      <c r="A71" s="202">
        <v>2022</v>
      </c>
      <c r="B71" s="203" t="s">
        <v>92</v>
      </c>
      <c r="C71" s="204" t="s">
        <v>92</v>
      </c>
      <c r="D71" s="203" t="s">
        <v>445</v>
      </c>
      <c r="E71" s="205">
        <v>24216</v>
      </c>
    </row>
    <row r="72" spans="1:5" x14ac:dyDescent="0.25">
      <c r="A72" s="202">
        <v>2022</v>
      </c>
      <c r="B72" s="203" t="s">
        <v>93</v>
      </c>
      <c r="C72" s="204" t="s">
        <v>93</v>
      </c>
      <c r="D72" s="203" t="s">
        <v>446</v>
      </c>
      <c r="E72" s="205">
        <v>424</v>
      </c>
    </row>
    <row r="73" spans="1:5" x14ac:dyDescent="0.25">
      <c r="A73" s="202">
        <v>2022</v>
      </c>
      <c r="B73" s="203" t="s">
        <v>94</v>
      </c>
      <c r="C73" s="204" t="s">
        <v>94</v>
      </c>
      <c r="D73" s="203" t="s">
        <v>447</v>
      </c>
      <c r="E73" s="205">
        <v>1162</v>
      </c>
    </row>
    <row r="74" spans="1:5" x14ac:dyDescent="0.25">
      <c r="A74" s="202">
        <v>2022</v>
      </c>
      <c r="B74" s="203" t="s">
        <v>95</v>
      </c>
      <c r="C74" s="204" t="s">
        <v>95</v>
      </c>
      <c r="D74" s="203" t="s">
        <v>448</v>
      </c>
      <c r="E74" s="205">
        <v>290</v>
      </c>
    </row>
    <row r="75" spans="1:5" x14ac:dyDescent="0.25">
      <c r="A75" s="202">
        <v>2022</v>
      </c>
      <c r="B75" s="203" t="s">
        <v>96</v>
      </c>
      <c r="C75" s="204" t="s">
        <v>96</v>
      </c>
      <c r="D75" s="203" t="s">
        <v>449</v>
      </c>
      <c r="E75" s="205">
        <v>0</v>
      </c>
    </row>
    <row r="76" spans="1:5" x14ac:dyDescent="0.25">
      <c r="A76" s="202">
        <v>2022</v>
      </c>
      <c r="B76" s="203" t="s">
        <v>97</v>
      </c>
      <c r="C76" s="204" t="s">
        <v>97</v>
      </c>
      <c r="D76" s="203" t="s">
        <v>450</v>
      </c>
      <c r="E76" s="205">
        <v>3027</v>
      </c>
    </row>
    <row r="77" spans="1:5" x14ac:dyDescent="0.25">
      <c r="A77" s="202">
        <v>2022</v>
      </c>
      <c r="B77" s="203" t="s">
        <v>98</v>
      </c>
      <c r="C77" s="204" t="s">
        <v>98</v>
      </c>
      <c r="D77" s="203" t="s">
        <v>451</v>
      </c>
      <c r="E77" s="205">
        <v>20631</v>
      </c>
    </row>
    <row r="78" spans="1:5" x14ac:dyDescent="0.25">
      <c r="A78" s="202">
        <v>2022</v>
      </c>
      <c r="B78" s="203" t="s">
        <v>99</v>
      </c>
      <c r="C78" s="204" t="s">
        <v>99</v>
      </c>
      <c r="D78" s="203" t="s">
        <v>452</v>
      </c>
      <c r="E78" s="205">
        <v>6589</v>
      </c>
    </row>
    <row r="79" spans="1:5" x14ac:dyDescent="0.25">
      <c r="A79" s="202">
        <v>2022</v>
      </c>
      <c r="B79" s="203" t="s">
        <v>100</v>
      </c>
      <c r="C79" s="204" t="s">
        <v>100</v>
      </c>
      <c r="D79" s="203" t="s">
        <v>453</v>
      </c>
      <c r="E79" s="205">
        <v>25685</v>
      </c>
    </row>
    <row r="80" spans="1:5" x14ac:dyDescent="0.25">
      <c r="A80" s="202">
        <v>2022</v>
      </c>
      <c r="B80" s="203" t="s">
        <v>101</v>
      </c>
      <c r="C80" s="204" t="s">
        <v>101</v>
      </c>
      <c r="D80" s="203" t="s">
        <v>454</v>
      </c>
      <c r="E80" s="205">
        <v>0</v>
      </c>
    </row>
    <row r="81" spans="1:5" x14ac:dyDescent="0.25">
      <c r="A81" s="202">
        <v>2022</v>
      </c>
      <c r="B81" s="203" t="s">
        <v>102</v>
      </c>
      <c r="C81" s="204" t="s">
        <v>102</v>
      </c>
      <c r="D81" s="203" t="s">
        <v>455</v>
      </c>
      <c r="E81" s="205">
        <v>92727</v>
      </c>
    </row>
    <row r="82" spans="1:5" x14ac:dyDescent="0.25">
      <c r="A82" s="202">
        <v>2022</v>
      </c>
      <c r="B82" s="203" t="s">
        <v>103</v>
      </c>
      <c r="C82" s="204" t="s">
        <v>103</v>
      </c>
      <c r="D82" s="203" t="s">
        <v>456</v>
      </c>
      <c r="E82" s="205">
        <v>2115</v>
      </c>
    </row>
    <row r="83" spans="1:5" x14ac:dyDescent="0.25">
      <c r="A83" s="202">
        <v>2022</v>
      </c>
      <c r="B83" s="203" t="s">
        <v>104</v>
      </c>
      <c r="C83" s="204" t="s">
        <v>104</v>
      </c>
      <c r="D83" s="203" t="s">
        <v>457</v>
      </c>
      <c r="E83" s="205">
        <v>5895</v>
      </c>
    </row>
    <row r="84" spans="1:5" x14ac:dyDescent="0.25">
      <c r="A84" s="202">
        <v>2022</v>
      </c>
      <c r="B84" s="203" t="s">
        <v>105</v>
      </c>
      <c r="C84" s="204" t="s">
        <v>105</v>
      </c>
      <c r="D84" s="203" t="s">
        <v>458</v>
      </c>
      <c r="E84" s="205">
        <v>285</v>
      </c>
    </row>
    <row r="85" spans="1:5" x14ac:dyDescent="0.25">
      <c r="A85" s="202">
        <v>2022</v>
      </c>
      <c r="B85" s="203" t="s">
        <v>106</v>
      </c>
      <c r="C85" s="204" t="s">
        <v>106</v>
      </c>
      <c r="D85" s="203" t="s">
        <v>459</v>
      </c>
      <c r="E85" s="205">
        <v>0</v>
      </c>
    </row>
    <row r="86" spans="1:5" x14ac:dyDescent="0.25">
      <c r="A86" s="202">
        <v>2022</v>
      </c>
      <c r="B86" s="203" t="s">
        <v>107</v>
      </c>
      <c r="C86" s="204" t="s">
        <v>107</v>
      </c>
      <c r="D86" s="203" t="s">
        <v>460</v>
      </c>
      <c r="E86" s="205">
        <v>2302</v>
      </c>
    </row>
    <row r="87" spans="1:5" x14ac:dyDescent="0.25">
      <c r="A87" s="202">
        <v>2022</v>
      </c>
      <c r="B87" s="203" t="s">
        <v>108</v>
      </c>
      <c r="C87" s="204" t="s">
        <v>108</v>
      </c>
      <c r="D87" s="203" t="s">
        <v>461</v>
      </c>
      <c r="E87" s="205">
        <v>59962</v>
      </c>
    </row>
    <row r="88" spans="1:5" x14ac:dyDescent="0.25">
      <c r="A88" s="202">
        <v>2022</v>
      </c>
      <c r="B88" s="203" t="s">
        <v>109</v>
      </c>
      <c r="C88" s="204" t="s">
        <v>109</v>
      </c>
      <c r="D88" s="203" t="s">
        <v>462</v>
      </c>
      <c r="E88" s="205">
        <v>542</v>
      </c>
    </row>
    <row r="89" spans="1:5" x14ac:dyDescent="0.25">
      <c r="A89" s="202">
        <v>2022</v>
      </c>
      <c r="B89" s="203" t="s">
        <v>110</v>
      </c>
      <c r="C89" s="204" t="s">
        <v>110</v>
      </c>
      <c r="D89" s="203" t="s">
        <v>463</v>
      </c>
      <c r="E89" s="205">
        <v>2466</v>
      </c>
    </row>
    <row r="90" spans="1:5" x14ac:dyDescent="0.25">
      <c r="A90" s="202">
        <v>2022</v>
      </c>
      <c r="B90" s="203" t="s">
        <v>111</v>
      </c>
      <c r="C90" s="204" t="s">
        <v>111</v>
      </c>
      <c r="D90" s="203" t="s">
        <v>464</v>
      </c>
      <c r="E90" s="205">
        <v>60520</v>
      </c>
    </row>
    <row r="91" spans="1:5" x14ac:dyDescent="0.25">
      <c r="A91" s="202">
        <v>2022</v>
      </c>
      <c r="B91" s="203" t="s">
        <v>112</v>
      </c>
      <c r="C91" s="204" t="s">
        <v>112</v>
      </c>
      <c r="D91" s="203" t="s">
        <v>465</v>
      </c>
      <c r="E91" s="205">
        <v>1632</v>
      </c>
    </row>
    <row r="92" spans="1:5" x14ac:dyDescent="0.25">
      <c r="A92" s="202">
        <v>2022</v>
      </c>
      <c r="B92" s="203" t="s">
        <v>114</v>
      </c>
      <c r="C92" s="204" t="s">
        <v>114</v>
      </c>
      <c r="D92" s="203" t="s">
        <v>467</v>
      </c>
      <c r="E92" s="205">
        <v>519</v>
      </c>
    </row>
    <row r="93" spans="1:5" x14ac:dyDescent="0.25">
      <c r="A93" s="202">
        <v>2022</v>
      </c>
      <c r="B93" s="203" t="s">
        <v>116</v>
      </c>
      <c r="C93" s="204" t="s">
        <v>116</v>
      </c>
      <c r="D93" s="203" t="s">
        <v>469</v>
      </c>
      <c r="E93" s="205">
        <v>2801</v>
      </c>
    </row>
    <row r="94" spans="1:5" x14ac:dyDescent="0.25">
      <c r="A94" s="202">
        <v>2022</v>
      </c>
      <c r="B94" s="203" t="s">
        <v>117</v>
      </c>
      <c r="C94" s="204" t="s">
        <v>117</v>
      </c>
      <c r="D94" s="203" t="s">
        <v>470</v>
      </c>
      <c r="E94" s="205">
        <v>0</v>
      </c>
    </row>
    <row r="95" spans="1:5" x14ac:dyDescent="0.25">
      <c r="A95" s="202">
        <v>2022</v>
      </c>
      <c r="B95" s="203" t="s">
        <v>118</v>
      </c>
      <c r="C95" s="204" t="s">
        <v>118</v>
      </c>
      <c r="D95" s="203" t="s">
        <v>471</v>
      </c>
      <c r="E95" s="205">
        <v>1214</v>
      </c>
    </row>
    <row r="96" spans="1:5" x14ac:dyDescent="0.25">
      <c r="A96" s="202">
        <v>2022</v>
      </c>
      <c r="B96" s="203" t="s">
        <v>183</v>
      </c>
      <c r="C96" s="204" t="s">
        <v>697</v>
      </c>
      <c r="D96" s="203" t="s">
        <v>533</v>
      </c>
      <c r="E96" s="205">
        <v>0</v>
      </c>
    </row>
    <row r="97" spans="1:5" x14ac:dyDescent="0.25">
      <c r="A97" s="202">
        <v>2022</v>
      </c>
      <c r="B97" s="203" t="s">
        <v>196</v>
      </c>
      <c r="C97" s="204" t="s">
        <v>196</v>
      </c>
      <c r="D97" s="203" t="s">
        <v>546</v>
      </c>
      <c r="E97" s="205">
        <v>4017</v>
      </c>
    </row>
    <row r="98" spans="1:5" x14ac:dyDescent="0.25">
      <c r="A98" s="202">
        <v>2022</v>
      </c>
      <c r="B98" s="203" t="s">
        <v>322</v>
      </c>
      <c r="C98" s="204" t="s">
        <v>322</v>
      </c>
      <c r="D98" s="203" t="s">
        <v>665</v>
      </c>
      <c r="E98" s="205">
        <v>0</v>
      </c>
    </row>
    <row r="99" spans="1:5" x14ac:dyDescent="0.25">
      <c r="A99" s="202">
        <v>2022</v>
      </c>
      <c r="B99" s="203" t="s">
        <v>120</v>
      </c>
      <c r="C99" s="204" t="s">
        <v>120</v>
      </c>
      <c r="D99" s="203" t="s">
        <v>473</v>
      </c>
      <c r="E99" s="205">
        <v>3015</v>
      </c>
    </row>
    <row r="100" spans="1:5" x14ac:dyDescent="0.25">
      <c r="A100" s="202">
        <v>2022</v>
      </c>
      <c r="B100" s="203" t="s">
        <v>121</v>
      </c>
      <c r="C100" s="204" t="s">
        <v>121</v>
      </c>
      <c r="D100" s="203" t="s">
        <v>474</v>
      </c>
      <c r="E100" s="205">
        <v>1642</v>
      </c>
    </row>
    <row r="101" spans="1:5" x14ac:dyDescent="0.25">
      <c r="A101" s="202">
        <v>2022</v>
      </c>
      <c r="B101" s="203" t="s">
        <v>119</v>
      </c>
      <c r="C101" s="204" t="s">
        <v>119</v>
      </c>
      <c r="D101" s="203" t="s">
        <v>472</v>
      </c>
      <c r="E101" s="205">
        <v>4285</v>
      </c>
    </row>
    <row r="102" spans="1:5" x14ac:dyDescent="0.25">
      <c r="A102" s="202">
        <v>2022</v>
      </c>
      <c r="B102" s="203" t="s">
        <v>54</v>
      </c>
      <c r="C102" s="204" t="s">
        <v>54</v>
      </c>
      <c r="D102" s="203" t="s">
        <v>409</v>
      </c>
      <c r="E102" s="205">
        <v>2323</v>
      </c>
    </row>
    <row r="103" spans="1:5" x14ac:dyDescent="0.25">
      <c r="A103" s="202">
        <v>2022</v>
      </c>
      <c r="B103" s="203" t="s">
        <v>123</v>
      </c>
      <c r="C103" s="204" t="s">
        <v>123</v>
      </c>
      <c r="D103" s="203" t="s">
        <v>476</v>
      </c>
      <c r="E103" s="205">
        <v>200</v>
      </c>
    </row>
    <row r="104" spans="1:5" x14ac:dyDescent="0.25">
      <c r="A104" s="202">
        <v>2022</v>
      </c>
      <c r="B104" s="203" t="s">
        <v>124</v>
      </c>
      <c r="C104" s="204" t="s">
        <v>124</v>
      </c>
      <c r="D104" s="203" t="s">
        <v>477</v>
      </c>
      <c r="E104" s="205">
        <v>4330</v>
      </c>
    </row>
    <row r="105" spans="1:5" x14ac:dyDescent="0.25">
      <c r="A105" s="202">
        <v>2022</v>
      </c>
      <c r="B105" s="203" t="s">
        <v>125</v>
      </c>
      <c r="C105" s="204" t="s">
        <v>125</v>
      </c>
      <c r="D105" s="203" t="s">
        <v>478</v>
      </c>
      <c r="E105" s="205">
        <v>788</v>
      </c>
    </row>
    <row r="106" spans="1:5" x14ac:dyDescent="0.25">
      <c r="A106" s="202">
        <v>2022</v>
      </c>
      <c r="B106" s="203" t="s">
        <v>126</v>
      </c>
      <c r="C106" s="204" t="s">
        <v>126</v>
      </c>
      <c r="D106" s="203" t="s">
        <v>479</v>
      </c>
      <c r="E106" s="205">
        <v>71</v>
      </c>
    </row>
    <row r="107" spans="1:5" x14ac:dyDescent="0.25">
      <c r="A107" s="202">
        <v>2022</v>
      </c>
      <c r="B107" s="203" t="s">
        <v>127</v>
      </c>
      <c r="C107" s="204" t="s">
        <v>127</v>
      </c>
      <c r="D107" s="203" t="s">
        <v>480</v>
      </c>
      <c r="E107" s="205">
        <v>777</v>
      </c>
    </row>
    <row r="108" spans="1:5" x14ac:dyDescent="0.25">
      <c r="A108" s="202">
        <v>2022</v>
      </c>
      <c r="B108" s="203" t="s">
        <v>128</v>
      </c>
      <c r="C108" s="204" t="s">
        <v>128</v>
      </c>
      <c r="D108" s="203" t="s">
        <v>481</v>
      </c>
      <c r="E108" s="205">
        <v>6218</v>
      </c>
    </row>
    <row r="109" spans="1:5" x14ac:dyDescent="0.25">
      <c r="A109" s="202">
        <v>2022</v>
      </c>
      <c r="B109" s="203" t="s">
        <v>129</v>
      </c>
      <c r="C109" s="204" t="s">
        <v>129</v>
      </c>
      <c r="D109" s="203" t="s">
        <v>482</v>
      </c>
      <c r="E109" s="205">
        <v>560</v>
      </c>
    </row>
    <row r="110" spans="1:5" x14ac:dyDescent="0.25">
      <c r="A110" s="202">
        <v>2022</v>
      </c>
      <c r="B110" s="203" t="s">
        <v>130</v>
      </c>
      <c r="C110" s="204" t="s">
        <v>130</v>
      </c>
      <c r="D110" s="203" t="s">
        <v>483</v>
      </c>
      <c r="E110" s="205">
        <v>5294</v>
      </c>
    </row>
    <row r="111" spans="1:5" x14ac:dyDescent="0.25">
      <c r="A111" s="202">
        <v>2022</v>
      </c>
      <c r="B111" s="203" t="s">
        <v>131</v>
      </c>
      <c r="C111" s="204" t="s">
        <v>131</v>
      </c>
      <c r="D111" s="203" t="s">
        <v>484</v>
      </c>
      <c r="E111" s="205">
        <v>6881</v>
      </c>
    </row>
    <row r="112" spans="1:5" x14ac:dyDescent="0.25">
      <c r="A112" s="202">
        <v>2022</v>
      </c>
      <c r="B112" s="203" t="s">
        <v>132</v>
      </c>
      <c r="C112" s="204" t="s">
        <v>132</v>
      </c>
      <c r="D112" s="203" t="s">
        <v>485</v>
      </c>
      <c r="E112" s="205">
        <v>6854</v>
      </c>
    </row>
    <row r="113" spans="1:5" x14ac:dyDescent="0.25">
      <c r="A113" s="202">
        <v>2022</v>
      </c>
      <c r="B113" s="203" t="s">
        <v>133</v>
      </c>
      <c r="C113" s="204" t="s">
        <v>133</v>
      </c>
      <c r="D113" s="203" t="s">
        <v>486</v>
      </c>
      <c r="E113" s="205">
        <v>0</v>
      </c>
    </row>
    <row r="114" spans="1:5" x14ac:dyDescent="0.25">
      <c r="A114" s="202">
        <v>2022</v>
      </c>
      <c r="B114" s="203" t="s">
        <v>134</v>
      </c>
      <c r="C114" s="204" t="s">
        <v>134</v>
      </c>
      <c r="D114" s="203" t="s">
        <v>487</v>
      </c>
      <c r="E114" s="205">
        <v>2161</v>
      </c>
    </row>
    <row r="115" spans="1:5" x14ac:dyDescent="0.25">
      <c r="A115" s="202">
        <v>2022</v>
      </c>
      <c r="B115" s="203" t="s">
        <v>135</v>
      </c>
      <c r="C115" s="204" t="s">
        <v>135</v>
      </c>
      <c r="D115" s="203" t="s">
        <v>488</v>
      </c>
      <c r="E115" s="205">
        <v>201</v>
      </c>
    </row>
    <row r="116" spans="1:5" x14ac:dyDescent="0.25">
      <c r="A116" s="202">
        <v>2022</v>
      </c>
      <c r="B116" s="203" t="s">
        <v>136</v>
      </c>
      <c r="C116" s="204" t="s">
        <v>136</v>
      </c>
      <c r="D116" s="203" t="s">
        <v>489</v>
      </c>
      <c r="E116" s="205">
        <v>0</v>
      </c>
    </row>
    <row r="117" spans="1:5" x14ac:dyDescent="0.25">
      <c r="A117" s="202">
        <v>2022</v>
      </c>
      <c r="B117" s="203" t="s">
        <v>137</v>
      </c>
      <c r="C117" s="204" t="s">
        <v>137</v>
      </c>
      <c r="D117" s="203" t="s">
        <v>490</v>
      </c>
      <c r="E117" s="205">
        <v>71</v>
      </c>
    </row>
    <row r="118" spans="1:5" x14ac:dyDescent="0.25">
      <c r="A118" s="202">
        <v>2022</v>
      </c>
      <c r="B118" s="203" t="s">
        <v>138</v>
      </c>
      <c r="C118" s="204" t="s">
        <v>138</v>
      </c>
      <c r="D118" s="203" t="s">
        <v>491</v>
      </c>
      <c r="E118" s="205">
        <v>6186</v>
      </c>
    </row>
    <row r="119" spans="1:5" x14ac:dyDescent="0.25">
      <c r="A119" s="202">
        <v>2022</v>
      </c>
      <c r="B119" s="203" t="s">
        <v>139</v>
      </c>
      <c r="C119" s="204" t="s">
        <v>139</v>
      </c>
      <c r="D119" s="203" t="s">
        <v>492</v>
      </c>
      <c r="E119" s="205">
        <v>713</v>
      </c>
    </row>
    <row r="120" spans="1:5" x14ac:dyDescent="0.25">
      <c r="A120" s="202">
        <v>2022</v>
      </c>
      <c r="B120" s="203" t="s">
        <v>140</v>
      </c>
      <c r="C120" s="204" t="s">
        <v>140</v>
      </c>
      <c r="D120" s="203" t="s">
        <v>493</v>
      </c>
      <c r="E120" s="205">
        <v>3647</v>
      </c>
    </row>
    <row r="121" spans="1:5" x14ac:dyDescent="0.25">
      <c r="A121" s="202">
        <v>2022</v>
      </c>
      <c r="B121" s="203" t="s">
        <v>141</v>
      </c>
      <c r="C121" s="204" t="s">
        <v>141</v>
      </c>
      <c r="D121" s="203" t="s">
        <v>494</v>
      </c>
      <c r="E121" s="205">
        <v>7392</v>
      </c>
    </row>
    <row r="122" spans="1:5" x14ac:dyDescent="0.25">
      <c r="A122" s="202">
        <v>2022</v>
      </c>
      <c r="B122" s="203" t="s">
        <v>142</v>
      </c>
      <c r="C122" s="204" t="s">
        <v>142</v>
      </c>
      <c r="D122" s="203" t="s">
        <v>495</v>
      </c>
      <c r="E122" s="205">
        <v>1821</v>
      </c>
    </row>
    <row r="123" spans="1:5" x14ac:dyDescent="0.25">
      <c r="A123" s="202">
        <v>2022</v>
      </c>
      <c r="B123" s="203" t="s">
        <v>145</v>
      </c>
      <c r="C123" s="204" t="s">
        <v>145</v>
      </c>
      <c r="D123" s="203" t="s">
        <v>4</v>
      </c>
      <c r="E123" s="205">
        <v>1681</v>
      </c>
    </row>
    <row r="124" spans="1:5" x14ac:dyDescent="0.25">
      <c r="A124" s="202">
        <v>2022</v>
      </c>
      <c r="B124" s="203" t="s">
        <v>143</v>
      </c>
      <c r="C124" s="204" t="s">
        <v>143</v>
      </c>
      <c r="D124" s="203" t="s">
        <v>496</v>
      </c>
      <c r="E124" s="205">
        <v>2884</v>
      </c>
    </row>
    <row r="125" spans="1:5" x14ac:dyDescent="0.25">
      <c r="A125" s="202">
        <v>2022</v>
      </c>
      <c r="B125" s="203" t="s">
        <v>172</v>
      </c>
      <c r="C125" s="204" t="s">
        <v>172</v>
      </c>
      <c r="D125" s="203" t="s">
        <v>522</v>
      </c>
      <c r="E125" s="205">
        <v>6106</v>
      </c>
    </row>
    <row r="126" spans="1:5" x14ac:dyDescent="0.25">
      <c r="A126" s="202">
        <v>2022</v>
      </c>
      <c r="B126" s="203" t="s">
        <v>146</v>
      </c>
      <c r="C126" s="204" t="s">
        <v>146</v>
      </c>
      <c r="D126" s="203" t="s">
        <v>498</v>
      </c>
      <c r="E126" s="205">
        <v>6115</v>
      </c>
    </row>
    <row r="127" spans="1:5" x14ac:dyDescent="0.25">
      <c r="A127" s="202">
        <v>2022</v>
      </c>
      <c r="B127" s="203" t="s">
        <v>147</v>
      </c>
      <c r="C127" s="204" t="s">
        <v>147</v>
      </c>
      <c r="D127" s="203" t="s">
        <v>499</v>
      </c>
      <c r="E127" s="205">
        <v>2557</v>
      </c>
    </row>
    <row r="128" spans="1:5" x14ac:dyDescent="0.25">
      <c r="A128" s="202">
        <v>2022</v>
      </c>
      <c r="B128" s="203" t="s">
        <v>148</v>
      </c>
      <c r="C128" s="204" t="s">
        <v>148</v>
      </c>
      <c r="D128" s="203" t="s">
        <v>500</v>
      </c>
      <c r="E128" s="205">
        <v>4368</v>
      </c>
    </row>
    <row r="129" spans="1:5" x14ac:dyDescent="0.25">
      <c r="A129" s="202">
        <v>2022</v>
      </c>
      <c r="B129" s="203" t="s">
        <v>149</v>
      </c>
      <c r="C129" s="204" t="s">
        <v>149</v>
      </c>
      <c r="D129" s="203" t="s">
        <v>501</v>
      </c>
      <c r="E129" s="205">
        <v>578</v>
      </c>
    </row>
    <row r="130" spans="1:5" x14ac:dyDescent="0.25">
      <c r="A130" s="202">
        <v>2022</v>
      </c>
      <c r="B130" s="203" t="s">
        <v>152</v>
      </c>
      <c r="C130" s="204" t="s">
        <v>152</v>
      </c>
      <c r="D130" s="203" t="s">
        <v>503</v>
      </c>
      <c r="E130" s="205">
        <v>1609</v>
      </c>
    </row>
    <row r="131" spans="1:5" x14ac:dyDescent="0.25">
      <c r="A131" s="202">
        <v>2022</v>
      </c>
      <c r="B131" s="203" t="s">
        <v>153</v>
      </c>
      <c r="C131" s="204" t="s">
        <v>153</v>
      </c>
      <c r="D131" s="203" t="s">
        <v>504</v>
      </c>
      <c r="E131" s="205">
        <v>1908</v>
      </c>
    </row>
    <row r="132" spans="1:5" x14ac:dyDescent="0.25">
      <c r="A132" s="202">
        <v>2022</v>
      </c>
      <c r="B132" s="203" t="s">
        <v>154</v>
      </c>
      <c r="C132" s="204" t="s">
        <v>154</v>
      </c>
      <c r="D132" s="203" t="s">
        <v>505</v>
      </c>
      <c r="E132" s="205">
        <v>5932</v>
      </c>
    </row>
    <row r="133" spans="1:5" x14ac:dyDescent="0.25">
      <c r="A133" s="202">
        <v>2022</v>
      </c>
      <c r="B133" s="203" t="s">
        <v>156</v>
      </c>
      <c r="C133" s="204" t="s">
        <v>156</v>
      </c>
      <c r="D133" s="203" t="s">
        <v>506</v>
      </c>
      <c r="E133" s="205">
        <v>0</v>
      </c>
    </row>
    <row r="134" spans="1:5" x14ac:dyDescent="0.25">
      <c r="A134" s="202">
        <v>2022</v>
      </c>
      <c r="B134" s="203" t="s">
        <v>157</v>
      </c>
      <c r="C134" s="204" t="s">
        <v>157</v>
      </c>
      <c r="D134" s="203" t="s">
        <v>507</v>
      </c>
      <c r="E134" s="205">
        <v>5283</v>
      </c>
    </row>
    <row r="135" spans="1:5" x14ac:dyDescent="0.25">
      <c r="A135" s="202">
        <v>2022</v>
      </c>
      <c r="B135" s="203" t="s">
        <v>158</v>
      </c>
      <c r="C135" s="204" t="s">
        <v>158</v>
      </c>
      <c r="D135" s="203" t="s">
        <v>508</v>
      </c>
      <c r="E135" s="205">
        <v>5698</v>
      </c>
    </row>
    <row r="136" spans="1:5" x14ac:dyDescent="0.25">
      <c r="A136" s="202">
        <v>2022</v>
      </c>
      <c r="B136" s="203" t="s">
        <v>159</v>
      </c>
      <c r="C136" s="204" t="s">
        <v>159</v>
      </c>
      <c r="D136" s="203" t="s">
        <v>509</v>
      </c>
      <c r="E136" s="205">
        <v>0</v>
      </c>
    </row>
    <row r="137" spans="1:5" x14ac:dyDescent="0.25">
      <c r="A137" s="202">
        <v>2022</v>
      </c>
      <c r="B137" s="203" t="s">
        <v>151</v>
      </c>
      <c r="C137" s="204" t="s">
        <v>151</v>
      </c>
      <c r="D137" s="203" t="s">
        <v>5</v>
      </c>
      <c r="E137" s="205">
        <v>1521</v>
      </c>
    </row>
    <row r="138" spans="1:5" x14ac:dyDescent="0.25">
      <c r="A138" s="202">
        <v>2022</v>
      </c>
      <c r="B138" s="203" t="s">
        <v>160</v>
      </c>
      <c r="C138" s="204" t="s">
        <v>160</v>
      </c>
      <c r="D138" s="203" t="s">
        <v>510</v>
      </c>
      <c r="E138" s="205">
        <v>3396</v>
      </c>
    </row>
    <row r="139" spans="1:5" x14ac:dyDescent="0.25">
      <c r="A139" s="202">
        <v>2022</v>
      </c>
      <c r="B139" s="203" t="s">
        <v>161</v>
      </c>
      <c r="C139" s="204" t="s">
        <v>161</v>
      </c>
      <c r="D139" s="203" t="s">
        <v>511</v>
      </c>
      <c r="E139" s="205">
        <v>1336</v>
      </c>
    </row>
    <row r="140" spans="1:5" x14ac:dyDescent="0.25">
      <c r="A140" s="202">
        <v>2022</v>
      </c>
      <c r="B140" s="203" t="s">
        <v>162</v>
      </c>
      <c r="C140" s="204" t="s">
        <v>162</v>
      </c>
      <c r="D140" s="203" t="s">
        <v>512</v>
      </c>
      <c r="E140" s="205">
        <v>679</v>
      </c>
    </row>
    <row r="141" spans="1:5" x14ac:dyDescent="0.25">
      <c r="A141" s="202">
        <v>2022</v>
      </c>
      <c r="B141" s="203" t="s">
        <v>163</v>
      </c>
      <c r="C141" s="204" t="s">
        <v>163</v>
      </c>
      <c r="D141" s="203" t="s">
        <v>513</v>
      </c>
      <c r="E141" s="205">
        <v>3307</v>
      </c>
    </row>
    <row r="142" spans="1:5" x14ac:dyDescent="0.25">
      <c r="A142" s="202">
        <v>2022</v>
      </c>
      <c r="B142" s="203" t="s">
        <v>170</v>
      </c>
      <c r="C142" s="204" t="s">
        <v>170</v>
      </c>
      <c r="D142" s="203" t="s">
        <v>520</v>
      </c>
      <c r="E142" s="205">
        <v>3507</v>
      </c>
    </row>
    <row r="143" spans="1:5" x14ac:dyDescent="0.25">
      <c r="A143" s="202">
        <v>2022</v>
      </c>
      <c r="B143" s="203" t="s">
        <v>164</v>
      </c>
      <c r="C143" s="204" t="s">
        <v>164</v>
      </c>
      <c r="D143" s="203" t="s">
        <v>514</v>
      </c>
      <c r="E143" s="205">
        <v>1133</v>
      </c>
    </row>
    <row r="144" spans="1:5" x14ac:dyDescent="0.25">
      <c r="A144" s="202">
        <v>2022</v>
      </c>
      <c r="B144" s="203" t="s">
        <v>165</v>
      </c>
      <c r="C144" s="204" t="s">
        <v>165</v>
      </c>
      <c r="D144" s="203" t="s">
        <v>515</v>
      </c>
      <c r="E144" s="205">
        <v>1775</v>
      </c>
    </row>
    <row r="145" spans="1:5" x14ac:dyDescent="0.25">
      <c r="A145" s="202">
        <v>2022</v>
      </c>
      <c r="B145" s="203" t="s">
        <v>166</v>
      </c>
      <c r="C145" s="204" t="s">
        <v>166</v>
      </c>
      <c r="D145" s="203" t="s">
        <v>516</v>
      </c>
      <c r="E145" s="205">
        <v>3694</v>
      </c>
    </row>
    <row r="146" spans="1:5" x14ac:dyDescent="0.25">
      <c r="A146" s="202">
        <v>2022</v>
      </c>
      <c r="B146" s="203" t="s">
        <v>167</v>
      </c>
      <c r="C146" s="204" t="s">
        <v>167</v>
      </c>
      <c r="D146" s="203" t="s">
        <v>517</v>
      </c>
      <c r="E146" s="205">
        <v>134892</v>
      </c>
    </row>
    <row r="147" spans="1:5" x14ac:dyDescent="0.25">
      <c r="A147" s="202">
        <v>2022</v>
      </c>
      <c r="B147" s="203" t="s">
        <v>168</v>
      </c>
      <c r="C147" s="204" t="s">
        <v>168</v>
      </c>
      <c r="D147" s="203" t="s">
        <v>518</v>
      </c>
      <c r="E147" s="205">
        <v>4597</v>
      </c>
    </row>
    <row r="148" spans="1:5" x14ac:dyDescent="0.25">
      <c r="A148" s="202">
        <v>2022</v>
      </c>
      <c r="B148" s="203" t="s">
        <v>169</v>
      </c>
      <c r="C148" s="204" t="s">
        <v>169</v>
      </c>
      <c r="D148" s="203" t="s">
        <v>519</v>
      </c>
      <c r="E148" s="205">
        <v>490</v>
      </c>
    </row>
    <row r="149" spans="1:5" x14ac:dyDescent="0.25">
      <c r="A149" s="202">
        <v>2022</v>
      </c>
      <c r="B149" s="203" t="s">
        <v>171</v>
      </c>
      <c r="C149" s="204" t="s">
        <v>171</v>
      </c>
      <c r="D149" s="203" t="s">
        <v>521</v>
      </c>
      <c r="E149" s="205">
        <v>630</v>
      </c>
    </row>
    <row r="150" spans="1:5" x14ac:dyDescent="0.25">
      <c r="A150" s="202">
        <v>2022</v>
      </c>
      <c r="B150" s="203" t="s">
        <v>173</v>
      </c>
      <c r="C150" s="204" t="s">
        <v>173</v>
      </c>
      <c r="D150" s="203" t="s">
        <v>523</v>
      </c>
      <c r="E150" s="205">
        <v>3467</v>
      </c>
    </row>
    <row r="151" spans="1:5" x14ac:dyDescent="0.25">
      <c r="A151" s="202">
        <v>2022</v>
      </c>
      <c r="B151" s="203" t="s">
        <v>174</v>
      </c>
      <c r="C151" s="204" t="s">
        <v>174</v>
      </c>
      <c r="D151" s="203" t="s">
        <v>524</v>
      </c>
      <c r="E151" s="205">
        <v>45056</v>
      </c>
    </row>
    <row r="152" spans="1:5" x14ac:dyDescent="0.25">
      <c r="A152" s="202">
        <v>2022</v>
      </c>
      <c r="B152" s="203" t="s">
        <v>175</v>
      </c>
      <c r="C152" s="204" t="s">
        <v>175</v>
      </c>
      <c r="D152" s="203" t="s">
        <v>525</v>
      </c>
      <c r="E152" s="205">
        <v>0</v>
      </c>
    </row>
    <row r="153" spans="1:5" x14ac:dyDescent="0.25">
      <c r="A153" s="202">
        <v>2022</v>
      </c>
      <c r="B153" s="203" t="s">
        <v>176</v>
      </c>
      <c r="C153" s="204" t="s">
        <v>176</v>
      </c>
      <c r="D153" s="203" t="s">
        <v>526</v>
      </c>
      <c r="E153" s="205">
        <v>0</v>
      </c>
    </row>
    <row r="154" spans="1:5" x14ac:dyDescent="0.25">
      <c r="A154" s="202">
        <v>2022</v>
      </c>
      <c r="B154" s="203" t="s">
        <v>177</v>
      </c>
      <c r="C154" s="204" t="s">
        <v>177</v>
      </c>
      <c r="D154" s="203" t="s">
        <v>527</v>
      </c>
      <c r="E154" s="205">
        <v>840</v>
      </c>
    </row>
    <row r="155" spans="1:5" x14ac:dyDescent="0.25">
      <c r="A155" s="202">
        <v>2022</v>
      </c>
      <c r="B155" s="203" t="s">
        <v>178</v>
      </c>
      <c r="C155" s="204" t="s">
        <v>178</v>
      </c>
      <c r="D155" s="203" t="s">
        <v>528</v>
      </c>
      <c r="E155" s="205">
        <v>3232</v>
      </c>
    </row>
    <row r="156" spans="1:5" x14ac:dyDescent="0.25">
      <c r="A156" s="202">
        <v>2022</v>
      </c>
      <c r="B156" s="203" t="s">
        <v>179</v>
      </c>
      <c r="C156" s="204" t="s">
        <v>179</v>
      </c>
      <c r="D156" s="203" t="s">
        <v>529</v>
      </c>
      <c r="E156" s="205">
        <v>2810</v>
      </c>
    </row>
    <row r="157" spans="1:5" x14ac:dyDescent="0.25">
      <c r="A157" s="202">
        <v>2022</v>
      </c>
      <c r="B157" s="203" t="s">
        <v>180</v>
      </c>
      <c r="C157" s="204" t="s">
        <v>180</v>
      </c>
      <c r="D157" s="203" t="s">
        <v>530</v>
      </c>
      <c r="E157" s="205">
        <v>0</v>
      </c>
    </row>
    <row r="158" spans="1:5" x14ac:dyDescent="0.25">
      <c r="A158" s="202">
        <v>2022</v>
      </c>
      <c r="B158" s="203" t="s">
        <v>181</v>
      </c>
      <c r="C158" s="204" t="s">
        <v>181</v>
      </c>
      <c r="D158" s="203" t="s">
        <v>531</v>
      </c>
      <c r="E158" s="205">
        <v>4226</v>
      </c>
    </row>
    <row r="159" spans="1:5" x14ac:dyDescent="0.25">
      <c r="A159" s="202">
        <v>2022</v>
      </c>
      <c r="B159" s="203" t="s">
        <v>182</v>
      </c>
      <c r="C159" s="204" t="s">
        <v>182</v>
      </c>
      <c r="D159" s="203" t="s">
        <v>532</v>
      </c>
      <c r="E159" s="205">
        <v>904</v>
      </c>
    </row>
    <row r="160" spans="1:5" x14ac:dyDescent="0.25">
      <c r="A160" s="202">
        <v>2022</v>
      </c>
      <c r="B160" s="203" t="s">
        <v>184</v>
      </c>
      <c r="C160" s="204" t="s">
        <v>184</v>
      </c>
      <c r="D160" s="203" t="s">
        <v>534</v>
      </c>
      <c r="E160" s="205">
        <v>0</v>
      </c>
    </row>
    <row r="161" spans="1:5" x14ac:dyDescent="0.25">
      <c r="A161" s="202">
        <v>2022</v>
      </c>
      <c r="B161" s="203" t="s">
        <v>185</v>
      </c>
      <c r="C161" s="204" t="s">
        <v>185</v>
      </c>
      <c r="D161" s="203" t="s">
        <v>535</v>
      </c>
      <c r="E161" s="205">
        <v>3518</v>
      </c>
    </row>
    <row r="162" spans="1:5" x14ac:dyDescent="0.25">
      <c r="A162" s="202">
        <v>2022</v>
      </c>
      <c r="B162" s="203" t="s">
        <v>186</v>
      </c>
      <c r="C162" s="204" t="s">
        <v>186</v>
      </c>
      <c r="D162" s="203" t="s">
        <v>536</v>
      </c>
      <c r="E162" s="205">
        <v>0</v>
      </c>
    </row>
    <row r="163" spans="1:5" x14ac:dyDescent="0.25">
      <c r="A163" s="202">
        <v>2022</v>
      </c>
      <c r="B163" s="203" t="s">
        <v>188</v>
      </c>
      <c r="C163" s="204" t="s">
        <v>188</v>
      </c>
      <c r="D163" s="203" t="s">
        <v>538</v>
      </c>
      <c r="E163" s="205">
        <v>41847</v>
      </c>
    </row>
    <row r="164" spans="1:5" x14ac:dyDescent="0.25">
      <c r="A164" s="202">
        <v>2022</v>
      </c>
      <c r="B164" s="203" t="s">
        <v>189</v>
      </c>
      <c r="C164" s="204" t="s">
        <v>189</v>
      </c>
      <c r="D164" s="203" t="s">
        <v>539</v>
      </c>
      <c r="E164" s="205">
        <v>2397</v>
      </c>
    </row>
    <row r="165" spans="1:5" x14ac:dyDescent="0.25">
      <c r="A165" s="202">
        <v>2022</v>
      </c>
      <c r="B165" s="203" t="s">
        <v>190</v>
      </c>
      <c r="C165" s="204" t="s">
        <v>190</v>
      </c>
      <c r="D165" s="203" t="s">
        <v>540</v>
      </c>
      <c r="E165" s="205">
        <v>3093</v>
      </c>
    </row>
    <row r="166" spans="1:5" x14ac:dyDescent="0.25">
      <c r="A166" s="202">
        <v>2022</v>
      </c>
      <c r="B166" s="203" t="s">
        <v>191</v>
      </c>
      <c r="C166" s="204" t="s">
        <v>191</v>
      </c>
      <c r="D166" s="203" t="s">
        <v>541</v>
      </c>
      <c r="E166" s="205">
        <v>0</v>
      </c>
    </row>
    <row r="167" spans="1:5" x14ac:dyDescent="0.25">
      <c r="A167" s="202">
        <v>2022</v>
      </c>
      <c r="B167" s="203" t="s">
        <v>192</v>
      </c>
      <c r="C167" s="204" t="s">
        <v>192</v>
      </c>
      <c r="D167" s="203" t="s">
        <v>542</v>
      </c>
      <c r="E167" s="205">
        <v>0</v>
      </c>
    </row>
    <row r="168" spans="1:5" x14ac:dyDescent="0.25">
      <c r="A168" s="202">
        <v>2022</v>
      </c>
      <c r="B168" s="203" t="s">
        <v>193</v>
      </c>
      <c r="C168" s="204" t="s">
        <v>193</v>
      </c>
      <c r="D168" s="203" t="s">
        <v>543</v>
      </c>
      <c r="E168" s="205">
        <v>4791</v>
      </c>
    </row>
    <row r="169" spans="1:5" x14ac:dyDescent="0.25">
      <c r="A169" s="202">
        <v>2022</v>
      </c>
      <c r="B169" s="203" t="s">
        <v>194</v>
      </c>
      <c r="C169" s="204" t="s">
        <v>194</v>
      </c>
      <c r="D169" s="203" t="s">
        <v>544</v>
      </c>
      <c r="E169" s="205">
        <v>1977</v>
      </c>
    </row>
    <row r="170" spans="1:5" x14ac:dyDescent="0.25">
      <c r="A170" s="202">
        <v>2022</v>
      </c>
      <c r="B170" s="203" t="s">
        <v>195</v>
      </c>
      <c r="C170" s="204" t="s">
        <v>195</v>
      </c>
      <c r="D170" s="203" t="s">
        <v>545</v>
      </c>
      <c r="E170" s="205">
        <v>0</v>
      </c>
    </row>
    <row r="171" spans="1:5" x14ac:dyDescent="0.25">
      <c r="A171" s="202">
        <v>2022</v>
      </c>
      <c r="B171" s="203" t="s">
        <v>197</v>
      </c>
      <c r="C171" s="204" t="s">
        <v>197</v>
      </c>
      <c r="D171" s="203" t="s">
        <v>547</v>
      </c>
      <c r="E171" s="205">
        <v>810</v>
      </c>
    </row>
    <row r="172" spans="1:5" x14ac:dyDescent="0.25">
      <c r="A172" s="202">
        <v>2022</v>
      </c>
      <c r="B172" s="203" t="s">
        <v>198</v>
      </c>
      <c r="C172" s="204" t="s">
        <v>198</v>
      </c>
      <c r="D172" s="203" t="s">
        <v>548</v>
      </c>
      <c r="E172" s="205">
        <v>827</v>
      </c>
    </row>
    <row r="173" spans="1:5" x14ac:dyDescent="0.25">
      <c r="A173" s="202">
        <v>2022</v>
      </c>
      <c r="B173" s="203" t="s">
        <v>199</v>
      </c>
      <c r="C173" s="204" t="s">
        <v>199</v>
      </c>
      <c r="D173" s="203" t="s">
        <v>549</v>
      </c>
      <c r="E173" s="205">
        <v>2398</v>
      </c>
    </row>
    <row r="174" spans="1:5" x14ac:dyDescent="0.25">
      <c r="A174" s="202">
        <v>2022</v>
      </c>
      <c r="B174" s="203" t="s">
        <v>200</v>
      </c>
      <c r="C174" s="204" t="s">
        <v>200</v>
      </c>
      <c r="D174" s="203" t="s">
        <v>550</v>
      </c>
      <c r="E174" s="205">
        <v>2204</v>
      </c>
    </row>
    <row r="175" spans="1:5" x14ac:dyDescent="0.25">
      <c r="A175" s="202">
        <v>2022</v>
      </c>
      <c r="B175" s="203" t="s">
        <v>201</v>
      </c>
      <c r="C175" s="204" t="s">
        <v>201</v>
      </c>
      <c r="D175" s="203" t="s">
        <v>551</v>
      </c>
      <c r="E175" s="205">
        <v>1877</v>
      </c>
    </row>
    <row r="176" spans="1:5" x14ac:dyDescent="0.25">
      <c r="A176" s="202">
        <v>2022</v>
      </c>
      <c r="B176" s="203" t="s">
        <v>202</v>
      </c>
      <c r="C176" s="204" t="s">
        <v>202</v>
      </c>
      <c r="D176" s="203" t="s">
        <v>552</v>
      </c>
      <c r="E176" s="205">
        <v>7813</v>
      </c>
    </row>
    <row r="177" spans="1:5" x14ac:dyDescent="0.25">
      <c r="A177" s="202">
        <v>2022</v>
      </c>
      <c r="B177" s="203" t="s">
        <v>203</v>
      </c>
      <c r="C177" s="204" t="s">
        <v>203</v>
      </c>
      <c r="D177" s="203" t="s">
        <v>553</v>
      </c>
      <c r="E177" s="205">
        <v>24826</v>
      </c>
    </row>
    <row r="178" spans="1:5" x14ac:dyDescent="0.25">
      <c r="A178" s="202">
        <v>2022</v>
      </c>
      <c r="B178" s="203" t="s">
        <v>204</v>
      </c>
      <c r="C178" s="204" t="s">
        <v>204</v>
      </c>
      <c r="D178" s="203" t="s">
        <v>554</v>
      </c>
      <c r="E178" s="205">
        <v>932</v>
      </c>
    </row>
    <row r="179" spans="1:5" x14ac:dyDescent="0.25">
      <c r="A179" s="202">
        <v>2022</v>
      </c>
      <c r="B179" s="203" t="s">
        <v>205</v>
      </c>
      <c r="C179" s="204" t="s">
        <v>205</v>
      </c>
      <c r="D179" s="203" t="s">
        <v>555</v>
      </c>
      <c r="E179" s="205">
        <v>48952</v>
      </c>
    </row>
    <row r="180" spans="1:5" x14ac:dyDescent="0.25">
      <c r="A180" s="202">
        <v>2022</v>
      </c>
      <c r="B180" s="203" t="s">
        <v>207</v>
      </c>
      <c r="C180" s="204" t="s">
        <v>207</v>
      </c>
      <c r="D180" s="203" t="s">
        <v>557</v>
      </c>
      <c r="E180" s="205">
        <v>1181</v>
      </c>
    </row>
    <row r="181" spans="1:5" x14ac:dyDescent="0.25">
      <c r="A181" s="202">
        <v>2022</v>
      </c>
      <c r="B181" s="203" t="s">
        <v>208</v>
      </c>
      <c r="C181" s="204" t="s">
        <v>208</v>
      </c>
      <c r="D181" s="203" t="s">
        <v>558</v>
      </c>
      <c r="E181" s="205">
        <v>0</v>
      </c>
    </row>
    <row r="182" spans="1:5" x14ac:dyDescent="0.25">
      <c r="A182" s="202">
        <v>2022</v>
      </c>
      <c r="B182" s="203" t="s">
        <v>212</v>
      </c>
      <c r="C182" s="204" t="s">
        <v>212</v>
      </c>
      <c r="D182" s="203" t="s">
        <v>562</v>
      </c>
      <c r="E182" s="205">
        <v>5207</v>
      </c>
    </row>
    <row r="183" spans="1:5" x14ac:dyDescent="0.25">
      <c r="A183" s="202">
        <v>2022</v>
      </c>
      <c r="B183" s="203" t="s">
        <v>209</v>
      </c>
      <c r="C183" s="204" t="s">
        <v>209</v>
      </c>
      <c r="D183" s="203" t="s">
        <v>559</v>
      </c>
      <c r="E183" s="205">
        <v>315</v>
      </c>
    </row>
    <row r="184" spans="1:5" x14ac:dyDescent="0.25">
      <c r="A184" s="202">
        <v>2022</v>
      </c>
      <c r="B184" s="203" t="s">
        <v>210</v>
      </c>
      <c r="C184" s="204" t="s">
        <v>210</v>
      </c>
      <c r="D184" s="203" t="s">
        <v>560</v>
      </c>
      <c r="E184" s="205">
        <v>3722</v>
      </c>
    </row>
    <row r="185" spans="1:5" x14ac:dyDescent="0.25">
      <c r="A185" s="202">
        <v>2022</v>
      </c>
      <c r="B185" s="203" t="s">
        <v>211</v>
      </c>
      <c r="C185" s="204" t="s">
        <v>211</v>
      </c>
      <c r="D185" s="203" t="s">
        <v>561</v>
      </c>
      <c r="E185" s="205">
        <v>2935</v>
      </c>
    </row>
    <row r="186" spans="1:5" x14ac:dyDescent="0.25">
      <c r="A186" s="202">
        <v>2022</v>
      </c>
      <c r="B186" s="203" t="s">
        <v>206</v>
      </c>
      <c r="C186" s="204" t="s">
        <v>206</v>
      </c>
      <c r="D186" s="203" t="s">
        <v>556</v>
      </c>
      <c r="E186" s="205">
        <v>1150</v>
      </c>
    </row>
    <row r="187" spans="1:5" x14ac:dyDescent="0.25">
      <c r="A187" s="202">
        <v>2022</v>
      </c>
      <c r="B187" s="203" t="s">
        <v>213</v>
      </c>
      <c r="C187" s="204" t="s">
        <v>213</v>
      </c>
      <c r="D187" s="203" t="s">
        <v>563</v>
      </c>
      <c r="E187" s="205">
        <v>0</v>
      </c>
    </row>
    <row r="188" spans="1:5" x14ac:dyDescent="0.25">
      <c r="A188" s="202">
        <v>2022</v>
      </c>
      <c r="B188" s="203" t="s">
        <v>214</v>
      </c>
      <c r="C188" s="204" t="s">
        <v>214</v>
      </c>
      <c r="D188" s="203" t="s">
        <v>564</v>
      </c>
      <c r="E188" s="205">
        <v>322</v>
      </c>
    </row>
    <row r="189" spans="1:5" x14ac:dyDescent="0.25">
      <c r="A189" s="202">
        <v>2022</v>
      </c>
      <c r="B189" s="203" t="s">
        <v>215</v>
      </c>
      <c r="C189" s="204" t="s">
        <v>215</v>
      </c>
      <c r="D189" s="203" t="s">
        <v>565</v>
      </c>
      <c r="E189" s="205">
        <v>22</v>
      </c>
    </row>
    <row r="190" spans="1:5" x14ac:dyDescent="0.25">
      <c r="A190" s="202">
        <v>2022</v>
      </c>
      <c r="B190" s="203" t="s">
        <v>216</v>
      </c>
      <c r="C190" s="204" t="s">
        <v>216</v>
      </c>
      <c r="D190" s="203" t="s">
        <v>566</v>
      </c>
      <c r="E190" s="205">
        <v>725</v>
      </c>
    </row>
    <row r="191" spans="1:5" x14ac:dyDescent="0.25">
      <c r="A191" s="202">
        <v>2022</v>
      </c>
      <c r="B191" s="203" t="s">
        <v>217</v>
      </c>
      <c r="C191" s="204" t="s">
        <v>217</v>
      </c>
      <c r="D191" s="203" t="s">
        <v>567</v>
      </c>
      <c r="E191" s="205">
        <v>2372</v>
      </c>
    </row>
    <row r="192" spans="1:5" x14ac:dyDescent="0.25">
      <c r="A192" s="202">
        <v>2022</v>
      </c>
      <c r="B192" s="203" t="s">
        <v>218</v>
      </c>
      <c r="C192" s="204" t="s">
        <v>218</v>
      </c>
      <c r="D192" s="203" t="s">
        <v>568</v>
      </c>
      <c r="E192" s="205">
        <v>0</v>
      </c>
    </row>
    <row r="193" spans="1:5" x14ac:dyDescent="0.25">
      <c r="A193" s="202">
        <v>2022</v>
      </c>
      <c r="B193" s="203" t="s">
        <v>219</v>
      </c>
      <c r="C193" s="204" t="s">
        <v>219</v>
      </c>
      <c r="D193" s="203" t="s">
        <v>569</v>
      </c>
      <c r="E193" s="205">
        <v>0</v>
      </c>
    </row>
    <row r="194" spans="1:5" x14ac:dyDescent="0.25">
      <c r="A194" s="202">
        <v>2022</v>
      </c>
      <c r="B194" s="203" t="s">
        <v>220</v>
      </c>
      <c r="C194" s="204" t="s">
        <v>220</v>
      </c>
      <c r="D194" s="203" t="s">
        <v>570</v>
      </c>
      <c r="E194" s="205">
        <v>4202</v>
      </c>
    </row>
    <row r="195" spans="1:5" x14ac:dyDescent="0.25">
      <c r="A195" s="202">
        <v>2022</v>
      </c>
      <c r="B195" s="203" t="s">
        <v>221</v>
      </c>
      <c r="C195" s="204" t="s">
        <v>221</v>
      </c>
      <c r="D195" s="203" t="s">
        <v>571</v>
      </c>
      <c r="E195" s="205">
        <v>6078</v>
      </c>
    </row>
    <row r="196" spans="1:5" x14ac:dyDescent="0.25">
      <c r="A196" s="202">
        <v>2022</v>
      </c>
      <c r="B196" s="203" t="s">
        <v>222</v>
      </c>
      <c r="C196" s="204" t="s">
        <v>222</v>
      </c>
      <c r="D196" s="203" t="s">
        <v>572</v>
      </c>
      <c r="E196" s="205">
        <v>0</v>
      </c>
    </row>
    <row r="197" spans="1:5" x14ac:dyDescent="0.25">
      <c r="A197" s="202">
        <v>2022</v>
      </c>
      <c r="B197" s="203" t="s">
        <v>223</v>
      </c>
      <c r="C197" s="204" t="s">
        <v>223</v>
      </c>
      <c r="D197" s="203" t="s">
        <v>573</v>
      </c>
      <c r="E197" s="205">
        <v>6706</v>
      </c>
    </row>
    <row r="198" spans="1:5" x14ac:dyDescent="0.25">
      <c r="A198" s="202">
        <v>2022</v>
      </c>
      <c r="B198" s="203" t="s">
        <v>224</v>
      </c>
      <c r="C198" s="204" t="s">
        <v>224</v>
      </c>
      <c r="D198" s="203" t="s">
        <v>574</v>
      </c>
      <c r="E198" s="205">
        <v>0</v>
      </c>
    </row>
    <row r="199" spans="1:5" x14ac:dyDescent="0.25">
      <c r="A199" s="202">
        <v>2022</v>
      </c>
      <c r="B199" s="203" t="s">
        <v>225</v>
      </c>
      <c r="C199" s="204" t="s">
        <v>225</v>
      </c>
      <c r="D199" s="203" t="s">
        <v>575</v>
      </c>
      <c r="E199" s="205">
        <v>3541</v>
      </c>
    </row>
    <row r="200" spans="1:5" x14ac:dyDescent="0.25">
      <c r="A200" s="202">
        <v>2022</v>
      </c>
      <c r="B200" s="203" t="s">
        <v>227</v>
      </c>
      <c r="C200" s="204" t="s">
        <v>227</v>
      </c>
      <c r="D200" s="203" t="s">
        <v>577</v>
      </c>
      <c r="E200" s="205">
        <v>4703</v>
      </c>
    </row>
    <row r="201" spans="1:5" x14ac:dyDescent="0.25">
      <c r="A201" s="202">
        <v>2022</v>
      </c>
      <c r="B201" s="203" t="s">
        <v>228</v>
      </c>
      <c r="C201" s="204" t="s">
        <v>228</v>
      </c>
      <c r="D201" s="203" t="s">
        <v>578</v>
      </c>
      <c r="E201" s="205">
        <v>1620</v>
      </c>
    </row>
    <row r="202" spans="1:5" x14ac:dyDescent="0.25">
      <c r="A202" s="202">
        <v>2022</v>
      </c>
      <c r="B202" s="203" t="s">
        <v>226</v>
      </c>
      <c r="C202" s="204" t="s">
        <v>226</v>
      </c>
      <c r="D202" s="203" t="s">
        <v>576</v>
      </c>
      <c r="E202" s="205">
        <v>1282</v>
      </c>
    </row>
    <row r="203" spans="1:5" x14ac:dyDescent="0.25">
      <c r="A203" s="202">
        <v>2022</v>
      </c>
      <c r="B203" s="203" t="s">
        <v>229</v>
      </c>
      <c r="C203" s="204" t="s">
        <v>229</v>
      </c>
      <c r="D203" s="203" t="s">
        <v>579</v>
      </c>
      <c r="E203" s="205">
        <v>0</v>
      </c>
    </row>
    <row r="204" spans="1:5" x14ac:dyDescent="0.25">
      <c r="A204" s="202">
        <v>2022</v>
      </c>
      <c r="B204" s="203" t="s">
        <v>144</v>
      </c>
      <c r="C204" s="204" t="s">
        <v>144</v>
      </c>
      <c r="D204" s="203" t="s">
        <v>497</v>
      </c>
      <c r="E204" s="205">
        <v>4141</v>
      </c>
    </row>
    <row r="205" spans="1:5" x14ac:dyDescent="0.25">
      <c r="A205" s="202">
        <v>2022</v>
      </c>
      <c r="B205" s="203" t="s">
        <v>30</v>
      </c>
      <c r="C205" s="204" t="s">
        <v>30</v>
      </c>
      <c r="D205" s="203" t="s">
        <v>390</v>
      </c>
      <c r="E205" s="205">
        <v>3858</v>
      </c>
    </row>
    <row r="206" spans="1:5" x14ac:dyDescent="0.25">
      <c r="A206" s="202">
        <v>2022</v>
      </c>
      <c r="B206" s="203" t="s">
        <v>187</v>
      </c>
      <c r="C206" s="204" t="s">
        <v>187</v>
      </c>
      <c r="D206" s="203" t="s">
        <v>537</v>
      </c>
      <c r="E206" s="205">
        <v>4157</v>
      </c>
    </row>
    <row r="207" spans="1:5" x14ac:dyDescent="0.25">
      <c r="A207" s="202">
        <v>2022</v>
      </c>
      <c r="B207" s="203" t="s">
        <v>232</v>
      </c>
      <c r="C207" s="204" t="s">
        <v>232</v>
      </c>
      <c r="D207" s="203" t="s">
        <v>801</v>
      </c>
      <c r="E207" s="205">
        <v>3894</v>
      </c>
    </row>
    <row r="208" spans="1:5" x14ac:dyDescent="0.25">
      <c r="A208" s="202">
        <v>2022</v>
      </c>
      <c r="B208" s="203" t="s">
        <v>60</v>
      </c>
      <c r="C208" s="204" t="s">
        <v>60</v>
      </c>
      <c r="D208" s="203" t="s">
        <v>415</v>
      </c>
      <c r="E208" s="205">
        <v>2504</v>
      </c>
    </row>
    <row r="209" spans="1:5" x14ac:dyDescent="0.25">
      <c r="A209" s="202">
        <v>2022</v>
      </c>
      <c r="B209" s="203" t="s">
        <v>236</v>
      </c>
      <c r="C209" s="204" t="s">
        <v>236</v>
      </c>
      <c r="D209" s="203" t="s">
        <v>584</v>
      </c>
      <c r="E209" s="205">
        <v>2137</v>
      </c>
    </row>
    <row r="210" spans="1:5" x14ac:dyDescent="0.25">
      <c r="A210" s="202">
        <v>2022</v>
      </c>
      <c r="B210" s="203" t="s">
        <v>235</v>
      </c>
      <c r="C210" s="204" t="s">
        <v>235</v>
      </c>
      <c r="D210" s="203" t="s">
        <v>583</v>
      </c>
      <c r="E210" s="205">
        <v>0</v>
      </c>
    </row>
    <row r="211" spans="1:5" x14ac:dyDescent="0.25">
      <c r="A211" s="202">
        <v>2022</v>
      </c>
      <c r="B211" s="203" t="s">
        <v>234</v>
      </c>
      <c r="C211" s="204" t="s">
        <v>234</v>
      </c>
      <c r="D211" s="203" t="s">
        <v>582</v>
      </c>
      <c r="E211" s="205">
        <v>2797</v>
      </c>
    </row>
    <row r="212" spans="1:5" x14ac:dyDescent="0.25">
      <c r="A212" s="202">
        <v>2022</v>
      </c>
      <c r="B212" s="203" t="s">
        <v>237</v>
      </c>
      <c r="C212" s="204" t="s">
        <v>237</v>
      </c>
      <c r="D212" s="203" t="s">
        <v>585</v>
      </c>
      <c r="E212" s="205">
        <v>11096</v>
      </c>
    </row>
    <row r="213" spans="1:5" x14ac:dyDescent="0.25">
      <c r="A213" s="202">
        <v>2022</v>
      </c>
      <c r="B213" s="203" t="s">
        <v>238</v>
      </c>
      <c r="C213" s="204" t="s">
        <v>238</v>
      </c>
      <c r="D213" s="203" t="s">
        <v>586</v>
      </c>
      <c r="E213" s="205">
        <v>5451</v>
      </c>
    </row>
    <row r="214" spans="1:5" x14ac:dyDescent="0.25">
      <c r="A214" s="202">
        <v>2022</v>
      </c>
      <c r="B214" s="203" t="s">
        <v>239</v>
      </c>
      <c r="C214" s="204" t="s">
        <v>239</v>
      </c>
      <c r="D214" s="203" t="s">
        <v>587</v>
      </c>
      <c r="E214" s="205">
        <v>0</v>
      </c>
    </row>
    <row r="215" spans="1:5" x14ac:dyDescent="0.25">
      <c r="A215" s="202">
        <v>2022</v>
      </c>
      <c r="B215" s="203" t="s">
        <v>37</v>
      </c>
      <c r="C215" s="204" t="s">
        <v>37</v>
      </c>
      <c r="D215" s="203" t="s">
        <v>396</v>
      </c>
      <c r="E215" s="205">
        <v>2575</v>
      </c>
    </row>
    <row r="216" spans="1:5" x14ac:dyDescent="0.25">
      <c r="A216" s="202">
        <v>2022</v>
      </c>
      <c r="B216" s="203" t="s">
        <v>231</v>
      </c>
      <c r="C216" s="204" t="s">
        <v>231</v>
      </c>
      <c r="D216" s="203" t="s">
        <v>581</v>
      </c>
      <c r="E216" s="205">
        <v>7159</v>
      </c>
    </row>
    <row r="217" spans="1:5" x14ac:dyDescent="0.25">
      <c r="A217" s="202">
        <v>2022</v>
      </c>
      <c r="B217" s="203" t="s">
        <v>241</v>
      </c>
      <c r="C217" s="204" t="s">
        <v>241</v>
      </c>
      <c r="D217" s="203" t="s">
        <v>588</v>
      </c>
      <c r="E217" s="205">
        <v>0</v>
      </c>
    </row>
    <row r="218" spans="1:5" x14ac:dyDescent="0.25">
      <c r="A218" s="202">
        <v>2022</v>
      </c>
      <c r="B218" s="203" t="s">
        <v>242</v>
      </c>
      <c r="C218" s="204" t="s">
        <v>242</v>
      </c>
      <c r="D218" s="203" t="s">
        <v>589</v>
      </c>
      <c r="E218" s="205">
        <v>12190</v>
      </c>
    </row>
    <row r="219" spans="1:5" x14ac:dyDescent="0.25">
      <c r="A219" s="202">
        <v>2022</v>
      </c>
      <c r="B219" s="203" t="s">
        <v>244</v>
      </c>
      <c r="C219" s="204" t="s">
        <v>244</v>
      </c>
      <c r="D219" s="203" t="s">
        <v>816</v>
      </c>
      <c r="E219" s="205">
        <v>130</v>
      </c>
    </row>
    <row r="220" spans="1:5" x14ac:dyDescent="0.25">
      <c r="A220" s="202">
        <v>2022</v>
      </c>
      <c r="B220" s="203" t="s">
        <v>245</v>
      </c>
      <c r="C220" s="204" t="s">
        <v>245</v>
      </c>
      <c r="D220" s="203" t="s">
        <v>591</v>
      </c>
      <c r="E220" s="205">
        <v>1257</v>
      </c>
    </row>
    <row r="221" spans="1:5" x14ac:dyDescent="0.25">
      <c r="A221" s="202">
        <v>2022</v>
      </c>
      <c r="B221" s="203" t="s">
        <v>246</v>
      </c>
      <c r="C221" s="204" t="s">
        <v>246</v>
      </c>
      <c r="D221" s="203" t="s">
        <v>592</v>
      </c>
      <c r="E221" s="205">
        <v>604</v>
      </c>
    </row>
    <row r="222" spans="1:5" x14ac:dyDescent="0.25">
      <c r="A222" s="202">
        <v>2022</v>
      </c>
      <c r="B222" s="203" t="s">
        <v>247</v>
      </c>
      <c r="C222" s="204" t="s">
        <v>247</v>
      </c>
      <c r="D222" s="203" t="s">
        <v>593</v>
      </c>
      <c r="E222" s="205">
        <v>6237</v>
      </c>
    </row>
    <row r="223" spans="1:5" x14ac:dyDescent="0.25">
      <c r="A223" s="202">
        <v>2022</v>
      </c>
      <c r="B223" s="203" t="s">
        <v>248</v>
      </c>
      <c r="C223" s="204" t="s">
        <v>248</v>
      </c>
      <c r="D223" s="203" t="s">
        <v>594</v>
      </c>
      <c r="E223" s="205">
        <v>2407</v>
      </c>
    </row>
    <row r="224" spans="1:5" x14ac:dyDescent="0.25">
      <c r="A224" s="202">
        <v>2022</v>
      </c>
      <c r="B224" s="203" t="s">
        <v>249</v>
      </c>
      <c r="C224" s="204" t="s">
        <v>249</v>
      </c>
      <c r="D224" s="203" t="s">
        <v>595</v>
      </c>
      <c r="E224" s="205">
        <v>2398</v>
      </c>
    </row>
    <row r="225" spans="1:5" x14ac:dyDescent="0.25">
      <c r="A225" s="202">
        <v>2022</v>
      </c>
      <c r="B225" s="203" t="s">
        <v>250</v>
      </c>
      <c r="C225" s="204" t="s">
        <v>250</v>
      </c>
      <c r="D225" s="203" t="s">
        <v>596</v>
      </c>
      <c r="E225" s="205">
        <v>3150</v>
      </c>
    </row>
    <row r="226" spans="1:5" x14ac:dyDescent="0.25">
      <c r="A226" s="202">
        <v>2022</v>
      </c>
      <c r="B226" s="203" t="s">
        <v>251</v>
      </c>
      <c r="C226" s="204" t="s">
        <v>251</v>
      </c>
      <c r="D226" s="203" t="s">
        <v>597</v>
      </c>
      <c r="E226" s="205">
        <v>0</v>
      </c>
    </row>
    <row r="227" spans="1:5" x14ac:dyDescent="0.25">
      <c r="A227" s="202">
        <v>2022</v>
      </c>
      <c r="B227" s="203" t="s">
        <v>252</v>
      </c>
      <c r="C227" s="204" t="s">
        <v>252</v>
      </c>
      <c r="D227" s="203" t="s">
        <v>598</v>
      </c>
      <c r="E227" s="205">
        <v>0</v>
      </c>
    </row>
    <row r="228" spans="1:5" x14ac:dyDescent="0.25">
      <c r="A228" s="202">
        <v>2022</v>
      </c>
      <c r="B228" s="203" t="s">
        <v>253</v>
      </c>
      <c r="C228" s="204" t="s">
        <v>253</v>
      </c>
      <c r="D228" s="203" t="s">
        <v>599</v>
      </c>
      <c r="E228" s="205">
        <v>3455</v>
      </c>
    </row>
    <row r="229" spans="1:5" x14ac:dyDescent="0.25">
      <c r="A229" s="202">
        <v>2022</v>
      </c>
      <c r="B229" s="203" t="s">
        <v>254</v>
      </c>
      <c r="C229" s="204" t="s">
        <v>254</v>
      </c>
      <c r="D229" s="203" t="s">
        <v>600</v>
      </c>
      <c r="E229" s="205">
        <v>766</v>
      </c>
    </row>
    <row r="230" spans="1:5" x14ac:dyDescent="0.25">
      <c r="A230" s="202">
        <v>2022</v>
      </c>
      <c r="B230" s="203" t="s">
        <v>263</v>
      </c>
      <c r="C230" s="204" t="s">
        <v>700</v>
      </c>
      <c r="D230" s="203" t="s">
        <v>6</v>
      </c>
      <c r="E230" s="205">
        <v>3374</v>
      </c>
    </row>
    <row r="231" spans="1:5" x14ac:dyDescent="0.25">
      <c r="A231" s="202">
        <v>2022</v>
      </c>
      <c r="B231" s="203" t="s">
        <v>256</v>
      </c>
      <c r="C231" s="204" t="s">
        <v>256</v>
      </c>
      <c r="D231" s="203" t="s">
        <v>602</v>
      </c>
      <c r="E231" s="205">
        <v>4442</v>
      </c>
    </row>
    <row r="232" spans="1:5" x14ac:dyDescent="0.25">
      <c r="A232" s="202">
        <v>2022</v>
      </c>
      <c r="B232" s="203" t="s">
        <v>257</v>
      </c>
      <c r="C232" s="204" t="s">
        <v>257</v>
      </c>
      <c r="D232" s="203" t="s">
        <v>603</v>
      </c>
      <c r="E232" s="205">
        <v>6590</v>
      </c>
    </row>
    <row r="233" spans="1:5" x14ac:dyDescent="0.25">
      <c r="A233" s="202">
        <v>2022</v>
      </c>
      <c r="B233" s="203" t="s">
        <v>258</v>
      </c>
      <c r="C233" s="204" t="s">
        <v>258</v>
      </c>
      <c r="D233" s="203" t="s">
        <v>604</v>
      </c>
      <c r="E233" s="205">
        <v>16432</v>
      </c>
    </row>
    <row r="234" spans="1:5" x14ac:dyDescent="0.25">
      <c r="A234" s="202">
        <v>2022</v>
      </c>
      <c r="B234" s="203" t="s">
        <v>259</v>
      </c>
      <c r="C234" s="204" t="s">
        <v>259</v>
      </c>
      <c r="D234" s="203" t="s">
        <v>605</v>
      </c>
      <c r="E234" s="205">
        <v>10369</v>
      </c>
    </row>
    <row r="235" spans="1:5" x14ac:dyDescent="0.25">
      <c r="A235" s="202">
        <v>2022</v>
      </c>
      <c r="B235" s="203" t="s">
        <v>260</v>
      </c>
      <c r="C235" s="204" t="s">
        <v>260</v>
      </c>
      <c r="D235" s="203" t="s">
        <v>606</v>
      </c>
      <c r="E235" s="205">
        <v>3495</v>
      </c>
    </row>
    <row r="236" spans="1:5" x14ac:dyDescent="0.25">
      <c r="A236" s="202">
        <v>2022</v>
      </c>
      <c r="B236" s="203" t="s">
        <v>261</v>
      </c>
      <c r="C236" s="204" t="s">
        <v>261</v>
      </c>
      <c r="D236" s="203" t="s">
        <v>607</v>
      </c>
      <c r="E236" s="205">
        <v>2436</v>
      </c>
    </row>
    <row r="237" spans="1:5" x14ac:dyDescent="0.25">
      <c r="A237" s="202">
        <v>2022</v>
      </c>
      <c r="B237" s="203" t="s">
        <v>262</v>
      </c>
      <c r="C237" s="204" t="s">
        <v>262</v>
      </c>
      <c r="D237" s="203" t="s">
        <v>608</v>
      </c>
      <c r="E237" s="205">
        <v>1306</v>
      </c>
    </row>
    <row r="238" spans="1:5" x14ac:dyDescent="0.25">
      <c r="A238" s="202">
        <v>2022</v>
      </c>
      <c r="B238" s="203" t="s">
        <v>264</v>
      </c>
      <c r="C238" s="204" t="s">
        <v>701</v>
      </c>
      <c r="D238" s="203" t="s">
        <v>609</v>
      </c>
      <c r="E238" s="205">
        <v>3725</v>
      </c>
    </row>
    <row r="239" spans="1:5" x14ac:dyDescent="0.25">
      <c r="A239" s="202">
        <v>2022</v>
      </c>
      <c r="B239" s="203" t="s">
        <v>265</v>
      </c>
      <c r="C239" s="204" t="s">
        <v>265</v>
      </c>
      <c r="D239" s="203" t="s">
        <v>610</v>
      </c>
      <c r="E239" s="205">
        <v>0</v>
      </c>
    </row>
    <row r="240" spans="1:5" x14ac:dyDescent="0.25">
      <c r="A240" s="202">
        <v>2022</v>
      </c>
      <c r="B240" s="203" t="s">
        <v>266</v>
      </c>
      <c r="C240" s="204" t="s">
        <v>266</v>
      </c>
      <c r="D240" s="203" t="s">
        <v>611</v>
      </c>
      <c r="E240" s="205">
        <v>2056</v>
      </c>
    </row>
    <row r="241" spans="1:5" x14ac:dyDescent="0.25">
      <c r="A241" s="202">
        <v>2022</v>
      </c>
      <c r="B241" s="203" t="s">
        <v>267</v>
      </c>
      <c r="C241" s="204" t="s">
        <v>267</v>
      </c>
      <c r="D241" s="203" t="s">
        <v>612</v>
      </c>
      <c r="E241" s="205">
        <v>411</v>
      </c>
    </row>
    <row r="242" spans="1:5" x14ac:dyDescent="0.25">
      <c r="A242" s="202">
        <v>2022</v>
      </c>
      <c r="B242" s="203" t="s">
        <v>122</v>
      </c>
      <c r="C242" s="204" t="s">
        <v>122</v>
      </c>
      <c r="D242" s="203" t="s">
        <v>475</v>
      </c>
      <c r="E242" s="205">
        <v>0</v>
      </c>
    </row>
    <row r="243" spans="1:5" x14ac:dyDescent="0.25">
      <c r="A243" s="202">
        <v>2022</v>
      </c>
      <c r="B243" s="203" t="s">
        <v>243</v>
      </c>
      <c r="C243" s="204" t="s">
        <v>698</v>
      </c>
      <c r="D243" s="203" t="s">
        <v>590</v>
      </c>
      <c r="E243" s="205">
        <v>9575</v>
      </c>
    </row>
    <row r="244" spans="1:5" x14ac:dyDescent="0.25">
      <c r="A244" s="202">
        <v>2022</v>
      </c>
      <c r="B244" s="203" t="s">
        <v>268</v>
      </c>
      <c r="C244" s="204" t="s">
        <v>268</v>
      </c>
      <c r="D244" s="203" t="s">
        <v>613</v>
      </c>
      <c r="E244" s="205">
        <v>1074</v>
      </c>
    </row>
    <row r="245" spans="1:5" x14ac:dyDescent="0.25">
      <c r="A245" s="202">
        <v>2022</v>
      </c>
      <c r="B245" s="203" t="s">
        <v>269</v>
      </c>
      <c r="C245" s="204" t="s">
        <v>269</v>
      </c>
      <c r="D245" s="203" t="s">
        <v>614</v>
      </c>
      <c r="E245" s="205">
        <v>4088</v>
      </c>
    </row>
    <row r="246" spans="1:5" x14ac:dyDescent="0.25">
      <c r="A246" s="202">
        <v>2022</v>
      </c>
      <c r="B246" s="203" t="s">
        <v>270</v>
      </c>
      <c r="C246" s="204" t="s">
        <v>270</v>
      </c>
      <c r="D246" s="203" t="s">
        <v>615</v>
      </c>
      <c r="E246" s="205">
        <v>948</v>
      </c>
    </row>
    <row r="247" spans="1:5" x14ac:dyDescent="0.25">
      <c r="A247" s="202">
        <v>2022</v>
      </c>
      <c r="B247" s="203" t="s">
        <v>271</v>
      </c>
      <c r="C247" s="204" t="s">
        <v>271</v>
      </c>
      <c r="D247" s="203" t="s">
        <v>616</v>
      </c>
      <c r="E247" s="205">
        <v>271</v>
      </c>
    </row>
    <row r="248" spans="1:5" x14ac:dyDescent="0.25">
      <c r="A248" s="202">
        <v>2022</v>
      </c>
      <c r="B248" s="203" t="s">
        <v>273</v>
      </c>
      <c r="C248" s="204" t="s">
        <v>273</v>
      </c>
      <c r="D248" s="203" t="s">
        <v>618</v>
      </c>
      <c r="E248" s="205">
        <v>7552</v>
      </c>
    </row>
    <row r="249" spans="1:5" x14ac:dyDescent="0.25">
      <c r="A249" s="202">
        <v>2022</v>
      </c>
      <c r="B249" s="203" t="s">
        <v>274</v>
      </c>
      <c r="C249" s="204" t="s">
        <v>274</v>
      </c>
      <c r="D249" s="203" t="s">
        <v>619</v>
      </c>
      <c r="E249" s="205">
        <v>176</v>
      </c>
    </row>
    <row r="250" spans="1:5" x14ac:dyDescent="0.25">
      <c r="A250" s="202">
        <v>2022</v>
      </c>
      <c r="B250" s="203" t="s">
        <v>275</v>
      </c>
      <c r="C250" s="204" t="s">
        <v>275</v>
      </c>
      <c r="D250" s="203" t="s">
        <v>620</v>
      </c>
      <c r="E250" s="205">
        <v>1803</v>
      </c>
    </row>
    <row r="251" spans="1:5" x14ac:dyDescent="0.25">
      <c r="A251" s="202">
        <v>2022</v>
      </c>
      <c r="B251" s="203" t="s">
        <v>276</v>
      </c>
      <c r="C251" s="204" t="s">
        <v>276</v>
      </c>
      <c r="D251" s="203" t="s">
        <v>621</v>
      </c>
      <c r="E251" s="205">
        <v>3386</v>
      </c>
    </row>
    <row r="252" spans="1:5" x14ac:dyDescent="0.25">
      <c r="A252" s="202">
        <v>2022</v>
      </c>
      <c r="B252" s="203" t="s">
        <v>277</v>
      </c>
      <c r="C252" s="204" t="s">
        <v>277</v>
      </c>
      <c r="D252" s="203" t="s">
        <v>622</v>
      </c>
      <c r="E252" s="205">
        <v>0</v>
      </c>
    </row>
    <row r="253" spans="1:5" x14ac:dyDescent="0.25">
      <c r="A253" s="202">
        <v>2022</v>
      </c>
      <c r="B253" s="203" t="s">
        <v>279</v>
      </c>
      <c r="C253" s="204" t="s">
        <v>279</v>
      </c>
      <c r="D253" s="203" t="s">
        <v>624</v>
      </c>
      <c r="E253" s="205">
        <v>2249</v>
      </c>
    </row>
    <row r="254" spans="1:5" x14ac:dyDescent="0.25">
      <c r="A254" s="202">
        <v>2022</v>
      </c>
      <c r="B254" s="203" t="s">
        <v>280</v>
      </c>
      <c r="C254" s="204" t="s">
        <v>280</v>
      </c>
      <c r="D254" s="203" t="s">
        <v>625</v>
      </c>
      <c r="E254" s="205">
        <v>3622</v>
      </c>
    </row>
    <row r="255" spans="1:5" x14ac:dyDescent="0.25">
      <c r="A255" s="202">
        <v>2022</v>
      </c>
      <c r="B255" s="203" t="s">
        <v>281</v>
      </c>
      <c r="C255" s="204" t="s">
        <v>281</v>
      </c>
      <c r="D255" s="203" t="s">
        <v>626</v>
      </c>
      <c r="E255" s="205">
        <v>1213</v>
      </c>
    </row>
    <row r="256" spans="1:5" x14ac:dyDescent="0.25">
      <c r="A256" s="202">
        <v>2022</v>
      </c>
      <c r="B256" s="203" t="s">
        <v>282</v>
      </c>
      <c r="C256" s="204" t="s">
        <v>282</v>
      </c>
      <c r="D256" s="203" t="s">
        <v>627</v>
      </c>
      <c r="E256" s="205">
        <v>746</v>
      </c>
    </row>
    <row r="257" spans="1:5" x14ac:dyDescent="0.25">
      <c r="A257" s="202">
        <v>2022</v>
      </c>
      <c r="B257" s="203" t="s">
        <v>283</v>
      </c>
      <c r="C257" s="204" t="s">
        <v>283</v>
      </c>
      <c r="D257" s="203" t="s">
        <v>628</v>
      </c>
      <c r="E257" s="205">
        <v>260</v>
      </c>
    </row>
    <row r="258" spans="1:5" x14ac:dyDescent="0.25">
      <c r="A258" s="202">
        <v>2022</v>
      </c>
      <c r="B258" s="203" t="s">
        <v>284</v>
      </c>
      <c r="C258" s="204" t="s">
        <v>284</v>
      </c>
      <c r="D258" s="203" t="s">
        <v>629</v>
      </c>
      <c r="E258" s="205">
        <v>442</v>
      </c>
    </row>
    <row r="259" spans="1:5" x14ac:dyDescent="0.25">
      <c r="A259" s="202">
        <v>2022</v>
      </c>
      <c r="B259" s="203" t="s">
        <v>286</v>
      </c>
      <c r="C259" s="204" t="s">
        <v>702</v>
      </c>
      <c r="D259" s="203" t="s">
        <v>631</v>
      </c>
      <c r="E259" s="205">
        <v>0</v>
      </c>
    </row>
    <row r="260" spans="1:5" x14ac:dyDescent="0.25">
      <c r="A260" s="202">
        <v>2022</v>
      </c>
      <c r="B260" s="203" t="s">
        <v>285</v>
      </c>
      <c r="C260" s="204" t="s">
        <v>285</v>
      </c>
      <c r="D260" s="203" t="s">
        <v>630</v>
      </c>
      <c r="E260" s="205">
        <v>16295</v>
      </c>
    </row>
    <row r="261" spans="1:5" x14ac:dyDescent="0.25">
      <c r="A261" s="202">
        <v>2022</v>
      </c>
      <c r="B261" s="203" t="s">
        <v>288</v>
      </c>
      <c r="C261" s="204" t="s">
        <v>288</v>
      </c>
      <c r="D261" s="203" t="s">
        <v>633</v>
      </c>
      <c r="E261" s="205">
        <v>2850</v>
      </c>
    </row>
    <row r="262" spans="1:5" x14ac:dyDescent="0.25">
      <c r="A262" s="202">
        <v>2022</v>
      </c>
      <c r="B262" s="203" t="s">
        <v>287</v>
      </c>
      <c r="C262" s="204" t="s">
        <v>287</v>
      </c>
      <c r="D262" s="203" t="s">
        <v>632</v>
      </c>
      <c r="E262" s="205">
        <v>2485</v>
      </c>
    </row>
    <row r="263" spans="1:5" x14ac:dyDescent="0.25">
      <c r="A263" s="202">
        <v>2022</v>
      </c>
      <c r="B263" s="203" t="s">
        <v>290</v>
      </c>
      <c r="C263" s="204" t="s">
        <v>290</v>
      </c>
      <c r="D263" s="203" t="s">
        <v>635</v>
      </c>
      <c r="E263" s="205">
        <v>1490</v>
      </c>
    </row>
    <row r="264" spans="1:5" x14ac:dyDescent="0.25">
      <c r="A264" s="202">
        <v>2022</v>
      </c>
      <c r="B264" s="203" t="s">
        <v>255</v>
      </c>
      <c r="C264" s="204" t="s">
        <v>699</v>
      </c>
      <c r="D264" s="203" t="s">
        <v>601</v>
      </c>
      <c r="E264" s="205">
        <v>3016</v>
      </c>
    </row>
    <row r="265" spans="1:5" x14ac:dyDescent="0.25">
      <c r="A265" s="202">
        <v>2022</v>
      </c>
      <c r="B265" s="203" t="s">
        <v>292</v>
      </c>
      <c r="C265" s="204" t="s">
        <v>292</v>
      </c>
      <c r="D265" s="203" t="s">
        <v>637</v>
      </c>
      <c r="E265" s="205">
        <v>376</v>
      </c>
    </row>
    <row r="266" spans="1:5" x14ac:dyDescent="0.25">
      <c r="A266" s="202">
        <v>2022</v>
      </c>
      <c r="B266" s="203" t="s">
        <v>293</v>
      </c>
      <c r="C266" s="204" t="s">
        <v>293</v>
      </c>
      <c r="D266" s="203" t="s">
        <v>638</v>
      </c>
      <c r="E266" s="205">
        <v>0</v>
      </c>
    </row>
    <row r="267" spans="1:5" x14ac:dyDescent="0.25">
      <c r="A267" s="202">
        <v>2022</v>
      </c>
      <c r="B267" s="203" t="s">
        <v>294</v>
      </c>
      <c r="C267" s="204" t="s">
        <v>294</v>
      </c>
      <c r="D267" s="203" t="s">
        <v>639</v>
      </c>
      <c r="E267" s="205">
        <v>3179</v>
      </c>
    </row>
    <row r="268" spans="1:5" x14ac:dyDescent="0.25">
      <c r="A268" s="202">
        <v>2022</v>
      </c>
      <c r="B268" s="203" t="s">
        <v>295</v>
      </c>
      <c r="C268" s="204" t="s">
        <v>295</v>
      </c>
      <c r="D268" s="203" t="s">
        <v>640</v>
      </c>
      <c r="E268" s="205">
        <v>34450</v>
      </c>
    </row>
    <row r="269" spans="1:5" x14ac:dyDescent="0.25">
      <c r="A269" s="202">
        <v>2022</v>
      </c>
      <c r="B269" s="203" t="s">
        <v>289</v>
      </c>
      <c r="C269" s="204" t="s">
        <v>289</v>
      </c>
      <c r="D269" s="203" t="s">
        <v>634</v>
      </c>
      <c r="E269" s="205">
        <v>1826</v>
      </c>
    </row>
    <row r="270" spans="1:5" x14ac:dyDescent="0.25">
      <c r="A270" s="202">
        <v>2022</v>
      </c>
      <c r="B270" s="203" t="s">
        <v>291</v>
      </c>
      <c r="C270" s="204" t="s">
        <v>291</v>
      </c>
      <c r="D270" s="203" t="s">
        <v>636</v>
      </c>
      <c r="E270" s="205">
        <v>3461</v>
      </c>
    </row>
    <row r="271" spans="1:5" x14ac:dyDescent="0.25">
      <c r="A271" s="202">
        <v>2022</v>
      </c>
      <c r="B271" s="203" t="s">
        <v>296</v>
      </c>
      <c r="C271" s="204" t="s">
        <v>296</v>
      </c>
      <c r="D271" s="203" t="s">
        <v>641</v>
      </c>
      <c r="E271" s="205">
        <v>6421</v>
      </c>
    </row>
    <row r="272" spans="1:5" x14ac:dyDescent="0.25">
      <c r="A272" s="202">
        <v>2022</v>
      </c>
      <c r="B272" s="203" t="s">
        <v>297</v>
      </c>
      <c r="C272" s="204" t="s">
        <v>297</v>
      </c>
      <c r="D272" s="203" t="s">
        <v>642</v>
      </c>
      <c r="E272" s="205">
        <v>6618</v>
      </c>
    </row>
    <row r="273" spans="1:5" x14ac:dyDescent="0.25">
      <c r="A273" s="202">
        <v>2022</v>
      </c>
      <c r="B273" s="203" t="s">
        <v>298</v>
      </c>
      <c r="C273" s="204" t="s">
        <v>298</v>
      </c>
      <c r="D273" s="203" t="s">
        <v>643</v>
      </c>
      <c r="E273" s="205">
        <v>0</v>
      </c>
    </row>
    <row r="274" spans="1:5" x14ac:dyDescent="0.25">
      <c r="A274" s="202">
        <v>2022</v>
      </c>
      <c r="B274" s="203" t="s">
        <v>272</v>
      </c>
      <c r="C274" s="204" t="s">
        <v>272</v>
      </c>
      <c r="D274" s="203" t="s">
        <v>617</v>
      </c>
      <c r="E274" s="205">
        <v>3295</v>
      </c>
    </row>
    <row r="275" spans="1:5" x14ac:dyDescent="0.25">
      <c r="A275" s="202">
        <v>2022</v>
      </c>
      <c r="B275" s="203" t="s">
        <v>299</v>
      </c>
      <c r="C275" s="204" t="s">
        <v>299</v>
      </c>
      <c r="D275" s="203" t="s">
        <v>644</v>
      </c>
      <c r="E275" s="205">
        <v>1270</v>
      </c>
    </row>
    <row r="276" spans="1:5" x14ac:dyDescent="0.25">
      <c r="A276" s="202">
        <v>2022</v>
      </c>
      <c r="B276" s="203" t="s">
        <v>300</v>
      </c>
      <c r="C276" s="204" t="s">
        <v>300</v>
      </c>
      <c r="D276" s="203" t="s">
        <v>645</v>
      </c>
      <c r="E276" s="205">
        <v>0</v>
      </c>
    </row>
    <row r="277" spans="1:5" x14ac:dyDescent="0.25">
      <c r="A277" s="202">
        <v>2022</v>
      </c>
      <c r="B277" s="203" t="s">
        <v>301</v>
      </c>
      <c r="C277" s="204" t="s">
        <v>301</v>
      </c>
      <c r="D277" s="203" t="s">
        <v>646</v>
      </c>
      <c r="E277" s="205">
        <v>5109</v>
      </c>
    </row>
    <row r="278" spans="1:5" x14ac:dyDescent="0.25">
      <c r="A278" s="202">
        <v>2022</v>
      </c>
      <c r="B278" s="203" t="s">
        <v>302</v>
      </c>
      <c r="C278" s="204" t="s">
        <v>302</v>
      </c>
      <c r="D278" s="203" t="s">
        <v>647</v>
      </c>
      <c r="E278" s="205">
        <v>1992</v>
      </c>
    </row>
    <row r="279" spans="1:5" x14ac:dyDescent="0.25">
      <c r="A279" s="202">
        <v>2022</v>
      </c>
      <c r="B279" s="203" t="s">
        <v>304</v>
      </c>
      <c r="C279" s="204" t="s">
        <v>304</v>
      </c>
      <c r="D279" s="203" t="s">
        <v>649</v>
      </c>
      <c r="E279" s="205">
        <v>0</v>
      </c>
    </row>
    <row r="280" spans="1:5" x14ac:dyDescent="0.25">
      <c r="A280" s="202">
        <v>2022</v>
      </c>
      <c r="B280" s="203" t="s">
        <v>305</v>
      </c>
      <c r="C280" s="204" t="s">
        <v>305</v>
      </c>
      <c r="D280" s="203" t="s">
        <v>650</v>
      </c>
      <c r="E280" s="205">
        <v>3388</v>
      </c>
    </row>
    <row r="281" spans="1:5" x14ac:dyDescent="0.25">
      <c r="A281" s="202">
        <v>2022</v>
      </c>
      <c r="B281" s="203" t="s">
        <v>306</v>
      </c>
      <c r="C281" s="204" t="s">
        <v>306</v>
      </c>
      <c r="D281" s="203" t="s">
        <v>651</v>
      </c>
      <c r="E281" s="205">
        <v>2569</v>
      </c>
    </row>
    <row r="282" spans="1:5" x14ac:dyDescent="0.25">
      <c r="A282" s="202">
        <v>2022</v>
      </c>
      <c r="B282" s="203" t="s">
        <v>307</v>
      </c>
      <c r="C282" s="204" t="s">
        <v>307</v>
      </c>
      <c r="D282" s="203" t="s">
        <v>652</v>
      </c>
      <c r="E282" s="205">
        <v>2798</v>
      </c>
    </row>
    <row r="283" spans="1:5" x14ac:dyDescent="0.25">
      <c r="A283" s="202">
        <v>2022</v>
      </c>
      <c r="B283" s="203" t="s">
        <v>308</v>
      </c>
      <c r="C283" s="204" t="s">
        <v>308</v>
      </c>
      <c r="D283" s="203" t="s">
        <v>653</v>
      </c>
      <c r="E283" s="205">
        <v>0</v>
      </c>
    </row>
    <row r="284" spans="1:5" x14ac:dyDescent="0.25">
      <c r="A284" s="202">
        <v>2022</v>
      </c>
      <c r="B284" s="203" t="s">
        <v>309</v>
      </c>
      <c r="C284" s="204" t="s">
        <v>309</v>
      </c>
      <c r="D284" s="203" t="s">
        <v>654</v>
      </c>
      <c r="E284" s="205">
        <v>2420</v>
      </c>
    </row>
    <row r="285" spans="1:5" x14ac:dyDescent="0.25">
      <c r="A285" s="202">
        <v>2022</v>
      </c>
      <c r="B285" s="203" t="s">
        <v>310</v>
      </c>
      <c r="C285" s="204" t="s">
        <v>310</v>
      </c>
      <c r="D285" s="203" t="s">
        <v>655</v>
      </c>
      <c r="E285" s="205">
        <v>0</v>
      </c>
    </row>
    <row r="286" spans="1:5" x14ac:dyDescent="0.25">
      <c r="A286" s="202">
        <v>2022</v>
      </c>
      <c r="B286" s="203" t="s">
        <v>311</v>
      </c>
      <c r="C286" s="204" t="s">
        <v>311</v>
      </c>
      <c r="D286" s="203" t="s">
        <v>656</v>
      </c>
      <c r="E286" s="205">
        <v>0</v>
      </c>
    </row>
    <row r="287" spans="1:5" x14ac:dyDescent="0.25">
      <c r="A287" s="202">
        <v>2022</v>
      </c>
      <c r="B287" s="203" t="s">
        <v>312</v>
      </c>
      <c r="C287" s="204" t="s">
        <v>312</v>
      </c>
      <c r="D287" s="203" t="s">
        <v>657</v>
      </c>
      <c r="E287" s="205">
        <v>3402</v>
      </c>
    </row>
    <row r="288" spans="1:5" x14ac:dyDescent="0.25">
      <c r="A288" s="202">
        <v>2022</v>
      </c>
      <c r="B288" s="203" t="s">
        <v>313</v>
      </c>
      <c r="C288" s="204" t="s">
        <v>313</v>
      </c>
      <c r="D288" s="203" t="s">
        <v>658</v>
      </c>
      <c r="E288" s="205">
        <v>4735</v>
      </c>
    </row>
    <row r="289" spans="1:5" x14ac:dyDescent="0.25">
      <c r="A289" s="202">
        <v>2022</v>
      </c>
      <c r="B289" s="203" t="s">
        <v>115</v>
      </c>
      <c r="C289" s="204" t="s">
        <v>696</v>
      </c>
      <c r="D289" s="203" t="s">
        <v>468</v>
      </c>
      <c r="E289" s="205">
        <v>6892</v>
      </c>
    </row>
    <row r="290" spans="1:5" x14ac:dyDescent="0.25">
      <c r="A290" s="202">
        <v>2022</v>
      </c>
      <c r="B290" s="203" t="s">
        <v>314</v>
      </c>
      <c r="C290" s="204" t="s">
        <v>314</v>
      </c>
      <c r="D290" s="203" t="s">
        <v>659</v>
      </c>
      <c r="E290" s="205">
        <v>3834</v>
      </c>
    </row>
    <row r="291" spans="1:5" x14ac:dyDescent="0.25">
      <c r="A291" s="202">
        <v>2022</v>
      </c>
      <c r="B291" s="203" t="s">
        <v>315</v>
      </c>
      <c r="C291" s="204" t="s">
        <v>315</v>
      </c>
      <c r="D291" s="203" t="s">
        <v>660</v>
      </c>
      <c r="E291" s="205">
        <v>23346</v>
      </c>
    </row>
    <row r="292" spans="1:5" x14ac:dyDescent="0.25">
      <c r="A292" s="202">
        <v>2022</v>
      </c>
      <c r="B292" s="203" t="s">
        <v>317</v>
      </c>
      <c r="C292" s="204" t="s">
        <v>317</v>
      </c>
      <c r="D292" s="203" t="s">
        <v>806</v>
      </c>
      <c r="E292" s="205">
        <v>2956</v>
      </c>
    </row>
    <row r="293" spans="1:5" x14ac:dyDescent="0.25">
      <c r="A293" s="202">
        <v>2022</v>
      </c>
      <c r="B293" s="203" t="s">
        <v>318</v>
      </c>
      <c r="C293" s="204" t="s">
        <v>318</v>
      </c>
      <c r="D293" s="203" t="s">
        <v>661</v>
      </c>
      <c r="E293" s="205">
        <v>2775</v>
      </c>
    </row>
    <row r="294" spans="1:5" x14ac:dyDescent="0.25">
      <c r="A294" s="202">
        <v>2022</v>
      </c>
      <c r="B294" s="203" t="s">
        <v>319</v>
      </c>
      <c r="C294" s="204" t="s">
        <v>319</v>
      </c>
      <c r="D294" s="203" t="s">
        <v>662</v>
      </c>
      <c r="E294" s="205">
        <v>1346</v>
      </c>
    </row>
    <row r="295" spans="1:5" x14ac:dyDescent="0.25">
      <c r="A295" s="202">
        <v>2022</v>
      </c>
      <c r="B295" s="203" t="s">
        <v>320</v>
      </c>
      <c r="C295" s="204" t="s">
        <v>320</v>
      </c>
      <c r="D295" s="203" t="s">
        <v>663</v>
      </c>
      <c r="E295" s="205">
        <v>12898</v>
      </c>
    </row>
    <row r="296" spans="1:5" x14ac:dyDescent="0.25">
      <c r="A296" s="202">
        <v>2022</v>
      </c>
      <c r="B296" s="203" t="s">
        <v>321</v>
      </c>
      <c r="C296" s="204" t="s">
        <v>321</v>
      </c>
      <c r="D296" s="203" t="s">
        <v>664</v>
      </c>
      <c r="E296" s="205">
        <v>2757</v>
      </c>
    </row>
    <row r="297" spans="1:5" x14ac:dyDescent="0.25">
      <c r="A297" s="202">
        <v>2022</v>
      </c>
      <c r="B297" s="203" t="s">
        <v>323</v>
      </c>
      <c r="C297" s="204" t="s">
        <v>323</v>
      </c>
      <c r="D297" s="203" t="s">
        <v>666</v>
      </c>
      <c r="E297" s="205">
        <v>424</v>
      </c>
    </row>
    <row r="298" spans="1:5" x14ac:dyDescent="0.25">
      <c r="A298" s="202">
        <v>2022</v>
      </c>
      <c r="B298" s="203" t="s">
        <v>324</v>
      </c>
      <c r="C298" s="204" t="s">
        <v>324</v>
      </c>
      <c r="D298" s="203" t="s">
        <v>667</v>
      </c>
      <c r="E298" s="205">
        <v>2376</v>
      </c>
    </row>
    <row r="299" spans="1:5" x14ac:dyDescent="0.25">
      <c r="A299" s="202">
        <v>2022</v>
      </c>
      <c r="B299" s="203" t="s">
        <v>325</v>
      </c>
      <c r="C299" s="204" t="s">
        <v>325</v>
      </c>
      <c r="D299" s="203" t="s">
        <v>668</v>
      </c>
      <c r="E299" s="205">
        <v>6868</v>
      </c>
    </row>
    <row r="300" spans="1:5" x14ac:dyDescent="0.25">
      <c r="A300" s="202">
        <v>2022</v>
      </c>
      <c r="B300" s="203" t="s">
        <v>326</v>
      </c>
      <c r="C300" s="204" t="s">
        <v>326</v>
      </c>
      <c r="D300" s="203" t="s">
        <v>669</v>
      </c>
      <c r="E300" s="205">
        <v>0</v>
      </c>
    </row>
    <row r="301" spans="1:5" x14ac:dyDescent="0.25">
      <c r="A301" s="202">
        <v>2022</v>
      </c>
      <c r="B301" s="203" t="s">
        <v>327</v>
      </c>
      <c r="C301" s="204" t="s">
        <v>327</v>
      </c>
      <c r="D301" s="203" t="s">
        <v>670</v>
      </c>
      <c r="E301" s="205">
        <v>92962</v>
      </c>
    </row>
    <row r="302" spans="1:5" x14ac:dyDescent="0.25">
      <c r="A302" s="202">
        <v>2022</v>
      </c>
      <c r="B302" s="203" t="s">
        <v>328</v>
      </c>
      <c r="C302" s="204" t="s">
        <v>328</v>
      </c>
      <c r="D302" s="203" t="s">
        <v>671</v>
      </c>
      <c r="E302" s="205">
        <v>7693</v>
      </c>
    </row>
    <row r="303" spans="1:5" x14ac:dyDescent="0.25">
      <c r="A303" s="202">
        <v>2022</v>
      </c>
      <c r="B303" s="203" t="s">
        <v>329</v>
      </c>
      <c r="C303" s="204" t="s">
        <v>329</v>
      </c>
      <c r="D303" s="203" t="s">
        <v>672</v>
      </c>
      <c r="E303" s="205">
        <v>0</v>
      </c>
    </row>
    <row r="304" spans="1:5" x14ac:dyDescent="0.25">
      <c r="A304" s="202">
        <v>2022</v>
      </c>
      <c r="B304" s="203" t="s">
        <v>330</v>
      </c>
      <c r="C304" s="204" t="s">
        <v>330</v>
      </c>
      <c r="D304" s="203" t="s">
        <v>673</v>
      </c>
      <c r="E304" s="205">
        <v>8371</v>
      </c>
    </row>
    <row r="305" spans="1:5" x14ac:dyDescent="0.25">
      <c r="A305" s="202">
        <v>2022</v>
      </c>
      <c r="B305" s="203" t="s">
        <v>331</v>
      </c>
      <c r="C305" s="204" t="s">
        <v>331</v>
      </c>
      <c r="D305" s="203" t="s">
        <v>674</v>
      </c>
      <c r="E305" s="205">
        <v>1205</v>
      </c>
    </row>
    <row r="306" spans="1:5" x14ac:dyDescent="0.25">
      <c r="A306" s="202">
        <v>2022</v>
      </c>
      <c r="B306" s="203" t="s">
        <v>332</v>
      </c>
      <c r="C306" s="204" t="s">
        <v>332</v>
      </c>
      <c r="D306" s="203" t="s">
        <v>675</v>
      </c>
      <c r="E306" s="205">
        <v>3476</v>
      </c>
    </row>
    <row r="307" spans="1:5" x14ac:dyDescent="0.25">
      <c r="A307" s="202">
        <v>2022</v>
      </c>
      <c r="B307" s="203" t="s">
        <v>333</v>
      </c>
      <c r="C307" s="204" t="s">
        <v>333</v>
      </c>
      <c r="D307" s="203" t="s">
        <v>676</v>
      </c>
      <c r="E307" s="205">
        <v>1304</v>
      </c>
    </row>
    <row r="308" spans="1:5" x14ac:dyDescent="0.25">
      <c r="A308" s="202">
        <v>2022</v>
      </c>
      <c r="B308" s="203" t="s">
        <v>334</v>
      </c>
      <c r="C308" s="204" t="s">
        <v>334</v>
      </c>
      <c r="D308" s="203" t="s">
        <v>677</v>
      </c>
      <c r="E308" s="205">
        <v>1740</v>
      </c>
    </row>
    <row r="309" spans="1:5" x14ac:dyDescent="0.25">
      <c r="A309" s="202">
        <v>2022</v>
      </c>
      <c r="B309" s="203" t="s">
        <v>303</v>
      </c>
      <c r="C309" s="204" t="s">
        <v>303</v>
      </c>
      <c r="D309" s="203" t="s">
        <v>648</v>
      </c>
      <c r="E309" s="205">
        <v>2910</v>
      </c>
    </row>
    <row r="310" spans="1:5" x14ac:dyDescent="0.25">
      <c r="A310" s="202">
        <v>2022</v>
      </c>
      <c r="B310" s="203" t="s">
        <v>335</v>
      </c>
      <c r="C310" s="204" t="s">
        <v>335</v>
      </c>
      <c r="D310" s="203" t="s">
        <v>678</v>
      </c>
      <c r="E310" s="205">
        <v>5827</v>
      </c>
    </row>
    <row r="311" spans="1:5" x14ac:dyDescent="0.25">
      <c r="A311" s="202">
        <v>2022</v>
      </c>
      <c r="B311" s="203" t="s">
        <v>336</v>
      </c>
      <c r="C311" s="204" t="s">
        <v>336</v>
      </c>
      <c r="D311" s="203" t="s">
        <v>679</v>
      </c>
      <c r="E311" s="205">
        <v>41080</v>
      </c>
    </row>
    <row r="312" spans="1:5" x14ac:dyDescent="0.25">
      <c r="A312" s="202">
        <v>2022</v>
      </c>
      <c r="B312" s="203" t="s">
        <v>278</v>
      </c>
      <c r="C312" s="204" t="s">
        <v>278</v>
      </c>
      <c r="D312" s="203" t="s">
        <v>623</v>
      </c>
      <c r="E312" s="205">
        <v>4122</v>
      </c>
    </row>
    <row r="313" spans="1:5" x14ac:dyDescent="0.25">
      <c r="A313" s="202">
        <v>2022</v>
      </c>
      <c r="B313" s="203" t="s">
        <v>58</v>
      </c>
      <c r="C313" s="204" t="s">
        <v>58</v>
      </c>
      <c r="D313" s="203" t="s">
        <v>413</v>
      </c>
      <c r="E313" s="205">
        <v>987</v>
      </c>
    </row>
    <row r="314" spans="1:5" x14ac:dyDescent="0.25">
      <c r="A314" s="202">
        <v>2022</v>
      </c>
      <c r="B314" s="203" t="s">
        <v>338</v>
      </c>
      <c r="C314" s="204" t="s">
        <v>338</v>
      </c>
      <c r="D314" s="203" t="s">
        <v>681</v>
      </c>
      <c r="E314" s="205">
        <v>708</v>
      </c>
    </row>
    <row r="315" spans="1:5" x14ac:dyDescent="0.25">
      <c r="A315" s="202">
        <v>2022</v>
      </c>
      <c r="B315" s="203" t="s">
        <v>339</v>
      </c>
      <c r="C315" s="204" t="s">
        <v>339</v>
      </c>
      <c r="D315" s="203" t="s">
        <v>682</v>
      </c>
      <c r="E315" s="205">
        <v>0</v>
      </c>
    </row>
    <row r="316" spans="1:5" x14ac:dyDescent="0.25">
      <c r="A316" s="202">
        <v>2022</v>
      </c>
      <c r="B316" s="203" t="s">
        <v>340</v>
      </c>
      <c r="C316" s="204" t="s">
        <v>340</v>
      </c>
      <c r="D316" s="203" t="s">
        <v>683</v>
      </c>
      <c r="E316" s="205">
        <v>4228</v>
      </c>
    </row>
    <row r="317" spans="1:5" x14ac:dyDescent="0.25">
      <c r="A317" s="202">
        <v>2022</v>
      </c>
      <c r="B317" s="203" t="s">
        <v>341</v>
      </c>
      <c r="C317" s="204" t="s">
        <v>341</v>
      </c>
      <c r="D317" s="203" t="s">
        <v>684</v>
      </c>
      <c r="E317" s="205">
        <v>3181</v>
      </c>
    </row>
    <row r="318" spans="1:5" x14ac:dyDescent="0.25">
      <c r="A318" s="202">
        <v>2022</v>
      </c>
      <c r="B318" s="203" t="s">
        <v>342</v>
      </c>
      <c r="C318" s="204" t="s">
        <v>342</v>
      </c>
      <c r="D318" s="203" t="s">
        <v>685</v>
      </c>
      <c r="E318" s="205">
        <v>0</v>
      </c>
    </row>
    <row r="319" spans="1:5" x14ac:dyDescent="0.25">
      <c r="A319" s="202">
        <v>2022</v>
      </c>
      <c r="B319" s="203" t="s">
        <v>343</v>
      </c>
      <c r="C319" s="204" t="s">
        <v>343</v>
      </c>
      <c r="D319" s="203" t="s">
        <v>686</v>
      </c>
      <c r="E319" s="205">
        <v>5499</v>
      </c>
    </row>
    <row r="320" spans="1:5" x14ac:dyDescent="0.25">
      <c r="A320" s="202">
        <v>2022</v>
      </c>
      <c r="B320" s="203" t="s">
        <v>337</v>
      </c>
      <c r="C320" s="204" t="s">
        <v>337</v>
      </c>
      <c r="D320" s="203" t="s">
        <v>680</v>
      </c>
      <c r="E320" s="205">
        <v>14619</v>
      </c>
    </row>
    <row r="321" spans="1:5" x14ac:dyDescent="0.25">
      <c r="A321" s="202">
        <v>2022</v>
      </c>
      <c r="B321" s="203" t="s">
        <v>344</v>
      </c>
      <c r="C321" s="204" t="s">
        <v>344</v>
      </c>
      <c r="D321" s="203" t="s">
        <v>687</v>
      </c>
      <c r="E321" s="205">
        <v>1884</v>
      </c>
    </row>
    <row r="322" spans="1:5" x14ac:dyDescent="0.25">
      <c r="A322" s="202">
        <v>2022</v>
      </c>
      <c r="B322" s="203" t="s">
        <v>345</v>
      </c>
      <c r="C322" s="204" t="s">
        <v>345</v>
      </c>
      <c r="D322" s="203" t="s">
        <v>688</v>
      </c>
      <c r="E322" s="205">
        <v>667</v>
      </c>
    </row>
    <row r="323" spans="1:5" x14ac:dyDescent="0.25">
      <c r="A323" s="202">
        <v>2022</v>
      </c>
      <c r="B323" s="203" t="s">
        <v>346</v>
      </c>
      <c r="C323" s="204" t="s">
        <v>346</v>
      </c>
      <c r="D323" s="203" t="s">
        <v>689</v>
      </c>
      <c r="E323" s="205">
        <v>5921</v>
      </c>
    </row>
    <row r="324" spans="1:5" x14ac:dyDescent="0.25">
      <c r="A324" s="202">
        <v>2022</v>
      </c>
      <c r="B324" s="203" t="s">
        <v>347</v>
      </c>
      <c r="C324" s="204" t="s">
        <v>347</v>
      </c>
      <c r="D324" s="203" t="s">
        <v>690</v>
      </c>
      <c r="E324" s="205">
        <v>2138</v>
      </c>
    </row>
    <row r="325" spans="1:5" x14ac:dyDescent="0.25">
      <c r="A325" s="202">
        <v>2022</v>
      </c>
      <c r="B325" s="203" t="s">
        <v>348</v>
      </c>
      <c r="C325" s="204" t="s">
        <v>348</v>
      </c>
      <c r="D325" s="203" t="s">
        <v>691</v>
      </c>
      <c r="E325" s="205">
        <v>0</v>
      </c>
    </row>
    <row r="326" spans="1:5" x14ac:dyDescent="0.25">
      <c r="A326" s="202">
        <v>2022</v>
      </c>
      <c r="B326" s="203" t="s">
        <v>349</v>
      </c>
      <c r="C326" s="204" t="s">
        <v>349</v>
      </c>
      <c r="D326" s="203" t="s">
        <v>692</v>
      </c>
      <c r="E326" s="205">
        <v>9337</v>
      </c>
    </row>
    <row r="327" spans="1:5" x14ac:dyDescent="0.25">
      <c r="A327" s="202">
        <v>2022</v>
      </c>
      <c r="B327" s="203" t="s">
        <v>350</v>
      </c>
      <c r="C327" s="204" t="s">
        <v>350</v>
      </c>
      <c r="D327" s="203" t="s">
        <v>693</v>
      </c>
      <c r="E327" s="205">
        <v>3464</v>
      </c>
    </row>
    <row r="328" spans="1:5" x14ac:dyDescent="0.25">
      <c r="A328" s="202">
        <v>2022</v>
      </c>
      <c r="B328" s="203" t="s">
        <v>351</v>
      </c>
      <c r="C328" s="204" t="s">
        <v>351</v>
      </c>
      <c r="D328" s="203" t="s">
        <v>694</v>
      </c>
      <c r="E328" s="205">
        <v>524</v>
      </c>
    </row>
    <row r="329" spans="1:5" x14ac:dyDescent="0.25">
      <c r="A329" s="202">
        <v>2022</v>
      </c>
      <c r="B329" s="203" t="s">
        <v>352</v>
      </c>
      <c r="C329" s="204" t="s">
        <v>352</v>
      </c>
      <c r="D329" s="203" t="s">
        <v>695</v>
      </c>
      <c r="E329" s="205">
        <v>6097</v>
      </c>
    </row>
    <row r="330" spans="1:5" ht="15.75" thickBot="1" x14ac:dyDescent="0.3">
      <c r="A330" s="166"/>
      <c r="B330" s="206" t="s">
        <v>790</v>
      </c>
      <c r="D330" s="168" t="s">
        <v>789</v>
      </c>
      <c r="E330" s="207">
        <f>SUM(E3:E329)</f>
        <v>1954278</v>
      </c>
    </row>
    <row r="331" spans="1:5" ht="15.75" thickTop="1" x14ac:dyDescent="0.25">
      <c r="A331" s="166"/>
    </row>
    <row r="332" spans="1:5" x14ac:dyDescent="0.25">
      <c r="A332" s="166"/>
    </row>
    <row r="333" spans="1:5" x14ac:dyDescent="0.25">
      <c r="A333" s="166"/>
    </row>
    <row r="334" spans="1:5" x14ac:dyDescent="0.25">
      <c r="A334" s="166"/>
    </row>
    <row r="335" spans="1:5" x14ac:dyDescent="0.25">
      <c r="A335" s="166"/>
    </row>
    <row r="336" spans="1:5" x14ac:dyDescent="0.25">
      <c r="A336" s="166"/>
    </row>
    <row r="337" spans="1:1" x14ac:dyDescent="0.25">
      <c r="A337" s="166"/>
    </row>
    <row r="338" spans="1:1" x14ac:dyDescent="0.25">
      <c r="A338" s="166"/>
    </row>
    <row r="339" spans="1:1" x14ac:dyDescent="0.25">
      <c r="A339" s="166"/>
    </row>
    <row r="340" spans="1:1" x14ac:dyDescent="0.25">
      <c r="A340" s="166"/>
    </row>
    <row r="341" spans="1:1" x14ac:dyDescent="0.25">
      <c r="A341" s="166"/>
    </row>
    <row r="342" spans="1:1" x14ac:dyDescent="0.25">
      <c r="A342" s="166"/>
    </row>
    <row r="343" spans="1:1" x14ac:dyDescent="0.25">
      <c r="A343" s="166"/>
    </row>
    <row r="344" spans="1:1" x14ac:dyDescent="0.25">
      <c r="A344" s="166"/>
    </row>
    <row r="345" spans="1:1" x14ac:dyDescent="0.25">
      <c r="A345" s="166"/>
    </row>
    <row r="346" spans="1:1" x14ac:dyDescent="0.25">
      <c r="A346" s="166"/>
    </row>
    <row r="347" spans="1:1" x14ac:dyDescent="0.25">
      <c r="A347" s="166"/>
    </row>
    <row r="348" spans="1:1" x14ac:dyDescent="0.25">
      <c r="A348" s="166"/>
    </row>
    <row r="349" spans="1:1" x14ac:dyDescent="0.25">
      <c r="A349" s="166"/>
    </row>
    <row r="350" spans="1:1" x14ac:dyDescent="0.25">
      <c r="A350" s="166"/>
    </row>
    <row r="351" spans="1:1" x14ac:dyDescent="0.25">
      <c r="A351" s="166"/>
    </row>
    <row r="352" spans="1:1" x14ac:dyDescent="0.25">
      <c r="A352" s="166"/>
    </row>
    <row r="353" spans="1:1" x14ac:dyDescent="0.25">
      <c r="A353" s="166"/>
    </row>
    <row r="354" spans="1:1" x14ac:dyDescent="0.25">
      <c r="A354" s="166"/>
    </row>
    <row r="355" spans="1:1" x14ac:dyDescent="0.25">
      <c r="A355" s="166"/>
    </row>
    <row r="356" spans="1:1" x14ac:dyDescent="0.25">
      <c r="A356" s="166"/>
    </row>
    <row r="357" spans="1:1" x14ac:dyDescent="0.25">
      <c r="A357" s="166"/>
    </row>
    <row r="358" spans="1:1" x14ac:dyDescent="0.25">
      <c r="A358" s="166"/>
    </row>
    <row r="359" spans="1:1" x14ac:dyDescent="0.25">
      <c r="A359" s="166"/>
    </row>
    <row r="360" spans="1:1" x14ac:dyDescent="0.25">
      <c r="A360" s="166"/>
    </row>
    <row r="361" spans="1:1" x14ac:dyDescent="0.25">
      <c r="A361" s="166"/>
    </row>
    <row r="362" spans="1:1" x14ac:dyDescent="0.25">
      <c r="A362" s="166"/>
    </row>
    <row r="363" spans="1:1" x14ac:dyDescent="0.25">
      <c r="A363" s="166"/>
    </row>
    <row r="364" spans="1:1" x14ac:dyDescent="0.25">
      <c r="A364" s="166"/>
    </row>
    <row r="365" spans="1:1" x14ac:dyDescent="0.25">
      <c r="A365" s="166"/>
    </row>
    <row r="366" spans="1:1" x14ac:dyDescent="0.25">
      <c r="A366" s="166"/>
    </row>
    <row r="367" spans="1:1" x14ac:dyDescent="0.25">
      <c r="A367" s="166"/>
    </row>
    <row r="368" spans="1:1" x14ac:dyDescent="0.25">
      <c r="A368" s="166"/>
    </row>
    <row r="369" spans="1:1" x14ac:dyDescent="0.25">
      <c r="A369" s="166"/>
    </row>
    <row r="370" spans="1:1" x14ac:dyDescent="0.25">
      <c r="A370" s="166"/>
    </row>
    <row r="371" spans="1:1" x14ac:dyDescent="0.25">
      <c r="A371" s="166"/>
    </row>
    <row r="372" spans="1:1" x14ac:dyDescent="0.25">
      <c r="A372" s="166"/>
    </row>
    <row r="373" spans="1:1" x14ac:dyDescent="0.25">
      <c r="A373" s="166"/>
    </row>
    <row r="374" spans="1:1" x14ac:dyDescent="0.25">
      <c r="A374" s="166"/>
    </row>
    <row r="375" spans="1:1" x14ac:dyDescent="0.25">
      <c r="A375" s="166"/>
    </row>
    <row r="376" spans="1:1" x14ac:dyDescent="0.25">
      <c r="A376" s="166"/>
    </row>
    <row r="377" spans="1:1" x14ac:dyDescent="0.25">
      <c r="A377" s="166"/>
    </row>
    <row r="378" spans="1:1" x14ac:dyDescent="0.25">
      <c r="A378" s="166"/>
    </row>
    <row r="379" spans="1:1" x14ac:dyDescent="0.25">
      <c r="A379" s="166"/>
    </row>
    <row r="380" spans="1:1" x14ac:dyDescent="0.25">
      <c r="A380" s="166"/>
    </row>
    <row r="381" spans="1:1" x14ac:dyDescent="0.25">
      <c r="A381" s="166"/>
    </row>
    <row r="382" spans="1:1" x14ac:dyDescent="0.25">
      <c r="A382" s="166"/>
    </row>
    <row r="383" spans="1:1" x14ac:dyDescent="0.25">
      <c r="A383" s="166"/>
    </row>
    <row r="384" spans="1:1" x14ac:dyDescent="0.25">
      <c r="A384" s="166"/>
    </row>
    <row r="385" spans="1:1" x14ac:dyDescent="0.25">
      <c r="A385" s="166"/>
    </row>
    <row r="386" spans="1:1" x14ac:dyDescent="0.25">
      <c r="A386" s="166"/>
    </row>
    <row r="387" spans="1:1" x14ac:dyDescent="0.25">
      <c r="A387" s="166"/>
    </row>
    <row r="388" spans="1:1" x14ac:dyDescent="0.25">
      <c r="A388" s="166"/>
    </row>
    <row r="389" spans="1:1" x14ac:dyDescent="0.25">
      <c r="A389" s="166"/>
    </row>
    <row r="390" spans="1:1" x14ac:dyDescent="0.25">
      <c r="A390" s="166"/>
    </row>
    <row r="391" spans="1:1" x14ac:dyDescent="0.25">
      <c r="A391" s="166"/>
    </row>
    <row r="392" spans="1:1" x14ac:dyDescent="0.25">
      <c r="A392" s="166"/>
    </row>
    <row r="393" spans="1:1" x14ac:dyDescent="0.25">
      <c r="A393" s="166"/>
    </row>
    <row r="394" spans="1:1" x14ac:dyDescent="0.25">
      <c r="A394" s="166"/>
    </row>
    <row r="395" spans="1:1" x14ac:dyDescent="0.25">
      <c r="A395" s="166"/>
    </row>
    <row r="396" spans="1:1" x14ac:dyDescent="0.25">
      <c r="A396" s="166"/>
    </row>
    <row r="397" spans="1:1" x14ac:dyDescent="0.25">
      <c r="A397" s="166"/>
    </row>
    <row r="398" spans="1:1" x14ac:dyDescent="0.25">
      <c r="A398" s="166"/>
    </row>
    <row r="399" spans="1:1" x14ac:dyDescent="0.25">
      <c r="A399" s="166"/>
    </row>
    <row r="400" spans="1:1" x14ac:dyDescent="0.25">
      <c r="A400" s="166"/>
    </row>
    <row r="401" spans="1:1" x14ac:dyDescent="0.25">
      <c r="A401" s="166"/>
    </row>
    <row r="402" spans="1:1" x14ac:dyDescent="0.25">
      <c r="A402" s="166"/>
    </row>
    <row r="403" spans="1:1" x14ac:dyDescent="0.25">
      <c r="A403" s="16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SurtaxPayment</vt:lpstr>
      <vt:lpstr>Data</vt:lpstr>
      <vt:lpstr>Notes</vt:lpstr>
      <vt:lpstr>PaymentSummary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2022-09-08T18:19:08Z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