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iowamac-my.sharepoint.com/personal/john_parker_dom_iowa_gov/Documents/PAY/FY2027/"/>
    </mc:Choice>
  </mc:AlternateContent>
  <xr:revisionPtr revIDLastSave="108" documentId="8_{CFF638AE-28AA-4DEF-9B5C-2536EA0DAAED}" xr6:coauthVersionLast="47" xr6:coauthVersionMax="47" xr10:uidLastSave="{1633F098-241E-40F5-AA5B-3A8797F7C4BE}"/>
  <bookViews>
    <workbookView xWindow="28680" yWindow="-120" windowWidth="29040" windowHeight="15720" tabRatio="728" firstSheet="2" activeTab="2" xr2:uid="{00000000-000D-0000-FFFF-FFFF00000000}"/>
  </bookViews>
  <sheets>
    <sheet name="Data" sheetId="1" state="hidden" r:id="rId1"/>
    <sheet name="Notes" sheetId="3" state="hidden" r:id="rId2"/>
    <sheet name="Payment" sheetId="2" r:id="rId3"/>
    <sheet name="PaymentCodingDetailCheck-old" sheetId="8" state="hidden" r:id="rId4"/>
    <sheet name="PaymentCodingTotal" sheetId="13" r:id="rId5"/>
    <sheet name="PaymentCodingDetai_July-Feb" sheetId="12" r:id="rId6"/>
    <sheet name="PaymentCodingDetai_Sept-May-old" sheetId="5" state="hidden" r:id="rId7"/>
    <sheet name="PaymentCodingDetail_April" sheetId="14" r:id="rId8"/>
    <sheet name="Special Education Breakdown" sheetId="15" r:id="rId9"/>
    <sheet name="PaymentBreakdown-FY26 and beyon" sheetId="11" state="hidden" r:id="rId10"/>
    <sheet name="PaymentCodingDetail_June-old" sheetId="7" state="hidden" r:id="rId11"/>
    <sheet name="PaymentCodingTotal-old" sheetId="6" state="hidden" r:id="rId12"/>
    <sheet name="Final Total Check-old" sheetId="10" state="hidden" r:id="rId13"/>
    <sheet name="Data_Detail-old" sheetId="4" state="hidden" r:id="rId14"/>
  </sheets>
  <definedNames>
    <definedName name="AEA_Name" localSheetId="12">#REF!</definedName>
    <definedName name="AEA_Name" localSheetId="5">#REF!</definedName>
    <definedName name="AEA_Name" localSheetId="6">#REF!</definedName>
    <definedName name="AEA_Name" localSheetId="7">#REF!</definedName>
    <definedName name="AEA_Name" localSheetId="10">#REF!</definedName>
    <definedName name="AEA_Name" localSheetId="3">#REF!</definedName>
    <definedName name="AEA_Name" localSheetId="4">#REF!</definedName>
    <definedName name="AEA_Name" localSheetId="11">#REF!</definedName>
    <definedName name="AEA_Name">#REF!</definedName>
    <definedName name="_xlnm.Print_Area" localSheetId="12">'Final Total Check-old'!$A$1:$K$26</definedName>
    <definedName name="_xlnm.Print_Area" localSheetId="5">'PaymentCodingDetai_July-Feb'!$A$1:$I$24</definedName>
    <definedName name="_xlnm.Print_Area" localSheetId="6">'PaymentCodingDetai_Sept-May-old'!$A$1:$I$36</definedName>
    <definedName name="_xlnm.Print_Area" localSheetId="7">PaymentCodingDetail_April!$A$1:$I$24</definedName>
    <definedName name="_xlnm.Print_Area" localSheetId="10">'PaymentCodingDetail_June-old'!$A$1:$I$36</definedName>
    <definedName name="_xlnm.Print_Area" localSheetId="3">'PaymentCodingDetailCheck-old'!$A$1:$I$36</definedName>
    <definedName name="_xlnm.Print_Area" localSheetId="4">PaymentCodingTotal!$A$1:$I$36</definedName>
    <definedName name="_xlnm.Print_Area" localSheetId="11">'PaymentCodingTotal-old'!$A$1:$I$36</definedName>
    <definedName name="_xlnm.Print_Area" localSheetId="8">'Special Education Breakdown'!$A$1:$X$329</definedName>
    <definedName name="_xlnm.Print_Titles" localSheetId="8">'Special Education Breakdown'!$1:$4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A1" i="14"/>
  <c r="D16" i="14"/>
  <c r="D17" i="14"/>
  <c r="D18" i="14"/>
  <c r="D19" i="14"/>
  <c r="D20" i="14"/>
  <c r="D21" i="14"/>
  <c r="D22" i="14"/>
  <c r="D23" i="14"/>
  <c r="D15" i="14"/>
  <c r="C16" i="14"/>
  <c r="C17" i="14"/>
  <c r="C18" i="14"/>
  <c r="C19" i="14"/>
  <c r="C20" i="14"/>
  <c r="C21" i="14"/>
  <c r="C22" i="14"/>
  <c r="C23" i="14"/>
  <c r="C15" i="14"/>
  <c r="H4" i="14"/>
  <c r="H5" i="14"/>
  <c r="H6" i="14"/>
  <c r="H7" i="14"/>
  <c r="H8" i="14"/>
  <c r="H9" i="14"/>
  <c r="H10" i="14"/>
  <c r="H11" i="14"/>
  <c r="H3" i="14"/>
  <c r="G4" i="14"/>
  <c r="G5" i="14"/>
  <c r="G6" i="14"/>
  <c r="G7" i="14"/>
  <c r="G8" i="14"/>
  <c r="G9" i="14"/>
  <c r="G10" i="14"/>
  <c r="G11" i="14"/>
  <c r="G3" i="14"/>
  <c r="F4" i="14"/>
  <c r="F5" i="14"/>
  <c r="F6" i="14"/>
  <c r="F7" i="14"/>
  <c r="F8" i="14"/>
  <c r="F9" i="14"/>
  <c r="F10" i="14"/>
  <c r="F11" i="14"/>
  <c r="F3" i="14"/>
  <c r="E4" i="14"/>
  <c r="E5" i="14"/>
  <c r="E6" i="14"/>
  <c r="E7" i="14"/>
  <c r="E8" i="14"/>
  <c r="E9" i="14"/>
  <c r="E10" i="14"/>
  <c r="E11" i="14"/>
  <c r="E3" i="14"/>
  <c r="D4" i="14"/>
  <c r="D5" i="14"/>
  <c r="D6" i="14"/>
  <c r="D7" i="14"/>
  <c r="D8" i="14"/>
  <c r="D9" i="14"/>
  <c r="D10" i="14"/>
  <c r="D11" i="14"/>
  <c r="D3" i="14"/>
  <c r="C4" i="14"/>
  <c r="C5" i="14"/>
  <c r="C6" i="14"/>
  <c r="C7" i="14"/>
  <c r="C8" i="14"/>
  <c r="C9" i="14"/>
  <c r="C10" i="14"/>
  <c r="C11" i="14"/>
  <c r="C3" i="14"/>
  <c r="G10" i="12"/>
  <c r="G9" i="12"/>
  <c r="F10" i="12"/>
  <c r="F9" i="12"/>
  <c r="K33" i="12" s="1"/>
  <c r="C22" i="12"/>
  <c r="G8" i="12"/>
  <c r="L8" i="12" l="1"/>
  <c r="C9" i="12"/>
  <c r="K9" i="12" l="1"/>
  <c r="D16" i="12"/>
  <c r="D17" i="12"/>
  <c r="D18" i="12"/>
  <c r="D19" i="12"/>
  <c r="D20" i="12"/>
  <c r="D21" i="12"/>
  <c r="D22" i="12"/>
  <c r="D23" i="12"/>
  <c r="D15" i="12"/>
  <c r="C16" i="12"/>
  <c r="C17" i="12"/>
  <c r="C18" i="12"/>
  <c r="C19" i="12"/>
  <c r="C20" i="12"/>
  <c r="C21" i="12"/>
  <c r="C23" i="12"/>
  <c r="C15" i="12"/>
  <c r="K27" i="12" s="1"/>
  <c r="I4" i="12"/>
  <c r="I5" i="12"/>
  <c r="I6" i="12"/>
  <c r="I7" i="12"/>
  <c r="I8" i="12"/>
  <c r="I9" i="12"/>
  <c r="I10" i="12"/>
  <c r="I11" i="12"/>
  <c r="I3" i="12"/>
  <c r="H11" i="12"/>
  <c r="H10" i="12"/>
  <c r="H9" i="12"/>
  <c r="H8" i="12"/>
  <c r="H7" i="12"/>
  <c r="H6" i="12"/>
  <c r="H5" i="12"/>
  <c r="H4" i="12"/>
  <c r="H3" i="12"/>
  <c r="G4" i="12"/>
  <c r="G5" i="12"/>
  <c r="G6" i="12"/>
  <c r="G7" i="12"/>
  <c r="G11" i="12"/>
  <c r="G3" i="12"/>
  <c r="F4" i="12"/>
  <c r="F5" i="12"/>
  <c r="F6" i="12"/>
  <c r="F7" i="12"/>
  <c r="F8" i="12"/>
  <c r="F11" i="12"/>
  <c r="F3" i="12"/>
  <c r="E4" i="12"/>
  <c r="E5" i="12"/>
  <c r="E6" i="12"/>
  <c r="E7" i="12"/>
  <c r="E8" i="12"/>
  <c r="E9" i="12"/>
  <c r="E10" i="12"/>
  <c r="E11" i="12"/>
  <c r="E3" i="12"/>
  <c r="D4" i="12"/>
  <c r="D5" i="12"/>
  <c r="D6" i="12"/>
  <c r="D7" i="12"/>
  <c r="D8" i="12"/>
  <c r="D9" i="12"/>
  <c r="D10" i="12"/>
  <c r="D11" i="12"/>
  <c r="D3" i="12"/>
  <c r="C4" i="12"/>
  <c r="C5" i="12"/>
  <c r="C6" i="12"/>
  <c r="C7" i="12"/>
  <c r="C8" i="12"/>
  <c r="C10" i="12"/>
  <c r="C11" i="12"/>
  <c r="C3" i="12"/>
  <c r="A1" i="12"/>
  <c r="E3" i="2" l="1"/>
  <c r="D3" i="2"/>
  <c r="B14" i="14"/>
  <c r="A14" i="14"/>
  <c r="B11" i="14"/>
  <c r="B23" i="14" s="1"/>
  <c r="A11" i="14"/>
  <c r="A23" i="14" s="1"/>
  <c r="A10" i="14"/>
  <c r="A22" i="14" s="1"/>
  <c r="A9" i="14"/>
  <c r="A21" i="14" s="1"/>
  <c r="A8" i="14"/>
  <c r="A20" i="14" s="1"/>
  <c r="A7" i="14"/>
  <c r="A19" i="14" s="1"/>
  <c r="A6" i="14"/>
  <c r="B6" i="14" s="1"/>
  <c r="B18" i="14" s="1"/>
  <c r="A5" i="14"/>
  <c r="B5" i="14" s="1"/>
  <c r="B17" i="14" s="1"/>
  <c r="A4" i="14"/>
  <c r="A16" i="14" s="1"/>
  <c r="A3" i="14"/>
  <c r="A15" i="14" s="1"/>
  <c r="K1" i="14"/>
  <c r="B14" i="13"/>
  <c r="A14" i="13"/>
  <c r="A11" i="13"/>
  <c r="B11" i="13" s="1"/>
  <c r="B23" i="13" s="1"/>
  <c r="A10" i="13"/>
  <c r="A22" i="13" s="1"/>
  <c r="A9" i="13"/>
  <c r="A21" i="13" s="1"/>
  <c r="A8" i="13"/>
  <c r="A20" i="13" s="1"/>
  <c r="A7" i="13"/>
  <c r="A19" i="13" s="1"/>
  <c r="D19" i="13" s="1"/>
  <c r="A6" i="13"/>
  <c r="A18" i="13" s="1"/>
  <c r="C18" i="13" s="1"/>
  <c r="A5" i="13"/>
  <c r="A17" i="13" s="1"/>
  <c r="A4" i="13"/>
  <c r="A16" i="13" s="1"/>
  <c r="A3" i="13"/>
  <c r="A15" i="13" s="1"/>
  <c r="K1" i="13"/>
  <c r="C9" i="13" s="1"/>
  <c r="A1" i="13"/>
  <c r="B14" i="12"/>
  <c r="A14" i="12"/>
  <c r="A11" i="12"/>
  <c r="A23" i="12" s="1"/>
  <c r="A10" i="12"/>
  <c r="A22" i="12" s="1"/>
  <c r="A9" i="12"/>
  <c r="B9" i="12" s="1"/>
  <c r="B21" i="12" s="1"/>
  <c r="A8" i="12"/>
  <c r="A7" i="12"/>
  <c r="A19" i="12" s="1"/>
  <c r="A6" i="12"/>
  <c r="A18" i="12" s="1"/>
  <c r="A5" i="12"/>
  <c r="A4" i="12"/>
  <c r="A3" i="12"/>
  <c r="A15" i="12" s="1"/>
  <c r="K1" i="12"/>
  <c r="D5" i="13" l="1"/>
  <c r="D20" i="13"/>
  <c r="D21" i="13"/>
  <c r="B3" i="14"/>
  <c r="B15" i="14" s="1"/>
  <c r="E4" i="13"/>
  <c r="A18" i="14"/>
  <c r="F3" i="13"/>
  <c r="D22" i="13"/>
  <c r="G10" i="13"/>
  <c r="D15" i="13"/>
  <c r="H9" i="13"/>
  <c r="C16" i="13"/>
  <c r="I8" i="13"/>
  <c r="C17" i="13"/>
  <c r="C20" i="13"/>
  <c r="J29" i="14"/>
  <c r="J30" i="14"/>
  <c r="J27" i="14"/>
  <c r="J35" i="14"/>
  <c r="J33" i="12"/>
  <c r="F11" i="13"/>
  <c r="B9" i="13"/>
  <c r="B21" i="13" s="1"/>
  <c r="C11" i="13"/>
  <c r="D3" i="13"/>
  <c r="D11" i="13"/>
  <c r="E10" i="13"/>
  <c r="F9" i="13"/>
  <c r="G8" i="13"/>
  <c r="H7" i="13"/>
  <c r="I6" i="13"/>
  <c r="C22" i="13"/>
  <c r="D16" i="13"/>
  <c r="C10" i="13"/>
  <c r="D4" i="13"/>
  <c r="E3" i="13"/>
  <c r="E11" i="13"/>
  <c r="F10" i="13"/>
  <c r="G9" i="13"/>
  <c r="H8" i="13"/>
  <c r="I7" i="13"/>
  <c r="C21" i="13"/>
  <c r="D17" i="13"/>
  <c r="B6" i="13"/>
  <c r="B18" i="13" s="1"/>
  <c r="C8" i="13"/>
  <c r="D6" i="13"/>
  <c r="E5" i="13"/>
  <c r="F4" i="13"/>
  <c r="G3" i="13"/>
  <c r="G11" i="13"/>
  <c r="H10" i="13"/>
  <c r="I9" i="13"/>
  <c r="C19" i="13"/>
  <c r="D18" i="13"/>
  <c r="C7" i="13"/>
  <c r="D7" i="13"/>
  <c r="E6" i="13"/>
  <c r="F5" i="13"/>
  <c r="G4" i="13"/>
  <c r="H3" i="13"/>
  <c r="H11" i="13"/>
  <c r="I10" i="13"/>
  <c r="M34" i="13" s="1"/>
  <c r="B7" i="13"/>
  <c r="B19" i="13" s="1"/>
  <c r="C6" i="13"/>
  <c r="D8" i="13"/>
  <c r="E7" i="13"/>
  <c r="F6" i="13"/>
  <c r="G5" i="13"/>
  <c r="H4" i="13"/>
  <c r="I3" i="13"/>
  <c r="I11" i="13"/>
  <c r="C5" i="13"/>
  <c r="D9" i="13"/>
  <c r="E8" i="13"/>
  <c r="F7" i="13"/>
  <c r="G6" i="13"/>
  <c r="H5" i="13"/>
  <c r="I4" i="13"/>
  <c r="M28" i="13" s="1"/>
  <c r="C15" i="13"/>
  <c r="B3" i="13"/>
  <c r="B15" i="13" s="1"/>
  <c r="C3" i="13"/>
  <c r="C4" i="13"/>
  <c r="D10" i="13"/>
  <c r="L34" i="13" s="1"/>
  <c r="E9" i="13"/>
  <c r="F8" i="13"/>
  <c r="K32" i="13" s="1"/>
  <c r="G7" i="13"/>
  <c r="H6" i="13"/>
  <c r="I5" i="13"/>
  <c r="K33" i="13"/>
  <c r="M35" i="12"/>
  <c r="B6" i="12"/>
  <c r="K35" i="12"/>
  <c r="K10" i="12"/>
  <c r="B5" i="12"/>
  <c r="B10" i="12"/>
  <c r="A17" i="12"/>
  <c r="B7" i="14"/>
  <c r="A17" i="14"/>
  <c r="B10" i="14"/>
  <c r="B4" i="14"/>
  <c r="B8" i="14"/>
  <c r="B9" i="14"/>
  <c r="B4" i="13"/>
  <c r="B16" i="13" s="1"/>
  <c r="B8" i="13"/>
  <c r="B20" i="13" s="1"/>
  <c r="A23" i="13"/>
  <c r="B5" i="13"/>
  <c r="B17" i="13" s="1"/>
  <c r="B10" i="13"/>
  <c r="B22" i="13" s="1"/>
  <c r="B11" i="12"/>
  <c r="A21" i="12"/>
  <c r="B3" i="12"/>
  <c r="B7" i="12"/>
  <c r="A16" i="12"/>
  <c r="A20" i="12"/>
  <c r="B4" i="12"/>
  <c r="B8" i="12"/>
  <c r="H12" i="13" l="1"/>
  <c r="K6" i="12"/>
  <c r="M30" i="13"/>
  <c r="M33" i="13"/>
  <c r="M32" i="13"/>
  <c r="K4" i="13"/>
  <c r="K7" i="12"/>
  <c r="M29" i="13"/>
  <c r="M31" i="12"/>
  <c r="M34" i="12"/>
  <c r="M27" i="13"/>
  <c r="M27" i="12"/>
  <c r="K31" i="12"/>
  <c r="L3" i="13"/>
  <c r="B19" i="3"/>
  <c r="L32" i="13"/>
  <c r="M31" i="13"/>
  <c r="M30" i="12"/>
  <c r="L29" i="13"/>
  <c r="M4" i="13"/>
  <c r="K34" i="13"/>
  <c r="B22" i="14"/>
  <c r="J34" i="14"/>
  <c r="B20" i="14"/>
  <c r="J32" i="14"/>
  <c r="B19" i="14"/>
  <c r="J31" i="14"/>
  <c r="B21" i="14"/>
  <c r="J33" i="14"/>
  <c r="B16" i="14"/>
  <c r="J28" i="14"/>
  <c r="B19" i="12"/>
  <c r="J31" i="12"/>
  <c r="M5" i="12"/>
  <c r="K5" i="12"/>
  <c r="L31" i="12"/>
  <c r="K8" i="12"/>
  <c r="B15" i="12"/>
  <c r="J27" i="12"/>
  <c r="M3" i="12"/>
  <c r="K3" i="12"/>
  <c r="B20" i="12"/>
  <c r="J32" i="12"/>
  <c r="B17" i="12"/>
  <c r="J29" i="12"/>
  <c r="B18" i="12"/>
  <c r="J30" i="12"/>
  <c r="B23" i="12"/>
  <c r="J35" i="12"/>
  <c r="L3" i="12"/>
  <c r="B16" i="12"/>
  <c r="J28" i="12"/>
  <c r="B22" i="12"/>
  <c r="J34" i="12"/>
  <c r="K34" i="12"/>
  <c r="K11" i="12"/>
  <c r="K4" i="12"/>
  <c r="L11" i="13"/>
  <c r="D23" i="13"/>
  <c r="D24" i="13" s="1"/>
  <c r="C23" i="13"/>
  <c r="K28" i="13"/>
  <c r="K27" i="13"/>
  <c r="K29" i="13"/>
  <c r="L5" i="13"/>
  <c r="M6" i="13"/>
  <c r="K6" i="13"/>
  <c r="L27" i="13"/>
  <c r="K30" i="13"/>
  <c r="L6" i="13"/>
  <c r="L31" i="13"/>
  <c r="L30" i="13"/>
  <c r="M9" i="13"/>
  <c r="K9" i="13"/>
  <c r="L8" i="13"/>
  <c r="M11" i="13"/>
  <c r="K11" i="13"/>
  <c r="K31" i="13"/>
  <c r="L7" i="13"/>
  <c r="M3" i="13"/>
  <c r="K3" i="13"/>
  <c r="L4" i="13"/>
  <c r="M8" i="13"/>
  <c r="K8" i="13"/>
  <c r="L28" i="13"/>
  <c r="M5" i="13"/>
  <c r="K5" i="13"/>
  <c r="L33" i="13"/>
  <c r="K7" i="13"/>
  <c r="M7" i="13"/>
  <c r="L10" i="13"/>
  <c r="K10" i="13"/>
  <c r="M10" i="13"/>
  <c r="L9" i="13"/>
  <c r="L5" i="12"/>
  <c r="L30" i="12"/>
  <c r="L35" i="12"/>
  <c r="K30" i="12"/>
  <c r="L27" i="12"/>
  <c r="L34" i="12"/>
  <c r="C12" i="12"/>
  <c r="L6" i="12"/>
  <c r="L7" i="12"/>
  <c r="M11" i="12"/>
  <c r="M10" i="12"/>
  <c r="M7" i="12"/>
  <c r="M6" i="12"/>
  <c r="L10" i="12"/>
  <c r="L11" i="12"/>
  <c r="C12" i="13"/>
  <c r="E12" i="13"/>
  <c r="G12" i="13"/>
  <c r="D12" i="13"/>
  <c r="E12" i="12"/>
  <c r="H12" i="12"/>
  <c r="G12" i="12"/>
  <c r="D12" i="12"/>
  <c r="H12" i="14" l="1"/>
  <c r="K12" i="12"/>
  <c r="L31" i="14"/>
  <c r="M29" i="12"/>
  <c r="L32" i="14"/>
  <c r="M32" i="12"/>
  <c r="M28" i="12"/>
  <c r="K8" i="14"/>
  <c r="L33" i="14"/>
  <c r="M33" i="12"/>
  <c r="M35" i="13"/>
  <c r="L35" i="13"/>
  <c r="L35" i="14"/>
  <c r="K4" i="14"/>
  <c r="K12" i="13"/>
  <c r="C24" i="13"/>
  <c r="K35" i="13"/>
  <c r="B21" i="3" s="1"/>
  <c r="K35" i="14"/>
  <c r="K7" i="14"/>
  <c r="K10" i="14"/>
  <c r="K5" i="14"/>
  <c r="K3" i="14"/>
  <c r="K34" i="14"/>
  <c r="K27" i="14"/>
  <c r="L27" i="14"/>
  <c r="K6" i="14"/>
  <c r="K9" i="14"/>
  <c r="K11" i="14"/>
  <c r="L30" i="14"/>
  <c r="L34" i="14"/>
  <c r="K29" i="14"/>
  <c r="K32" i="14"/>
  <c r="D12" i="14"/>
  <c r="K33" i="14"/>
  <c r="K28" i="12"/>
  <c r="L29" i="14"/>
  <c r="L29" i="12"/>
  <c r="L32" i="12"/>
  <c r="K28" i="14"/>
  <c r="K31" i="14"/>
  <c r="K32" i="12"/>
  <c r="L33" i="12"/>
  <c r="L28" i="12"/>
  <c r="K30" i="14"/>
  <c r="L28" i="14"/>
  <c r="K29" i="12"/>
  <c r="I11" i="14"/>
  <c r="I3" i="14"/>
  <c r="L4" i="12"/>
  <c r="F12" i="14"/>
  <c r="G12" i="14"/>
  <c r="I10" i="14"/>
  <c r="I4" i="14"/>
  <c r="M8" i="12"/>
  <c r="M4" i="12"/>
  <c r="I8" i="14"/>
  <c r="I7" i="14"/>
  <c r="I9" i="14"/>
  <c r="C24" i="12"/>
  <c r="I5" i="14"/>
  <c r="E12" i="14"/>
  <c r="C12" i="14"/>
  <c r="D24" i="12"/>
  <c r="I6" i="14"/>
  <c r="C24" i="14"/>
  <c r="F12" i="13"/>
  <c r="I12" i="13"/>
  <c r="F12" i="12"/>
  <c r="B22" i="3" l="1"/>
  <c r="M9" i="14"/>
  <c r="M33" i="14"/>
  <c r="L6" i="14"/>
  <c r="M30" i="14"/>
  <c r="M8" i="14"/>
  <c r="M32" i="14"/>
  <c r="M3" i="14"/>
  <c r="M27" i="14"/>
  <c r="M7" i="14"/>
  <c r="M31" i="14"/>
  <c r="M11" i="14"/>
  <c r="M35" i="14"/>
  <c r="M4" i="14"/>
  <c r="M28" i="14"/>
  <c r="L3" i="14"/>
  <c r="L5" i="14"/>
  <c r="M29" i="14"/>
  <c r="L10" i="14"/>
  <c r="M34" i="14"/>
  <c r="M12" i="13"/>
  <c r="M6" i="14"/>
  <c r="M5" i="14"/>
  <c r="M10" i="14"/>
  <c r="L12" i="13"/>
  <c r="L11" i="14"/>
  <c r="L4" i="14"/>
  <c r="L9" i="14"/>
  <c r="L7" i="14"/>
  <c r="L8" i="14"/>
  <c r="K12" i="14"/>
  <c r="D24" i="14"/>
  <c r="I12" i="14"/>
  <c r="L9" i="12"/>
  <c r="M9" i="12"/>
  <c r="I12" i="12"/>
  <c r="L12" i="14" l="1"/>
  <c r="B23" i="3"/>
  <c r="B20" i="3"/>
  <c r="M12" i="14"/>
  <c r="L12" i="12"/>
  <c r="M12" i="12"/>
  <c r="J27" i="2" l="1"/>
  <c r="B25" i="3" s="1"/>
  <c r="K18" i="2"/>
  <c r="K26" i="2"/>
  <c r="K25" i="2"/>
  <c r="K24" i="2"/>
  <c r="K23" i="2"/>
  <c r="K22" i="2"/>
  <c r="K21" i="2"/>
  <c r="K20" i="2"/>
  <c r="K19" i="2"/>
  <c r="D2" i="2" l="1"/>
  <c r="K2" i="6" l="1"/>
  <c r="K2" i="5"/>
  <c r="A1" i="5" s="1"/>
  <c r="G26" i="8"/>
  <c r="F26" i="8"/>
  <c r="E26" i="8"/>
  <c r="D26" i="8"/>
  <c r="C26" i="8"/>
  <c r="G14" i="8"/>
  <c r="F14" i="8"/>
  <c r="E14" i="8"/>
  <c r="D14" i="8"/>
  <c r="C14" i="8"/>
  <c r="B14" i="8"/>
  <c r="B26" i="8" s="1"/>
  <c r="A14" i="8"/>
  <c r="A26" i="8" s="1"/>
  <c r="A11" i="8"/>
  <c r="A23" i="8" s="1"/>
  <c r="A35" i="8" s="1"/>
  <c r="A10" i="8"/>
  <c r="B10" i="8" s="1"/>
  <c r="B22" i="8" s="1"/>
  <c r="B34" i="8" s="1"/>
  <c r="A9" i="8"/>
  <c r="A21" i="8" s="1"/>
  <c r="A33" i="8" s="1"/>
  <c r="A8" i="8"/>
  <c r="A20" i="8" s="1"/>
  <c r="A32" i="8" s="1"/>
  <c r="A7" i="8"/>
  <c r="B7" i="8" s="1"/>
  <c r="B19" i="8" s="1"/>
  <c r="B31" i="8" s="1"/>
  <c r="A6" i="8"/>
  <c r="A18" i="8" s="1"/>
  <c r="A30" i="8" s="1"/>
  <c r="A5" i="8"/>
  <c r="A17" i="8" s="1"/>
  <c r="A29" i="8" s="1"/>
  <c r="A4" i="8"/>
  <c r="A16" i="8" s="1"/>
  <c r="A28" i="8" s="1"/>
  <c r="A3" i="8"/>
  <c r="B3" i="8" s="1"/>
  <c r="B15" i="8" s="1"/>
  <c r="B27" i="8" s="1"/>
  <c r="I2" i="8"/>
  <c r="H2" i="8"/>
  <c r="G2" i="8"/>
  <c r="F2" i="8"/>
  <c r="E2" i="8"/>
  <c r="D2" i="8"/>
  <c r="C2" i="8"/>
  <c r="K2" i="8"/>
  <c r="A1" i="8" s="1"/>
  <c r="K2" i="7"/>
  <c r="A1" i="7" s="1"/>
  <c r="G26" i="7"/>
  <c r="F26" i="7"/>
  <c r="E26" i="7"/>
  <c r="D26" i="7"/>
  <c r="C26" i="7"/>
  <c r="A26" i="7"/>
  <c r="G14" i="7"/>
  <c r="F14" i="7"/>
  <c r="E14" i="7"/>
  <c r="D14" i="7"/>
  <c r="C14" i="7"/>
  <c r="B14" i="7"/>
  <c r="B26" i="7" s="1"/>
  <c r="A14" i="7"/>
  <c r="A11" i="7"/>
  <c r="A23" i="7" s="1"/>
  <c r="A10" i="7"/>
  <c r="A22" i="7" s="1"/>
  <c r="A34" i="7" s="1"/>
  <c r="E34" i="7" s="1"/>
  <c r="A9" i="7"/>
  <c r="A21" i="7" s="1"/>
  <c r="A33" i="7" s="1"/>
  <c r="E33" i="7" s="1"/>
  <c r="A8" i="7"/>
  <c r="A20" i="7" s="1"/>
  <c r="A32" i="7" s="1"/>
  <c r="E32" i="7" s="1"/>
  <c r="A7" i="7"/>
  <c r="B7" i="7" s="1"/>
  <c r="B19" i="7" s="1"/>
  <c r="B31" i="7" s="1"/>
  <c r="A6" i="7"/>
  <c r="B6" i="7" s="1"/>
  <c r="B18" i="7" s="1"/>
  <c r="B30" i="7" s="1"/>
  <c r="A5" i="7"/>
  <c r="A17" i="7" s="1"/>
  <c r="A29" i="7" s="1"/>
  <c r="E29" i="7" s="1"/>
  <c r="A4" i="7"/>
  <c r="A16" i="7" s="1"/>
  <c r="A3" i="7"/>
  <c r="A15" i="7" s="1"/>
  <c r="I2" i="7"/>
  <c r="H2" i="7"/>
  <c r="G2" i="7"/>
  <c r="F2" i="7"/>
  <c r="E2" i="7"/>
  <c r="D2" i="7"/>
  <c r="C2" i="7"/>
  <c r="A19" i="7" l="1"/>
  <c r="A31" i="7" s="1"/>
  <c r="E31" i="7" s="1"/>
  <c r="A22" i="8"/>
  <c r="A34" i="8" s="1"/>
  <c r="B10" i="7"/>
  <c r="B22" i="7" s="1"/>
  <c r="B34" i="7" s="1"/>
  <c r="B4" i="7"/>
  <c r="B16" i="7" s="1"/>
  <c r="B28" i="7" s="1"/>
  <c r="B11" i="7"/>
  <c r="B23" i="7" s="1"/>
  <c r="B35" i="7" s="1"/>
  <c r="B4" i="8"/>
  <c r="B16" i="8" s="1"/>
  <c r="B28" i="8" s="1"/>
  <c r="B5" i="7"/>
  <c r="B17" i="7" s="1"/>
  <c r="B29" i="7" s="1"/>
  <c r="B8" i="8"/>
  <c r="B20" i="8" s="1"/>
  <c r="B32" i="8" s="1"/>
  <c r="B9" i="8"/>
  <c r="B21" i="8" s="1"/>
  <c r="B33" i="8" s="1"/>
  <c r="B9" i="7"/>
  <c r="B21" i="7" s="1"/>
  <c r="B33" i="7" s="1"/>
  <c r="A18" i="7"/>
  <c r="A30" i="7" s="1"/>
  <c r="E30" i="7" s="1"/>
  <c r="B8" i="7"/>
  <c r="B20" i="7" s="1"/>
  <c r="B32" i="7" s="1"/>
  <c r="A15" i="8"/>
  <c r="A27" i="8" s="1"/>
  <c r="B11" i="8"/>
  <c r="B23" i="8" s="1"/>
  <c r="B35" i="8" s="1"/>
  <c r="B6" i="8"/>
  <c r="B18" i="8" s="1"/>
  <c r="B30" i="8" s="1"/>
  <c r="A19" i="8"/>
  <c r="A31" i="8" s="1"/>
  <c r="B5" i="8"/>
  <c r="B17" i="8" s="1"/>
  <c r="B29" i="8" s="1"/>
  <c r="A28" i="7"/>
  <c r="E28" i="7" s="1"/>
  <c r="A27" i="7"/>
  <c r="E27" i="7" s="1"/>
  <c r="A35" i="7"/>
  <c r="E35" i="7" s="1"/>
  <c r="B3" i="7"/>
  <c r="B15" i="7" s="1"/>
  <c r="B27" i="7" s="1"/>
  <c r="E36" i="7" l="1"/>
  <c r="G26" i="6"/>
  <c r="F26" i="6"/>
  <c r="E26" i="6"/>
  <c r="D26" i="6"/>
  <c r="C26" i="6"/>
  <c r="F14" i="6"/>
  <c r="E14" i="6"/>
  <c r="D14" i="6"/>
  <c r="C14" i="6"/>
  <c r="B14" i="6"/>
  <c r="B26" i="6" s="1"/>
  <c r="A14" i="6"/>
  <c r="A26" i="6" s="1"/>
  <c r="A11" i="6"/>
  <c r="A10" i="6"/>
  <c r="A9" i="6"/>
  <c r="A8" i="6"/>
  <c r="A20" i="6" s="1"/>
  <c r="F20" i="6" s="1"/>
  <c r="K22" i="10" s="1"/>
  <c r="A7" i="6"/>
  <c r="A6" i="6"/>
  <c r="A5" i="6"/>
  <c r="A4" i="6"/>
  <c r="A16" i="6" s="1"/>
  <c r="A3" i="6"/>
  <c r="I2" i="6"/>
  <c r="H2" i="6"/>
  <c r="G2" i="6"/>
  <c r="F2" i="6"/>
  <c r="E2" i="6"/>
  <c r="E6" i="6" s="1"/>
  <c r="M20" i="10" s="1"/>
  <c r="D2" i="6"/>
  <c r="C2" i="6"/>
  <c r="A1" i="6"/>
  <c r="D8" i="6" l="1"/>
  <c r="A23" i="6"/>
  <c r="G11" i="6"/>
  <c r="D11" i="6"/>
  <c r="B3" i="6"/>
  <c r="B15" i="6" s="1"/>
  <c r="B27" i="6" s="1"/>
  <c r="G3" i="6"/>
  <c r="D3" i="6"/>
  <c r="A15" i="6"/>
  <c r="A27" i="6" s="1"/>
  <c r="C27" i="6" s="1"/>
  <c r="N4" i="10" s="1"/>
  <c r="A17" i="6"/>
  <c r="D17" i="6" s="1"/>
  <c r="G5" i="6"/>
  <c r="D5" i="6"/>
  <c r="A22" i="6"/>
  <c r="A34" i="6" s="1"/>
  <c r="G10" i="6"/>
  <c r="D10" i="6"/>
  <c r="B10" i="6"/>
  <c r="B22" i="6" s="1"/>
  <c r="B34" i="6" s="1"/>
  <c r="B4" i="6"/>
  <c r="B16" i="6" s="1"/>
  <c r="B28" i="6" s="1"/>
  <c r="C34" i="6"/>
  <c r="N11" i="10" s="1"/>
  <c r="A18" i="6"/>
  <c r="D6" i="6"/>
  <c r="G6" i="6"/>
  <c r="B7" i="6"/>
  <c r="B19" i="6" s="1"/>
  <c r="B31" i="6" s="1"/>
  <c r="D7" i="6"/>
  <c r="G7" i="6"/>
  <c r="D20" i="6"/>
  <c r="H10" i="6"/>
  <c r="L11" i="10" s="1"/>
  <c r="D9" i="6"/>
  <c r="G9" i="6"/>
  <c r="E7" i="6"/>
  <c r="H3" i="6"/>
  <c r="L4" i="10" s="1"/>
  <c r="H4" i="6"/>
  <c r="L5" i="10" s="1"/>
  <c r="C18" i="6"/>
  <c r="H11" i="6"/>
  <c r="L12" i="10" s="1"/>
  <c r="C17" i="6"/>
  <c r="D22" i="6"/>
  <c r="C3" i="6"/>
  <c r="C5" i="6"/>
  <c r="K6" i="10" s="1"/>
  <c r="C4" i="6"/>
  <c r="C16" i="6"/>
  <c r="F16" i="6"/>
  <c r="K18" i="10" s="1"/>
  <c r="C10" i="6"/>
  <c r="K11" i="10" s="1"/>
  <c r="E9" i="6"/>
  <c r="M23" i="10" s="1"/>
  <c r="H5" i="6"/>
  <c r="L6" i="10" s="1"/>
  <c r="C23" i="6"/>
  <c r="D23" i="6"/>
  <c r="F22" i="6"/>
  <c r="K24" i="10" s="1"/>
  <c r="C9" i="6"/>
  <c r="K10" i="10" s="1"/>
  <c r="E10" i="6"/>
  <c r="F10" i="6" s="1"/>
  <c r="H6" i="6"/>
  <c r="L7" i="10" s="1"/>
  <c r="C22" i="6"/>
  <c r="D16" i="6"/>
  <c r="F23" i="6"/>
  <c r="K25" i="10" s="1"/>
  <c r="C8" i="6"/>
  <c r="K9" i="10" s="1"/>
  <c r="E11" i="6"/>
  <c r="F11" i="6" s="1"/>
  <c r="H7" i="6"/>
  <c r="L8" i="10" s="1"/>
  <c r="C11" i="6"/>
  <c r="K12" i="10" s="1"/>
  <c r="E8" i="6"/>
  <c r="M22" i="10" s="1"/>
  <c r="E3" i="6"/>
  <c r="M17" i="10" s="1"/>
  <c r="B8" i="6"/>
  <c r="B20" i="6" s="1"/>
  <c r="B32" i="6" s="1"/>
  <c r="C7" i="6"/>
  <c r="K8" i="10" s="1"/>
  <c r="E4" i="6"/>
  <c r="M18" i="10" s="1"/>
  <c r="G4" i="6"/>
  <c r="H8" i="6"/>
  <c r="L9" i="10" s="1"/>
  <c r="C20" i="6"/>
  <c r="D18" i="6"/>
  <c r="E18" i="6" s="1"/>
  <c r="P7" i="10" s="1"/>
  <c r="F17" i="6"/>
  <c r="K19" i="10" s="1"/>
  <c r="D34" i="6"/>
  <c r="O11" i="10" s="1"/>
  <c r="F34" i="6"/>
  <c r="O24" i="10" s="1"/>
  <c r="C6" i="6"/>
  <c r="K7" i="10" s="1"/>
  <c r="E5" i="6"/>
  <c r="M19" i="10" s="1"/>
  <c r="H9" i="6"/>
  <c r="L10" i="10" s="1"/>
  <c r="F18" i="6"/>
  <c r="K20" i="10" s="1"/>
  <c r="E34" i="6"/>
  <c r="N24" i="10" s="1"/>
  <c r="D4" i="6"/>
  <c r="G34" i="6"/>
  <c r="P24" i="10" s="1"/>
  <c r="G8" i="6"/>
  <c r="F7" i="6"/>
  <c r="M21" i="10"/>
  <c r="K5" i="10"/>
  <c r="K4" i="10"/>
  <c r="F6" i="6"/>
  <c r="A29" i="6"/>
  <c r="F29" i="6" s="1"/>
  <c r="A30" i="6"/>
  <c r="D30" i="6" s="1"/>
  <c r="O7" i="10" s="1"/>
  <c r="A32" i="6"/>
  <c r="A35" i="6"/>
  <c r="G35" i="6" s="1"/>
  <c r="B5" i="6"/>
  <c r="B17" i="6" s="1"/>
  <c r="B29" i="6" s="1"/>
  <c r="B11" i="6"/>
  <c r="B23" i="6" s="1"/>
  <c r="B35" i="6" s="1"/>
  <c r="A21" i="6"/>
  <c r="C21" i="6" s="1"/>
  <c r="A28" i="6"/>
  <c r="E28" i="6" s="1"/>
  <c r="N18" i="10" s="1"/>
  <c r="B9" i="6"/>
  <c r="B21" i="6" s="1"/>
  <c r="B33" i="6" s="1"/>
  <c r="B6" i="6"/>
  <c r="B18" i="6" s="1"/>
  <c r="B30" i="6" s="1"/>
  <c r="A19" i="6"/>
  <c r="D19" i="6" s="1"/>
  <c r="F4" i="6" l="1"/>
  <c r="E27" i="6"/>
  <c r="N17" i="10" s="1"/>
  <c r="G27" i="6"/>
  <c r="P17" i="10" s="1"/>
  <c r="E16" i="6"/>
  <c r="P5" i="10" s="1"/>
  <c r="E20" i="6"/>
  <c r="P9" i="10" s="1"/>
  <c r="C15" i="6"/>
  <c r="F27" i="6"/>
  <c r="O17" i="10" s="1"/>
  <c r="D27" i="6"/>
  <c r="O4" i="10" s="1"/>
  <c r="F15" i="6"/>
  <c r="K17" i="10" s="1"/>
  <c r="D15" i="6"/>
  <c r="M24" i="10"/>
  <c r="M25" i="10"/>
  <c r="H12" i="6"/>
  <c r="L13" i="10" s="1"/>
  <c r="F5" i="6"/>
  <c r="C29" i="6"/>
  <c r="N6" i="10" s="1"/>
  <c r="G29" i="6"/>
  <c r="P19" i="10" s="1"/>
  <c r="G30" i="6"/>
  <c r="P20" i="10" s="1"/>
  <c r="C19" i="6"/>
  <c r="F3" i="6"/>
  <c r="I3" i="6" s="1"/>
  <c r="F8" i="6"/>
  <c r="O19" i="10"/>
  <c r="K29" i="6"/>
  <c r="P25" i="10"/>
  <c r="C28" i="6"/>
  <c r="N5" i="10" s="1"/>
  <c r="D35" i="6"/>
  <c r="O12" i="10" s="1"/>
  <c r="C32" i="6"/>
  <c r="N9" i="10" s="1"/>
  <c r="E32" i="6"/>
  <c r="N22" i="10" s="1"/>
  <c r="F9" i="6"/>
  <c r="G28" i="6"/>
  <c r="F19" i="6"/>
  <c r="K21" i="10" s="1"/>
  <c r="C35" i="6"/>
  <c r="N12" i="10" s="1"/>
  <c r="F32" i="6"/>
  <c r="O22" i="10" s="1"/>
  <c r="E35" i="6"/>
  <c r="N25" i="10" s="1"/>
  <c r="F28" i="6"/>
  <c r="O18" i="10" s="1"/>
  <c r="D32" i="6"/>
  <c r="O9" i="10" s="1"/>
  <c r="G32" i="6"/>
  <c r="C30" i="6"/>
  <c r="N7" i="10" s="1"/>
  <c r="L34" i="6"/>
  <c r="D21" i="6"/>
  <c r="E21" i="6" s="1"/>
  <c r="P10" i="10" s="1"/>
  <c r="F21" i="6"/>
  <c r="K23" i="10" s="1"/>
  <c r="D29" i="6"/>
  <c r="O6" i="10" s="1"/>
  <c r="E29" i="6"/>
  <c r="F35" i="6"/>
  <c r="O25" i="10" s="1"/>
  <c r="K34" i="6"/>
  <c r="F30" i="6"/>
  <c r="O20" i="10" s="1"/>
  <c r="E30" i="6"/>
  <c r="N20" i="10" s="1"/>
  <c r="D28" i="6"/>
  <c r="O5" i="10" s="1"/>
  <c r="I6" i="6"/>
  <c r="I7" i="6"/>
  <c r="I8" i="6"/>
  <c r="I4" i="6"/>
  <c r="G12" i="6"/>
  <c r="A31" i="6"/>
  <c r="E22" i="6"/>
  <c r="P11" i="10" s="1"/>
  <c r="D12" i="6"/>
  <c r="I11" i="6"/>
  <c r="E17" i="6"/>
  <c r="P6" i="10" s="1"/>
  <c r="I5" i="6"/>
  <c r="E23" i="6"/>
  <c r="P12" i="10" s="1"/>
  <c r="C12" i="6"/>
  <c r="K13" i="10" s="1"/>
  <c r="E12" i="6"/>
  <c r="M26" i="10" s="1"/>
  <c r="A33" i="6"/>
  <c r="L27" i="6" l="1"/>
  <c r="E15" i="6"/>
  <c r="P4" i="10" s="1"/>
  <c r="K27" i="6"/>
  <c r="K30" i="6"/>
  <c r="L35" i="6"/>
  <c r="F12" i="6"/>
  <c r="K5" i="6" s="1"/>
  <c r="L30" i="6"/>
  <c r="N19" i="10"/>
  <c r="P22" i="10"/>
  <c r="L32" i="6"/>
  <c r="L29" i="6"/>
  <c r="K35" i="6"/>
  <c r="F24" i="6"/>
  <c r="K26" i="10" s="1"/>
  <c r="P18" i="10"/>
  <c r="L28" i="6"/>
  <c r="G31" i="6"/>
  <c r="E31" i="6"/>
  <c r="N21" i="10" s="1"/>
  <c r="F31" i="6"/>
  <c r="C31" i="6"/>
  <c r="N8" i="10" s="1"/>
  <c r="D31" i="6"/>
  <c r="O8" i="10" s="1"/>
  <c r="K32" i="6"/>
  <c r="C33" i="6"/>
  <c r="N10" i="10" s="1"/>
  <c r="D33" i="6"/>
  <c r="O10" i="10" s="1"/>
  <c r="E33" i="6"/>
  <c r="N23" i="10" s="1"/>
  <c r="F33" i="6"/>
  <c r="G33" i="6"/>
  <c r="K28" i="6"/>
  <c r="E19" i="6"/>
  <c r="P8" i="10" s="1"/>
  <c r="C24" i="6"/>
  <c r="D24" i="6"/>
  <c r="I9" i="6"/>
  <c r="I10" i="6"/>
  <c r="E24" i="6" l="1"/>
  <c r="P13" i="10" s="1"/>
  <c r="P23" i="10"/>
  <c r="L33" i="6"/>
  <c r="O23" i="10"/>
  <c r="K33" i="6"/>
  <c r="P21" i="10"/>
  <c r="L31" i="6"/>
  <c r="E36" i="6"/>
  <c r="N26" i="10" s="1"/>
  <c r="O21" i="10"/>
  <c r="K31" i="6"/>
  <c r="I12" i="6"/>
  <c r="K6" i="6" s="1"/>
  <c r="F36" i="6"/>
  <c r="K7" i="6"/>
  <c r="C36" i="6"/>
  <c r="N13" i="10" s="1"/>
  <c r="D36" i="6"/>
  <c r="O13" i="10" s="1"/>
  <c r="K4" i="6" l="1"/>
  <c r="O26" i="10"/>
  <c r="G36" i="6"/>
  <c r="K3" i="6" l="1"/>
  <c r="P26" i="10"/>
  <c r="D26" i="5"/>
  <c r="E26" i="5"/>
  <c r="F26" i="5"/>
  <c r="G26" i="5"/>
  <c r="C26" i="5"/>
  <c r="D14" i="5"/>
  <c r="E14" i="5"/>
  <c r="F14" i="5"/>
  <c r="C14" i="5"/>
  <c r="D2" i="5"/>
  <c r="E2" i="5"/>
  <c r="F2" i="5"/>
  <c r="G2" i="5"/>
  <c r="H2" i="5"/>
  <c r="I2" i="5"/>
  <c r="C2" i="5"/>
  <c r="A4" i="5" l="1"/>
  <c r="H4" i="5" s="1"/>
  <c r="A5" i="5"/>
  <c r="G5" i="5" s="1"/>
  <c r="A6" i="5"/>
  <c r="D6" i="5" s="1"/>
  <c r="A7" i="5"/>
  <c r="E7" i="5" s="1"/>
  <c r="A8" i="5"/>
  <c r="G8" i="5" s="1"/>
  <c r="A9" i="5"/>
  <c r="H9" i="5" s="1"/>
  <c r="A10" i="5"/>
  <c r="G10" i="5" s="1"/>
  <c r="A11" i="5"/>
  <c r="E11" i="5" s="1"/>
  <c r="A3" i="5"/>
  <c r="H3" i="5" s="1"/>
  <c r="D11" i="5" l="1"/>
  <c r="D10" i="5"/>
  <c r="D7" i="5"/>
  <c r="D3" i="5"/>
  <c r="D8" i="5"/>
  <c r="D9" i="5"/>
  <c r="C5" i="5"/>
  <c r="D4" i="5"/>
  <c r="B3" i="5"/>
  <c r="B8" i="5"/>
  <c r="E8" i="5"/>
  <c r="B4" i="5"/>
  <c r="E4" i="5"/>
  <c r="C4" i="5"/>
  <c r="H8" i="5"/>
  <c r="C9" i="5"/>
  <c r="H5" i="5"/>
  <c r="B6" i="5"/>
  <c r="C6" i="5"/>
  <c r="E9" i="5"/>
  <c r="G3" i="5"/>
  <c r="H10" i="5"/>
  <c r="G7" i="5"/>
  <c r="G11" i="5"/>
  <c r="B5" i="5"/>
  <c r="C11" i="5"/>
  <c r="E3" i="5"/>
  <c r="G4" i="5"/>
  <c r="H11" i="5"/>
  <c r="B7" i="5"/>
  <c r="C7" i="5"/>
  <c r="E6" i="5"/>
  <c r="H7" i="5"/>
  <c r="B11" i="5"/>
  <c r="C8" i="5"/>
  <c r="E5" i="5"/>
  <c r="H6" i="5"/>
  <c r="B10" i="5"/>
  <c r="C10" i="5"/>
  <c r="D5" i="5"/>
  <c r="E10" i="5"/>
  <c r="G6" i="5"/>
  <c r="G9" i="5"/>
  <c r="B9" i="5"/>
  <c r="C3" i="5"/>
  <c r="B14" i="5"/>
  <c r="B26" i="5" s="1"/>
  <c r="A14" i="5"/>
  <c r="A26" i="5" s="1"/>
  <c r="B15" i="5" l="1"/>
  <c r="B27" i="5" s="1"/>
  <c r="A15" i="5"/>
  <c r="F15" i="5" l="1"/>
  <c r="D15" i="5"/>
  <c r="C15" i="5"/>
  <c r="B16" i="5"/>
  <c r="B28" i="5" s="1"/>
  <c r="A16" i="5"/>
  <c r="A27" i="5"/>
  <c r="C16" i="5" l="1"/>
  <c r="F16" i="5"/>
  <c r="D16" i="5"/>
  <c r="E27" i="5"/>
  <c r="C27" i="5"/>
  <c r="D27" i="5"/>
  <c r="A17" i="5"/>
  <c r="B17" i="5"/>
  <c r="B29" i="5" s="1"/>
  <c r="A28" i="5"/>
  <c r="E28" i="5" l="1"/>
  <c r="D28" i="5"/>
  <c r="C28" i="5"/>
  <c r="D17" i="5"/>
  <c r="F17" i="5"/>
  <c r="C17" i="5"/>
  <c r="A18" i="5"/>
  <c r="B18" i="5"/>
  <c r="B30" i="5" s="1"/>
  <c r="A29" i="5"/>
  <c r="C18" i="5" l="1"/>
  <c r="F18" i="5"/>
  <c r="D18" i="5"/>
  <c r="E29" i="5"/>
  <c r="D29" i="5"/>
  <c r="C29" i="5"/>
  <c r="A30" i="5"/>
  <c r="A19" i="5"/>
  <c r="B19" i="5"/>
  <c r="B31" i="5" s="1"/>
  <c r="D19" i="5" l="1"/>
  <c r="F19" i="5"/>
  <c r="C19" i="5"/>
  <c r="E30" i="5"/>
  <c r="C30" i="5"/>
  <c r="D30" i="5"/>
  <c r="A21" i="5"/>
  <c r="B21" i="5"/>
  <c r="B33" i="5" s="1"/>
  <c r="B20" i="5"/>
  <c r="B32" i="5" s="1"/>
  <c r="A20" i="5"/>
  <c r="A31" i="5"/>
  <c r="D21" i="5" l="1"/>
  <c r="C21" i="5"/>
  <c r="F21" i="5"/>
  <c r="E31" i="5"/>
  <c r="D31" i="5"/>
  <c r="C31" i="5"/>
  <c r="F20" i="5"/>
  <c r="C20" i="5"/>
  <c r="D20" i="5"/>
  <c r="A33" i="5"/>
  <c r="A32" i="5"/>
  <c r="A22" i="5"/>
  <c r="B22" i="5"/>
  <c r="B34" i="5" s="1"/>
  <c r="E33" i="5" l="1"/>
  <c r="C33" i="5"/>
  <c r="D33" i="5"/>
  <c r="D22" i="5"/>
  <c r="F22" i="5"/>
  <c r="C22" i="5"/>
  <c r="E32" i="5"/>
  <c r="D32" i="5"/>
  <c r="C32" i="5"/>
  <c r="B23" i="5"/>
  <c r="B35" i="5" s="1"/>
  <c r="A23" i="5"/>
  <c r="A34" i="5"/>
  <c r="E34" i="5" l="1"/>
  <c r="C34" i="5"/>
  <c r="D34" i="5"/>
  <c r="C23" i="5"/>
  <c r="F23" i="5"/>
  <c r="D23" i="5"/>
  <c r="A35" i="5"/>
  <c r="E35" i="5" l="1"/>
  <c r="D35" i="5"/>
  <c r="C35" i="5"/>
  <c r="B24" i="3"/>
  <c r="K4" i="2" l="1"/>
  <c r="K12" i="2" l="1"/>
  <c r="K11" i="2"/>
  <c r="K10" i="2"/>
  <c r="K9" i="2"/>
  <c r="K8" i="2"/>
  <c r="K7" i="2"/>
  <c r="K6" i="2"/>
  <c r="K5" i="2"/>
  <c r="E2" i="2"/>
  <c r="C3" i="2"/>
  <c r="A1" i="2"/>
  <c r="B3" i="2"/>
  <c r="A5" i="2"/>
  <c r="A6" i="2"/>
  <c r="A7" i="2"/>
  <c r="A8" i="2"/>
  <c r="A9" i="2"/>
  <c r="A10" i="2"/>
  <c r="A11" i="2"/>
  <c r="A12" i="2"/>
  <c r="A4" i="2"/>
  <c r="D4" i="2" s="1"/>
  <c r="L18" i="2" s="1"/>
  <c r="D7" i="7" l="1"/>
  <c r="D7" i="8" s="1"/>
  <c r="D6" i="7"/>
  <c r="D6" i="8" s="1"/>
  <c r="C3" i="7"/>
  <c r="C3" i="8" s="1"/>
  <c r="C4" i="7"/>
  <c r="C4" i="8" s="1"/>
  <c r="D11" i="7"/>
  <c r="D11" i="8" s="1"/>
  <c r="D9" i="7"/>
  <c r="D9" i="8" s="1"/>
  <c r="E3" i="7"/>
  <c r="E3" i="8" s="1"/>
  <c r="E27" i="8"/>
  <c r="D35" i="7"/>
  <c r="G17" i="7"/>
  <c r="G17" i="8" s="1"/>
  <c r="F18" i="7"/>
  <c r="F18" i="8" s="1"/>
  <c r="G10" i="7"/>
  <c r="F11" i="5"/>
  <c r="F35" i="5" s="1"/>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F31" i="5" s="1"/>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E10" i="2"/>
  <c r="E6" i="2"/>
  <c r="E4" i="2"/>
  <c r="E9" i="2"/>
  <c r="B11" i="2"/>
  <c r="B7" i="2"/>
  <c r="C4" i="2"/>
  <c r="B8" i="2"/>
  <c r="B12" i="2"/>
  <c r="B5" i="2"/>
  <c r="B9" i="2"/>
  <c r="B6" i="2"/>
  <c r="B10" i="2"/>
  <c r="F7" i="2" l="1"/>
  <c r="D12" i="2"/>
  <c r="D5" i="2"/>
  <c r="D7" i="2"/>
  <c r="D6" i="2"/>
  <c r="D10" i="2"/>
  <c r="D9" i="2"/>
  <c r="D11" i="2"/>
  <c r="D8" i="2"/>
  <c r="F10" i="2"/>
  <c r="D8" i="7"/>
  <c r="F8" i="7" s="1"/>
  <c r="F8" i="5"/>
  <c r="F32" i="5" s="1"/>
  <c r="D10" i="7"/>
  <c r="D10" i="8" s="1"/>
  <c r="F10" i="5"/>
  <c r="F34" i="5" s="1"/>
  <c r="E9" i="7"/>
  <c r="E9" i="8" s="1"/>
  <c r="F9" i="5"/>
  <c r="F33" i="5" s="1"/>
  <c r="D4" i="7"/>
  <c r="D4" i="8" s="1"/>
  <c r="F4" i="5"/>
  <c r="F28" i="5" s="1"/>
  <c r="E6" i="7"/>
  <c r="E6" i="8" s="1"/>
  <c r="F6" i="5"/>
  <c r="F30" i="5" s="1"/>
  <c r="D5" i="7"/>
  <c r="D5" i="8" s="1"/>
  <c r="F5" i="5"/>
  <c r="F29" i="5" s="1"/>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G16" i="7"/>
  <c r="E11" i="7"/>
  <c r="F11" i="7" s="1"/>
  <c r="D27" i="7"/>
  <c r="G3" i="8"/>
  <c r="G12" i="7"/>
  <c r="D23" i="7"/>
  <c r="E23" i="7" s="1"/>
  <c r="D17" i="7"/>
  <c r="C27" i="7"/>
  <c r="G10" i="8"/>
  <c r="G34" i="7"/>
  <c r="D35" i="8"/>
  <c r="E4" i="8"/>
  <c r="H3" i="8"/>
  <c r="F6" i="7"/>
  <c r="D15" i="7"/>
  <c r="D28" i="7"/>
  <c r="G11" i="8"/>
  <c r="C17" i="7"/>
  <c r="G7" i="8"/>
  <c r="D32" i="7"/>
  <c r="E10" i="7"/>
  <c r="H9" i="7"/>
  <c r="F11" i="2"/>
  <c r="F6" i="2"/>
  <c r="G27" i="5"/>
  <c r="L4" i="2"/>
  <c r="H12" i="5"/>
  <c r="F8" i="2"/>
  <c r="F5" i="2"/>
  <c r="F9" i="2"/>
  <c r="F12" i="2"/>
  <c r="E13" i="2"/>
  <c r="F4" i="2"/>
  <c r="C13" i="2"/>
  <c r="B18" i="3" s="1"/>
  <c r="E34" i="8" l="1"/>
  <c r="L25" i="2"/>
  <c r="E32" i="8"/>
  <c r="L23" i="2"/>
  <c r="E33" i="8"/>
  <c r="L24" i="2"/>
  <c r="E29" i="8"/>
  <c r="L20" i="2"/>
  <c r="E30" i="8"/>
  <c r="L21" i="2"/>
  <c r="E28" i="8"/>
  <c r="L19" i="2"/>
  <c r="E31" i="8"/>
  <c r="L22" i="2"/>
  <c r="E35" i="8"/>
  <c r="L26" i="2"/>
  <c r="L12" i="2"/>
  <c r="G33" i="7"/>
  <c r="F27" i="7"/>
  <c r="L9" i="2"/>
  <c r="L10" i="2"/>
  <c r="L5" i="2"/>
  <c r="L7" i="2"/>
  <c r="L6" i="2"/>
  <c r="L8" i="2"/>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E36" i="8" l="1"/>
  <c r="I9" i="7"/>
  <c r="F9" i="8"/>
  <c r="K33" i="7"/>
  <c r="B16" i="3"/>
  <c r="K34" i="7"/>
  <c r="I10" i="7"/>
  <c r="F29" i="7"/>
  <c r="L29" i="7" s="1"/>
  <c r="F34" i="7"/>
  <c r="L34" i="7" s="1"/>
  <c r="F5" i="8"/>
  <c r="K29" i="7"/>
  <c r="F12" i="7"/>
  <c r="K5" i="7" s="1"/>
  <c r="I4" i="7"/>
  <c r="F4" i="8"/>
  <c r="F28" i="7"/>
  <c r="L28" i="7" s="1"/>
  <c r="C24" i="8"/>
  <c r="E12" i="8"/>
  <c r="D24" i="8"/>
  <c r="E24" i="7"/>
  <c r="L33" i="7"/>
  <c r="G27" i="8"/>
  <c r="L27" i="8" s="1"/>
  <c r="M27" i="7"/>
  <c r="G36" i="7"/>
  <c r="L35" i="7"/>
  <c r="L32" i="7"/>
  <c r="L30" i="7"/>
  <c r="L31" i="7"/>
  <c r="L27" i="7"/>
  <c r="D36" i="8"/>
  <c r="M32" i="7"/>
  <c r="E36" i="5"/>
  <c r="M36" i="7" l="1"/>
  <c r="K3" i="7"/>
  <c r="I12" i="7"/>
  <c r="K6" i="7" s="1"/>
  <c r="F36" i="7"/>
  <c r="K4" i="7" s="1"/>
  <c r="K36" i="7"/>
  <c r="K7" i="7"/>
  <c r="J27" i="8"/>
  <c r="E20" i="5"/>
  <c r="E21" i="5"/>
  <c r="G32" i="5"/>
  <c r="G32" i="8" s="1"/>
  <c r="G29" i="5"/>
  <c r="G29" i="8" s="1"/>
  <c r="G33" i="5"/>
  <c r="G33" i="8" s="1"/>
  <c r="G34" i="5"/>
  <c r="G34" i="8" s="1"/>
  <c r="G30" i="5"/>
  <c r="G30" i="8" s="1"/>
  <c r="I7" i="5"/>
  <c r="I7" i="8" s="1"/>
  <c r="G35" i="5"/>
  <c r="G35" i="8" s="1"/>
  <c r="L36" i="7" l="1"/>
  <c r="K33" i="5"/>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D12" i="5"/>
  <c r="C12" i="5"/>
  <c r="G12" i="5"/>
  <c r="G28" i="5"/>
  <c r="I6" i="5"/>
  <c r="I6" i="8" s="1"/>
  <c r="I8" i="5"/>
  <c r="I8" i="8" s="1"/>
  <c r="F3" i="5"/>
  <c r="E12" i="5"/>
  <c r="I10" i="5"/>
  <c r="I10" i="8" s="1"/>
  <c r="F3" i="8" l="1"/>
  <c r="F27" i="5"/>
  <c r="E15" i="8"/>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L27" i="5"/>
  <c r="M31" i="5"/>
  <c r="G36" i="5"/>
  <c r="K3" i="5" s="1"/>
  <c r="I3" i="5"/>
  <c r="I3" i="8" s="1"/>
  <c r="I12" i="8" s="1"/>
  <c r="E24" i="5"/>
  <c r="K7" i="5" s="1"/>
  <c r="F12" i="5"/>
  <c r="F27" i="8" l="1"/>
  <c r="K6" i="8"/>
  <c r="L28" i="5"/>
  <c r="F28" i="8"/>
  <c r="E24" i="8"/>
  <c r="K7" i="8" s="1"/>
  <c r="K35" i="8"/>
  <c r="I35" i="8"/>
  <c r="L32" i="5"/>
  <c r="F32" i="8"/>
  <c r="K31" i="8"/>
  <c r="I31" i="8"/>
  <c r="L28" i="8"/>
  <c r="L36" i="8" s="1"/>
  <c r="J28" i="8"/>
  <c r="G36" i="8"/>
  <c r="K3" i="8" s="1"/>
  <c r="K29" i="8"/>
  <c r="I29" i="8"/>
  <c r="L33" i="5"/>
  <c r="F33" i="8"/>
  <c r="L30" i="5"/>
  <c r="F30" i="8"/>
  <c r="L34" i="5"/>
  <c r="F34" i="8"/>
  <c r="K5" i="8"/>
  <c r="I12" i="5"/>
  <c r="K6" i="5" s="1"/>
  <c r="M36" i="5"/>
  <c r="K36" i="5"/>
  <c r="F36" i="5"/>
  <c r="K5" i="5"/>
  <c r="K27" i="8" l="1"/>
  <c r="I27" i="8"/>
  <c r="H36" i="8"/>
  <c r="F36" i="8"/>
  <c r="K33" i="8"/>
  <c r="I33" i="8"/>
  <c r="I32" i="8"/>
  <c r="K32" i="8"/>
  <c r="J36" i="8"/>
  <c r="I30" i="8"/>
  <c r="K30" i="8"/>
  <c r="I28" i="8"/>
  <c r="K28" i="8"/>
  <c r="K34" i="8"/>
  <c r="I34" i="8"/>
  <c r="K4" i="5"/>
  <c r="L36" i="5"/>
  <c r="I36" i="8" l="1"/>
  <c r="K4" i="8"/>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<sst xmlns="http://schemas.openxmlformats.org/spreadsheetml/2006/main" count="5200" uniqueCount="828">
  <si>
    <t>Original Budget</t>
  </si>
  <si>
    <t>Pay 2 Final</t>
  </si>
  <si>
    <t>Paid Thru November</t>
  </si>
  <si>
    <t>Paid Thru February</t>
  </si>
  <si>
    <t>Paid Thru April</t>
  </si>
  <si>
    <t>01</t>
  </si>
  <si>
    <t>05</t>
  </si>
  <si>
    <t>07</t>
  </si>
  <si>
    <t>09</t>
  </si>
  <si>
    <t>10</t>
  </si>
  <si>
    <t>11</t>
  </si>
  <si>
    <t>12</t>
  </si>
  <si>
    <t>13</t>
  </si>
  <si>
    <t>15</t>
  </si>
  <si>
    <t>Fiscal Year</t>
  </si>
  <si>
    <t>Pick List for Payment Month</t>
  </si>
  <si>
    <t>Pay 1</t>
  </si>
  <si>
    <t>November</t>
  </si>
  <si>
    <t>Pay 2</t>
  </si>
  <si>
    <t>February</t>
  </si>
  <si>
    <t>April</t>
  </si>
  <si>
    <t>Original
Budget</t>
  </si>
  <si>
    <t>Amount
Remaining</t>
  </si>
  <si>
    <t>Checks</t>
  </si>
  <si>
    <t>Should Equal zero</t>
  </si>
  <si>
    <t>Amount paid + Remaining - Budget</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</si>
  <si>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</si>
  <si>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</si>
  <si>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</si>
  <si>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</si>
  <si>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</si>
  <si>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</si>
  <si>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</si>
  <si>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</si>
  <si>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</si>
  <si>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</si>
  <si>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</si>
  <si>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</si>
  <si>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</si>
  <si>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</si>
  <si>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</si>
  <si>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</si>
  <si>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</si>
  <si>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</si>
  <si>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</si>
  <si>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</si>
  <si>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</si>
  <si>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</si>
  <si>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</si>
  <si>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</si>
  <si>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</si>
  <si>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</si>
  <si>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</si>
  <si>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</si>
  <si>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</si>
  <si>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</si>
  <si>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</si>
  <si>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</si>
  <si>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</si>
  <si>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</si>
  <si>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</si>
  <si>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</si>
  <si>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</si>
  <si>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</si>
  <si>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</si>
  <si>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</si>
  <si>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</si>
  <si>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</si>
  <si>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</si>
  <si>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</si>
  <si>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</si>
  <si>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</si>
  <si>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</si>
  <si>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</si>
  <si>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</si>
  <si>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</si>
  <si>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</si>
  <si>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</si>
  <si>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</si>
  <si>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</si>
  <si>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</si>
  <si>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</si>
  <si>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</si>
  <si>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</si>
  <si>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</si>
  <si>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</si>
  <si>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</si>
  <si>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</si>
  <si>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</si>
  <si>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</si>
  <si>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</si>
  <si>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</si>
  <si>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</si>
  <si>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</si>
  <si>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</si>
  <si>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</si>
  <si>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</si>
  <si>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</si>
  <si>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</si>
  <si>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</si>
  <si>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</si>
  <si>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</si>
  <si>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</si>
  <si>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</si>
  <si>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</si>
  <si>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</si>
  <si>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</si>
  <si>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</si>
  <si>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</si>
  <si>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</si>
  <si>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</si>
  <si>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</si>
  <si>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</si>
  <si>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</si>
  <si>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</si>
  <si>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</si>
  <si>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</si>
  <si>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</si>
  <si>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</si>
  <si>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</si>
  <si>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</si>
  <si>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</si>
  <si>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</si>
  <si>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</si>
  <si>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</si>
  <si>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</si>
  <si>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</si>
  <si>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</si>
  <si>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</si>
  <si>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</si>
  <si>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</si>
  <si>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</si>
  <si>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</si>
  <si>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</si>
  <si>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</si>
  <si>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</si>
  <si>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</si>
  <si>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</si>
  <si>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</si>
  <si>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</si>
  <si>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</si>
  <si>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</si>
  <si>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</si>
  <si>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</si>
  <si>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</si>
  <si>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</si>
  <si>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</si>
  <si>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</si>
  <si>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</si>
  <si>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</si>
  <si>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</si>
  <si>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</si>
  <si>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</si>
  <si>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</si>
  <si>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</si>
  <si>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</si>
  <si>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</si>
  <si>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</si>
  <si>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</si>
  <si>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</si>
  <si>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</si>
  <si>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</si>
  <si>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</si>
  <si>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</si>
  <si>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</si>
  <si>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</si>
  <si>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</si>
  <si>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</si>
  <si>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</si>
  <si>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</si>
  <si>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</si>
  <si>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</si>
  <si>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</si>
  <si>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</si>
  <si>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</si>
  <si>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</si>
  <si>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</si>
  <si>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</si>
  <si>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</si>
  <si>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</si>
  <si>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</si>
  <si>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</si>
  <si>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</si>
  <si>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</si>
  <si>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</si>
  <si>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</si>
  <si>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</si>
  <si>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</si>
  <si>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</si>
  <si>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</si>
  <si>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</si>
  <si>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</si>
  <si>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</si>
  <si>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</si>
  <si>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</si>
  <si>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</si>
  <si>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</si>
  <si>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</si>
  <si>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</si>
  <si>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</si>
  <si>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</si>
  <si>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</si>
  <si>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</si>
  <si>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</si>
  <si>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</si>
  <si>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</si>
  <si>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</si>
  <si>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</si>
  <si>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</si>
  <si>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</si>
  <si>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</si>
  <si>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</si>
  <si>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</si>
  <si>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</si>
  <si>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</si>
  <si>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</si>
  <si>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</si>
  <si>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</si>
  <si>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</si>
  <si>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</si>
  <si>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</si>
  <si>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</si>
  <si>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</si>
  <si>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</si>
  <si>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</si>
  <si>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</si>
  <si>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</si>
  <si>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</si>
  <si>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</si>
  <si>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</si>
  <si>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</si>
  <si>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</si>
  <si>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</si>
  <si>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</si>
  <si>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</si>
  <si>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</si>
  <si>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</si>
  <si>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</si>
  <si>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</si>
  <si>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</si>
  <si>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</si>
  <si>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</si>
  <si>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</si>
  <si>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</si>
  <si>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</si>
  <si>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</si>
  <si>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</si>
  <si>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</si>
  <si>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</si>
  <si>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</si>
  <si>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</si>
  <si>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</si>
  <si>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</si>
  <si>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</si>
  <si>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</si>
  <si>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</si>
  <si>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</si>
  <si>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</si>
  <si>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</si>
  <si>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</si>
  <si>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</si>
  <si>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</si>
  <si>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</si>
  <si>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</si>
  <si>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</si>
  <si>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</si>
  <si>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</si>
  <si>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</si>
  <si>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</si>
  <si>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</si>
  <si>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</si>
  <si>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</si>
  <si>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</si>
  <si>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</si>
  <si>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</si>
  <si>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</si>
  <si>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</si>
  <si>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</si>
  <si>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</si>
  <si>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</si>
  <si>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</si>
  <si>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</si>
  <si>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</si>
  <si>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</si>
  <si>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</si>
  <si>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</si>
  <si>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</si>
  <si>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</si>
  <si>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</si>
  <si>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</si>
  <si>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</si>
  <si>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</si>
  <si>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</si>
  <si>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</si>
  <si>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</si>
  <si>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</si>
  <si>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</si>
  <si>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</si>
  <si>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</si>
  <si>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</si>
  <si>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</si>
  <si>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</si>
  <si>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</si>
  <si>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</si>
  <si>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</si>
  <si>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</si>
  <si>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</si>
  <si>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</si>
  <si>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</si>
  <si>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</si>
  <si>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</si>
  <si>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</si>
  <si>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</si>
  <si>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</si>
  <si>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</si>
  <si>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</si>
  <si>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</si>
  <si>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</si>
  <si>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</si>
  <si>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</si>
  <si>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</si>
  <si>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</si>
  <si>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</si>
  <si>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</si>
  <si>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</si>
  <si>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</si>
  <si>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</si>
  <si>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</si>
  <si>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</si>
  <si>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</si>
  <si>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</si>
  <si>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</si>
  <si>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</si>
  <si>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</si>
  <si>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</si>
  <si>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</si>
  <si>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</si>
  <si>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</si>
  <si>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</si>
  <si>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</si>
  <si>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</si>
  <si>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</si>
  <si>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</si>
  <si>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</si>
  <si>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</si>
  <si>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</si>
  <si>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</si>
  <si>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</si>
  <si>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</si>
  <si>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</si>
  <si>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</si>
  <si>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</si>
  <si>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</si>
  <si>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</si>
  <si>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</si>
  <si>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</si>
  <si>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</si>
  <si>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</si>
  <si>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</si>
  <si>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</si>
  <si>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</si>
  <si>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</si>
  <si>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</si>
  <si>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</si>
  <si>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</si>
  <si>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</si>
  <si>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</si>
  <si>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</si>
  <si>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</si>
  <si>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</si>
  <si>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</si>
  <si>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</si>
  <si>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</si>
  <si>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</si>
  <si>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</si>
  <si>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</si>
  <si>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</si>
  <si>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</si>
  <si>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</si>
  <si>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</si>
  <si>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</si>
  <si>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</si>
  <si>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</si>
  <si>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</si>
  <si>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</si>
  <si>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</si>
  <si>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</si>
  <si>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</si>
  <si>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</si>
  <si>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</si>
  <si>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</si>
  <si>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</si>
  <si>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</si>
  <si>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</si>
  <si>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</si>
  <si>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</si>
  <si>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</si>
  <si>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</si>
  <si>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</si>
  <si>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</si>
  <si>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</si>
  <si>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</si>
  <si>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</si>
  <si>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</si>
  <si>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</si>
  <si>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</si>
  <si>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</si>
  <si>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</si>
  <si>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</si>
  <si>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</si>
  <si>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</si>
  <si>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</si>
  <si>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</si>
  <si>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</si>
  <si>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</si>
  <si>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</si>
  <si>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</si>
  <si>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</si>
  <si>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</si>
  <si>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</si>
  <si>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</si>
  <si>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</si>
  <si>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</si>
  <si>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</si>
  <si>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</si>
  <si>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</si>
  <si>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</si>
  <si>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</si>
  <si>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</si>
  <si>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</si>
  <si>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</si>
  <si>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</si>
  <si>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</si>
  <si>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</si>
  <si>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</si>
  <si>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</si>
  <si>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</si>
  <si>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</si>
  <si>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</si>
  <si>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</si>
  <si>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</si>
  <si>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</si>
  <si>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</si>
  <si>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</si>
  <si>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</si>
  <si>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</si>
  <si>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</si>
  <si>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</si>
  <si>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</si>
  <si>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</si>
  <si>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</si>
  <si>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</si>
  <si>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</si>
  <si>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</si>
  <si>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</si>
  <si>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</si>
  <si>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</si>
  <si>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</si>
  <si>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</si>
  <si>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</si>
  <si>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</si>
  <si>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</si>
  <si>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</si>
  <si>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</si>
  <si>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</si>
  <si>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</si>
  <si>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</si>
  <si>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</si>
  <si>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</si>
  <si>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</si>
  <si>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</si>
  <si>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</si>
  <si>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</si>
  <si>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</si>
  <si>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</si>
  <si>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</si>
  <si>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</si>
  <si>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</si>
  <si>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</si>
  <si>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</si>
  <si>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</si>
  <si>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</si>
  <si>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</si>
  <si>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</si>
  <si>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</si>
  <si>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</si>
  <si>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</si>
  <si>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</si>
  <si>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</si>
  <si>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</si>
  <si>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</si>
  <si>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</si>
  <si>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</si>
  <si>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</si>
  <si>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</si>
  <si>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</si>
  <si>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</si>
  <si>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</si>
  <si>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</si>
  <si>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</si>
  <si>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</si>
  <si>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</si>
  <si>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</si>
  <si>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</si>
  <si>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</si>
  <si>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</si>
  <si>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</si>
  <si>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</si>
  <si>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</si>
  <si>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</si>
  <si>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</si>
  <si>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</si>
  <si>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</si>
  <si>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</si>
  <si>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</si>
  <si>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</si>
  <si>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</si>
  <si>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</si>
  <si>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</si>
  <si>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</si>
  <si>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</si>
  <si>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</si>
  <si>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</si>
  <si>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</si>
  <si>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</si>
  <si>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</si>
  <si>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</si>
  <si>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</si>
  <si>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</si>
  <si>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</si>
  <si>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</si>
  <si>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</si>
  <si>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</si>
  <si>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</si>
  <si>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</si>
  <si>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</si>
  <si>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</si>
  <si>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</si>
  <si>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</si>
  <si>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</si>
  <si>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</si>
  <si>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</si>
  <si>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</si>
  <si>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</si>
  <si>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</si>
  <si>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</si>
  <si>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</si>
  <si>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</si>
  <si>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</si>
  <si>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</si>
  <si>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</si>
  <si>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</si>
  <si>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</si>
  <si>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</si>
  <si>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</si>
  <si>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</si>
  <si>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</si>
  <si>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</si>
  <si>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</si>
  <si>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</si>
  <si>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</si>
  <si>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</si>
  <si>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</si>
  <si>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</si>
  <si>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</si>
  <si>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</si>
  <si>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</si>
  <si>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</si>
  <si>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</si>
  <si>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</si>
  <si>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</si>
  <si>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</si>
  <si>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</si>
  <si>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</si>
  <si>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</si>
  <si>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</si>
  <si>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</si>
  <si>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</si>
  <si>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</si>
  <si>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</si>
  <si>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</si>
  <si>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</si>
  <si>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</si>
  <si>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</si>
  <si>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</si>
  <si>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</si>
  <si>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</si>
  <si>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</si>
  <si>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</si>
  <si>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</si>
  <si>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</si>
  <si>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</si>
  <si>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</si>
  <si>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</si>
  <si>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</si>
  <si>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</si>
  <si>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</si>
  <si>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</si>
  <si>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</si>
  <si>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</si>
  <si>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</si>
  <si>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</si>
  <si>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</si>
  <si>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</si>
  <si>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</si>
  <si>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</si>
  <si>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</si>
  <si>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</si>
  <si>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</si>
  <si>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</si>
  <si>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</si>
  <si>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</si>
  <si>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</si>
  <si>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</si>
  <si>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</si>
  <si>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</si>
  <si>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</si>
  <si>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</si>
  <si>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</si>
  <si>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</si>
  <si>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</si>
  <si>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</si>
  <si>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</si>
  <si>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</si>
  <si>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</si>
  <si>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</si>
  <si>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</si>
  <si>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</si>
  <si>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</si>
  <si>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</si>
  <si>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</si>
  <si>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</si>
  <si>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</si>
  <si>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</si>
  <si>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</si>
  <si>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</si>
  <si>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</si>
  <si>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</si>
  <si>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</si>
  <si>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</si>
  <si>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</si>
  <si>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</si>
  <si>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</si>
  <si>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</si>
  <si>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</si>
  <si>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</si>
  <si>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</si>
  <si>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</si>
  <si>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</si>
  <si>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</si>
  <si>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</si>
  <si>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</si>
  <si>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</si>
  <si>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</si>
  <si>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</si>
  <si>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</si>
  <si>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</si>
  <si>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</si>
  <si>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</si>
  <si>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</si>
  <si>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</si>
  <si>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</si>
  <si>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</si>
  <si>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</si>
  <si>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</si>
  <si>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</si>
  <si>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</si>
  <si>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</si>
  <si>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</si>
  <si>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</si>
  <si>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</si>
  <si>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</si>
  <si>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</si>
  <si>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</si>
  <si>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</si>
  <si>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</si>
  <si>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</si>
  <si>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</si>
  <si>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</si>
  <si>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</si>
  <si>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</si>
  <si>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</si>
  <si>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</si>
  <si>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</si>
  <si>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</si>
  <si>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</si>
  <si>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</si>
  <si>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</si>
  <si>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</si>
  <si>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</si>
  <si>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</si>
  <si>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</si>
  <si>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</si>
  <si>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</si>
  <si>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</si>
  <si>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</si>
  <si>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</si>
  <si>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</si>
  <si>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</si>
  <si>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</si>
  <si>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</si>
  <si>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</si>
  <si>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</si>
  <si>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</si>
  <si>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</si>
  <si>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</si>
  <si>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</si>
  <si>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</si>
  <si>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</si>
  <si>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</si>
  <si>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</si>
  <si>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</si>
  <si>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</si>
  <si>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</si>
  <si>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</si>
  <si>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</si>
  <si>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</si>
  <si>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</si>
  <si>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</si>
  <si>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</si>
  <si>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</si>
  <si>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Spec ED Support</t>
  </si>
  <si>
    <t>Spec Ed Adjust</t>
  </si>
  <si>
    <t>Special Ed Total Cost</t>
  </si>
  <si>
    <t>Media Services</t>
  </si>
  <si>
    <t>Education Services</t>
  </si>
  <si>
    <t>Sharing Operations</t>
  </si>
  <si>
    <t>Teacher Salary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</si>
  <si>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</si>
  <si>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</si>
  <si>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</si>
  <si>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</si>
  <si>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</si>
  <si>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</si>
  <si>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</si>
  <si>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</si>
  <si>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</si>
  <si>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</si>
  <si>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</si>
  <si>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</si>
  <si>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</si>
  <si>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</si>
  <si>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</si>
  <si>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</si>
  <si>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</si>
  <si>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These amounts ere not zero so took the amounts hear and added or took away from State Aid Portion Special Ed</t>
  </si>
  <si>
    <t>Aid and Levy Line 16.11 vs. Total</t>
  </si>
  <si>
    <t>AEA_DE</t>
  </si>
  <si>
    <t>Pay 1 - Sept - May</t>
  </si>
  <si>
    <t>Should equal 0 - ON Final Payment</t>
  </si>
  <si>
    <t>Should equal 0 - Sept - May</t>
  </si>
  <si>
    <t>AEA Media Services Nonpublic Portion</t>
  </si>
  <si>
    <t>AEA Educational Services Nonpublic Portion</t>
  </si>
  <si>
    <t>Total AEA Payment</t>
  </si>
  <si>
    <t>AEA Payment State Aid Portion</t>
  </si>
  <si>
    <t>AEA Payment Property Tax Portion</t>
  </si>
  <si>
    <t xml:space="preserve">State Aid Portion
</t>
  </si>
  <si>
    <t>Added or removed dollars from Sharing on both of these</t>
  </si>
  <si>
    <t>Sharing</t>
  </si>
  <si>
    <t>Total Individually</t>
  </si>
  <si>
    <t>Total of Totals</t>
  </si>
  <si>
    <t>Total</t>
  </si>
  <si>
    <t>June Payments total Correctly to Payment File</t>
  </si>
  <si>
    <t>Sept to May Payments total Correctly to Payment File</t>
  </si>
  <si>
    <t>Line 4.49 A&amp;L</t>
  </si>
  <si>
    <t>Calculated</t>
  </si>
  <si>
    <t>Line 5.16 A&amp;L</t>
  </si>
  <si>
    <t>Line 4.54 A&amp;L</t>
  </si>
  <si>
    <t>Column A</t>
  </si>
  <si>
    <t>Column B</t>
  </si>
  <si>
    <t>Column C</t>
  </si>
  <si>
    <t>Column D</t>
  </si>
  <si>
    <t>Column E</t>
  </si>
  <si>
    <t>Column F</t>
  </si>
  <si>
    <t>Column G</t>
  </si>
  <si>
    <t>Column H</t>
  </si>
  <si>
    <t>Column I</t>
  </si>
  <si>
    <t>Column J</t>
  </si>
  <si>
    <t>Column K</t>
  </si>
  <si>
    <t>Column L</t>
  </si>
  <si>
    <t>Column M</t>
  </si>
  <si>
    <t>Column N</t>
  </si>
  <si>
    <t>B-C</t>
  </si>
  <si>
    <t>A-C+E</t>
  </si>
  <si>
    <t>A-C+E *10%</t>
  </si>
  <si>
    <t>H+I</t>
  </si>
  <si>
    <t>D-G</t>
  </si>
  <si>
    <t>J+K</t>
  </si>
  <si>
    <t>G/F</t>
  </si>
  <si>
    <t>L/F</t>
  </si>
  <si>
    <t>AEA District Chose to Receive Services From</t>
  </si>
  <si>
    <t>DistSub1</t>
  </si>
  <si>
    <t>DistSub2</t>
  </si>
  <si>
    <t>DistrictNumber</t>
  </si>
  <si>
    <t>Label</t>
  </si>
  <si>
    <t>10% Portion District Can Keep from State Aid portion</t>
  </si>
  <si>
    <t>Total Property Tax Portion District Pays AEA</t>
  </si>
  <si>
    <t>State Aid Portion District Sends to AEA</t>
  </si>
  <si>
    <t>Total Payment from District to AEA</t>
  </si>
  <si>
    <t>District Percentage ability to Retain</t>
  </si>
  <si>
    <t>District Percentage to Pay to AEAs</t>
  </si>
  <si>
    <t/>
  </si>
  <si>
    <t>6417</t>
  </si>
  <si>
    <t>3897</t>
  </si>
  <si>
    <t>1854</t>
  </si>
  <si>
    <t>0216</t>
  </si>
  <si>
    <t>1968</t>
  </si>
  <si>
    <t>Odebolt Arthur Battle Creek Ida Grove</t>
  </si>
  <si>
    <t>5160</t>
  </si>
  <si>
    <t>5510</t>
  </si>
  <si>
    <t>6035</t>
  </si>
  <si>
    <t>6099</t>
  </si>
  <si>
    <t>5323</t>
  </si>
  <si>
    <t>6536</t>
  </si>
  <si>
    <t>4775</t>
  </si>
  <si>
    <t>Statewide</t>
  </si>
  <si>
    <t>92010000</t>
  </si>
  <si>
    <t>92050000</t>
  </si>
  <si>
    <t>92070000</t>
  </si>
  <si>
    <t>92090000</t>
  </si>
  <si>
    <t>92100000</t>
  </si>
  <si>
    <t>92110000</t>
  </si>
  <si>
    <t>92120000</t>
  </si>
  <si>
    <t>92130000</t>
  </si>
  <si>
    <t>92150000</t>
  </si>
  <si>
    <t>July</t>
  </si>
  <si>
    <t>Pay1 - July - Feb</t>
  </si>
  <si>
    <t>Paid Thru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</si>
</sst>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0.499984740745262"/>
        <bgColor indexed="64"/>
      </patternFill>
    </fill>
    <fill>
      <patternFill patternType="solid">
        <fgColor rgb="FFFFC000"/>
        <bgColor indexed="64"/>
      </patternFill>
    </fill>
    <fill>
      <patternFill patternType="solid">
        <fgColor theme="4"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s>
  <cellStyleXfs count="8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xf numFmtId="9" fontId="1" fillId="0" borderId="0" applyFont="0" applyFill="0" applyBorder="0" applyAlignment="0" applyProtection="0"/>
  </cellStyleXfs>
  <cellXfs count="91">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16" fillId="0" borderId="13" xfId="0" applyNumberFormat="1" applyFont="1" applyBorder="1"/>
    <xf numFmtId="0" fontId="16" fillId="0" borderId="11" xfId="0" applyFont="1" applyBorder="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16" fillId="0" borderId="0" xfId="0" applyFont="1" applyAlignment="1">
      <alignment horizontal="center" wrapText="1"/>
    </xf>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16" fillId="37" borderId="13" xfId="0" applyNumberFormat="1" applyFont="1" applyFill="1" applyBorder="1"/>
    <xf numFmtId="164" fontId="0" fillId="0" borderId="0" xfId="0" applyNumberFormat="1" applyProtection="1">
      <protection hidden="1"/>
    </xf>
    <xf numFmtId="0" fontId="0" fillId="0" borderId="0" xfId="0" applyProtection="1">
      <protection hidden="1"/>
    </xf>
    <xf numFmtId="3" fontId="38" fillId="0" borderId="11" xfId="0" applyNumberFormat="1" applyFont="1" applyBorder="1" applyAlignment="1" applyProtection="1">
      <alignment horizontal="center" vertical="center" wrapText="1"/>
      <protection hidden="1"/>
    </xf>
    <xf numFmtId="164" fontId="0" fillId="34" borderId="0" xfId="0" applyNumberFormat="1" applyFill="1" applyProtection="1">
      <protection hidden="1"/>
    </xf>
    <xf numFmtId="0" fontId="0" fillId="34" borderId="0" xfId="0" applyFill="1" applyProtection="1">
      <protection hidden="1"/>
    </xf>
    <xf numFmtId="3" fontId="38" fillId="34" borderId="0" xfId="0" applyNumberFormat="1" applyFont="1" applyFill="1" applyAlignment="1" applyProtection="1">
      <alignment horizontal="center" vertical="center"/>
      <protection hidden="1"/>
    </xf>
    <xf numFmtId="49" fontId="0" fillId="0" borderId="11" xfId="0" applyNumberFormat="1" applyBorder="1" applyProtection="1">
      <protection hidden="1"/>
    </xf>
    <xf numFmtId="0" fontId="0" fillId="0" borderId="11" xfId="0"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0" fontId="37" fillId="33" borderId="0" xfId="72" applyFont="1" applyFill="1" applyAlignment="1" applyProtection="1">
      <alignment horizontal="center" vertical="center"/>
      <protection locked="0"/>
    </xf>
    <xf numFmtId="0" fontId="0" fillId="33" borderId="0" xfId="0" applyFill="1"/>
    <xf numFmtId="3" fontId="0" fillId="0" borderId="0" xfId="0" quotePrefix="1" applyNumberFormat="1"/>
    <xf numFmtId="3" fontId="16" fillId="0" borderId="0" xfId="0" applyNumberFormat="1" applyFont="1"/>
    <xf numFmtId="3" fontId="0" fillId="0" borderId="0" xfId="0" applyNumberFormat="1" applyAlignment="1">
      <alignment horizontal="center" wrapText="1"/>
    </xf>
    <xf numFmtId="49" fontId="0" fillId="0" borderId="0" xfId="0" quotePrefix="1" applyNumberFormat="1"/>
    <xf numFmtId="0" fontId="16" fillId="0" borderId="0" xfId="0" applyFont="1" applyAlignment="1">
      <alignment horizontal="center"/>
    </xf>
    <xf numFmtId="0" fontId="16" fillId="33" borderId="11" xfId="0" applyFont="1" applyFill="1" applyBorder="1" applyAlignment="1">
      <alignment horizontal="center" wrapText="1"/>
    </xf>
    <xf numFmtId="0" fontId="16" fillId="34" borderId="11" xfId="0" applyFont="1" applyFill="1" applyBorder="1"/>
    <xf numFmtId="0" fontId="16" fillId="39" borderId="11" xfId="0" applyFont="1" applyFill="1" applyBorder="1" applyAlignment="1">
      <alignment horizontal="center" wrapText="1"/>
    </xf>
    <xf numFmtId="0" fontId="0" fillId="40" borderId="0" xfId="0" applyFill="1"/>
    <xf numFmtId="0" fontId="16" fillId="41" borderId="11" xfId="0" applyFont="1" applyFill="1" applyBorder="1" applyAlignment="1">
      <alignment horizontal="center" wrapText="1"/>
    </xf>
    <xf numFmtId="0" fontId="16" fillId="42" borderId="11" xfId="0" applyFont="1" applyFill="1" applyBorder="1" applyAlignment="1">
      <alignment horizontal="center" wrapText="1"/>
    </xf>
    <xf numFmtId="0" fontId="0" fillId="33" borderId="11" xfId="0" applyFill="1" applyBorder="1"/>
    <xf numFmtId="0" fontId="0" fillId="34" borderId="11" xfId="0" applyFill="1" applyBorder="1"/>
    <xf numFmtId="3" fontId="0" fillId="0" borderId="11" xfId="0" applyNumberFormat="1" applyBorder="1"/>
    <xf numFmtId="3" fontId="16" fillId="39" borderId="11" xfId="0" applyNumberFormat="1" applyFont="1" applyFill="1" applyBorder="1"/>
    <xf numFmtId="3" fontId="0" fillId="41" borderId="11" xfId="0" applyNumberFormat="1" applyFill="1" applyBorder="1"/>
    <xf numFmtId="3" fontId="0" fillId="42" borderId="11" xfId="0" applyNumberFormat="1" applyFill="1" applyBorder="1"/>
    <xf numFmtId="3" fontId="16" fillId="33" borderId="11" xfId="0" applyNumberFormat="1" applyFont="1" applyFill="1" applyBorder="1"/>
    <xf numFmtId="10" fontId="0" fillId="0" borderId="11" xfId="84" applyNumberFormat="1" applyFont="1" applyBorder="1"/>
    <xf numFmtId="0" fontId="16" fillId="0" borderId="0" xfId="0" applyFont="1" applyAlignment="1">
      <alignment horizontal="right"/>
    </xf>
    <xf numFmtId="3" fontId="16" fillId="0" borderId="16" xfId="0" applyNumberFormat="1" applyFont="1" applyBorder="1"/>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Alignment="1">
      <alignment horizontal="center" wrapText="1"/>
    </xf>
    <xf numFmtId="0" fontId="16" fillId="37" borderId="12" xfId="0" applyFont="1" applyFill="1" applyBorder="1" applyAlignment="1">
      <alignment horizontal="center" wrapText="1"/>
    </xf>
    <xf numFmtId="0" fontId="16" fillId="36" borderId="0" xfId="0" applyFont="1" applyFill="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cellXfs>
  <cellStyles count="85">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Percent" xfId="84" builtinId="5"/>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 formatCode="#,##0"/>
    </dxf>
    <dxf>
      <numFmt numFmtId="3" formatCode="#,##0"/>
    </dxf>
    <dxf>
      <numFmt numFmtId="3" formatCode="#,##0"/>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I10" totalsRowShown="0">
  <autoFilter ref="A1:I10" xr:uid="{00000000-0009-0000-0100-000001000000}"/>
  <tableColumns count="9">
    <tableColumn id="1" xr3:uid="{00000000-0010-0000-0000-000001000000}" name="AEA" dataDxfId="22"/>
    <tableColumn id="2" xr3:uid="{00000000-0010-0000-0000-000002000000}" name="AEA Name" dataDxfId="21"/>
    <tableColumn id="3" xr3:uid="{00000000-0010-0000-0000-000003000000}" name="Original Budget"/>
    <tableColumn id="4" xr3:uid="{00000000-0010-0000-0000-000004000000}" name="Pay1 - July - Feb"/>
    <tableColumn id="5" xr3:uid="{00000000-0010-0000-0000-000005000000}" name="Pay 2 Final"/>
    <tableColumn id="6" xr3:uid="{00000000-0010-0000-0000-000006000000}" name="Paid Thru July"/>
    <tableColumn id="7" xr3:uid="{00000000-0010-0000-0000-000007000000}" name="Paid Thru November"/>
    <tableColumn id="8" xr3:uid="{00000000-0010-0000-0000-000008000000}" name="Paid Thru February"/>
    <tableColumn id="9" xr3:uid="{00000000-0010-0000-0000-000009000000}" name="Paid Thru Apri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AB6EEA-97EA-4099-9B3F-9F52AAAD63EE}" name="PaymentBreakdown" displayName="PaymentBreakdown" ref="A1:N325" totalsRowShown="0">
  <autoFilter ref="A1:N325" xr:uid="{1FAB6EEA-97EA-4099-9B3F-9F52AAAD63EE}"/>
  <tableColumns count="14">
    <tableColumn id="1" xr3:uid="{29F743F5-30D5-4323-84AE-DA5FC9DA7EBF}" name="FiscalYear"/>
    <tableColumn id="2" xr3:uid="{B5C21468-5EF4-412C-8776-E99D432F9B28}" name="AEA" dataDxfId="20"/>
    <tableColumn id="3" xr3:uid="{359588A2-7DB0-41B1-B312-D113CD82ACB8}" name="AEA Name" dataDxfId="19"/>
    <tableColumn id="4" xr3:uid="{3CEC31F7-CC72-4EA0-9127-5EBFA1F7602D}" name="Dist" dataDxfId="18"/>
    <tableColumn id="5" xr3:uid="{46507800-7917-4834-A726-68F5647DAFD2}" name="District"/>
    <tableColumn id="6" xr3:uid="{CF26B52D-8A49-4729-9C33-6669DCF8E290}" name="State Aid Portion Sharing Operations"/>
    <tableColumn id="7" xr3:uid="{E9C83B6C-3C40-4E64-B903-522852F66EF6}" name="Sharing Operations Property Tax"/>
    <tableColumn id="8" xr3:uid="{CDE1B973-57E7-4AFA-92EB-0C1E694324A2}" name="Total AEA Sharing Operations"/>
    <tableColumn id="9" xr3:uid="{DA3F9B8C-386D-4CA7-A83C-4A5B18630AE3}" name="AEA Teacher Salary Supplement District Cost" dataDxfId="17"/>
    <tableColumn id="10" xr3:uid="{C6128D83-5DAE-4336-A303-C1AAD7C235CB}" name="AEA Media Services Nonpublic Portion"/>
    <tableColumn id="11" xr3:uid="{FC58E1C8-ED27-4B12-835E-2E4FBB10FAF2}" name="AEA Educational Services Nonpublic Portion"/>
    <tableColumn id="12" xr3:uid="{FA76C09E-F12A-4DBC-9DA6-B9C10005C33F}" name="Total AEA Payment" dataDxfId="16"/>
    <tableColumn id="13" xr3:uid="{883A3761-AE31-4B46-A040-837F04C19050}" name="AEA Payment State Aid Portion" dataDxfId="15"/>
    <tableColumn id="14" xr3:uid="{446963B0-D0D1-4BEA-A44C-C13240BFDFFA}" name="AEA Payment Property Tax Por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_OLD" displayName="Data_Detail_OLD"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0"/>
  <sheetViews>
    <sheetView workbookViewId="0">
      <selection activeCell="I2" sqref="I2:I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s>
  <sheetData>
    <row r="1" spans="1:9" x14ac:dyDescent="0.25">
      <c r="A1" s="1" t="s">
        <v>31</v>
      </c>
      <c r="B1" s="1" t="s">
        <v>32</v>
      </c>
      <c r="C1" t="s">
        <v>0</v>
      </c>
      <c r="D1" t="s">
        <v>826</v>
      </c>
      <c r="E1" t="s">
        <v>1</v>
      </c>
      <c r="F1" t="s">
        <v>827</v>
      </c>
      <c r="G1" t="s">
        <v>2</v>
      </c>
      <c r="H1" t="s">
        <v>3</v>
      </c>
      <c r="I1" t="s">
        <v>4</v>
      </c>
    </row>
    <row r="2" spans="1:9" x14ac:dyDescent="0.25">
      <c r="A2" s="1" t="s">
        <v>5</v>
      </c>
      <c r="B2" s="1" t="s">
        <v>33</v>
      </c>
      <c r="C2">
        <v>1774879</v>
      </c>
      <c r="D2">
        <v>443722</v>
      </c>
      <c r="E2">
        <v>443713</v>
      </c>
      <c r="F2">
        <v>443722</v>
      </c>
      <c r="G2">
        <v>887444</v>
      </c>
      <c r="H2">
        <v>1331166</v>
      </c>
      <c r="I2">
        <v>1774879</v>
      </c>
    </row>
    <row r="3" spans="1:9" x14ac:dyDescent="0.25">
      <c r="A3" s="1" t="s">
        <v>6</v>
      </c>
      <c r="B3" s="1" t="s">
        <v>34</v>
      </c>
      <c r="C3">
        <v>1632031</v>
      </c>
      <c r="D3">
        <v>408011</v>
      </c>
      <c r="E3">
        <v>407998</v>
      </c>
      <c r="F3">
        <v>408011</v>
      </c>
      <c r="G3">
        <v>816022</v>
      </c>
      <c r="H3">
        <v>1224033</v>
      </c>
      <c r="I3">
        <v>1632031</v>
      </c>
    </row>
    <row r="4" spans="1:9" x14ac:dyDescent="0.25">
      <c r="A4" s="1" t="s">
        <v>7</v>
      </c>
      <c r="B4" s="1" t="s">
        <v>35</v>
      </c>
      <c r="C4">
        <v>3658632</v>
      </c>
      <c r="D4">
        <v>914663</v>
      </c>
      <c r="E4">
        <v>914643</v>
      </c>
      <c r="F4">
        <v>914663</v>
      </c>
      <c r="G4">
        <v>1829326</v>
      </c>
      <c r="H4">
        <v>2743989</v>
      </c>
      <c r="I4">
        <v>3658632</v>
      </c>
    </row>
    <row r="5" spans="1:9" x14ac:dyDescent="0.25">
      <c r="A5" s="1" t="s">
        <v>8</v>
      </c>
      <c r="B5" s="1" t="s">
        <v>36</v>
      </c>
      <c r="C5">
        <v>2252743</v>
      </c>
      <c r="D5">
        <v>563188</v>
      </c>
      <c r="E5">
        <v>563179</v>
      </c>
      <c r="F5">
        <v>563188</v>
      </c>
      <c r="G5">
        <v>1126376</v>
      </c>
      <c r="H5">
        <v>1689564</v>
      </c>
      <c r="I5">
        <v>2252743</v>
      </c>
    </row>
    <row r="6" spans="1:9" x14ac:dyDescent="0.25">
      <c r="A6" s="1" t="s">
        <v>9</v>
      </c>
      <c r="B6" s="1" t="s">
        <v>37</v>
      </c>
      <c r="C6">
        <v>3501518</v>
      </c>
      <c r="D6">
        <v>875382</v>
      </c>
      <c r="E6">
        <v>875372</v>
      </c>
      <c r="F6">
        <v>875382</v>
      </c>
      <c r="G6">
        <v>1750764</v>
      </c>
      <c r="H6">
        <v>2626146</v>
      </c>
      <c r="I6">
        <v>3501518</v>
      </c>
    </row>
    <row r="7" spans="1:9" x14ac:dyDescent="0.25">
      <c r="A7" s="1" t="s">
        <v>10</v>
      </c>
      <c r="B7" s="1" t="s">
        <v>38</v>
      </c>
      <c r="C7">
        <v>6705538</v>
      </c>
      <c r="D7">
        <v>1676392</v>
      </c>
      <c r="E7">
        <v>1676362</v>
      </c>
      <c r="F7">
        <v>1676392</v>
      </c>
      <c r="G7">
        <v>3352784</v>
      </c>
      <c r="H7">
        <v>5029176</v>
      </c>
      <c r="I7">
        <v>6705538</v>
      </c>
    </row>
    <row r="8" spans="1:9" x14ac:dyDescent="0.25">
      <c r="A8" s="1" t="s">
        <v>11</v>
      </c>
      <c r="B8" s="1" t="s">
        <v>39</v>
      </c>
      <c r="C8">
        <v>2479238</v>
      </c>
      <c r="D8">
        <v>619815</v>
      </c>
      <c r="E8">
        <v>619793</v>
      </c>
      <c r="F8">
        <v>619815</v>
      </c>
      <c r="G8">
        <v>1239630</v>
      </c>
      <c r="H8">
        <v>1859445</v>
      </c>
      <c r="I8">
        <v>2479238</v>
      </c>
    </row>
    <row r="9" spans="1:9" x14ac:dyDescent="0.25">
      <c r="A9" s="1" t="s">
        <v>12</v>
      </c>
      <c r="B9" s="1" t="s">
        <v>40</v>
      </c>
      <c r="C9">
        <v>1742503</v>
      </c>
      <c r="D9">
        <v>435631</v>
      </c>
      <c r="E9">
        <v>435610</v>
      </c>
      <c r="F9">
        <v>435631</v>
      </c>
      <c r="G9">
        <v>871262</v>
      </c>
      <c r="H9">
        <v>1306893</v>
      </c>
      <c r="I9">
        <v>1742503</v>
      </c>
    </row>
    <row r="10" spans="1:9" x14ac:dyDescent="0.25">
      <c r="A10" s="1" t="s">
        <v>13</v>
      </c>
      <c r="B10" s="1" t="s">
        <v>41</v>
      </c>
      <c r="C10">
        <v>1594176</v>
      </c>
      <c r="D10">
        <v>398547</v>
      </c>
      <c r="E10">
        <v>398535</v>
      </c>
      <c r="F10">
        <v>398547</v>
      </c>
      <c r="G10">
        <v>797094</v>
      </c>
      <c r="H10">
        <v>1195641</v>
      </c>
      <c r="I10">
        <v>1594176</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190D-6156-454E-91BB-1541F2292BBA}">
  <dimension ref="A1:N325"/>
  <sheetViews>
    <sheetView workbookViewId="0">
      <selection activeCell="K4" sqref="K4"/>
    </sheetView>
  </sheetViews>
  <sheetFormatPr defaultRowHeight="15" x14ac:dyDescent="0.25"/>
  <cols>
    <col min="1" max="1" width="12" customWidth="1"/>
    <col min="2" max="2" width="9.140625" style="1"/>
    <col min="3" max="3" width="12.42578125" style="1" customWidth="1"/>
    <col min="4" max="4" width="9.140625" style="1"/>
    <col min="5" max="5" width="9.42578125" customWidth="1"/>
    <col min="6" max="6" width="35.42578125" customWidth="1"/>
    <col min="7" max="7" width="31.5703125" customWidth="1"/>
    <col min="8" max="8" width="28.85546875" customWidth="1"/>
    <col min="9" max="9" width="42.140625" customWidth="1"/>
    <col min="10" max="10" width="37.140625" customWidth="1"/>
    <col min="11" max="11" width="41.7109375" customWidth="1"/>
    <col min="12" max="12" width="19.85546875" customWidth="1"/>
    <col min="13" max="13" width="30.42578125" customWidth="1"/>
    <col min="14" max="14" width="33.5703125" customWidth="1"/>
  </cols>
  <sheetData>
    <row r="1" spans="1:14" x14ac:dyDescent="0.25">
      <c r="A1" t="s">
        <v>44</v>
      </c>
      <c r="B1" s="1" t="s">
        <v>31</v>
      </c>
      <c r="C1" s="1" t="s">
        <v>32</v>
      </c>
      <c r="D1" s="1" t="s">
        <v>45</v>
      </c>
      <c r="E1" t="s">
        <v>46</v>
      </c>
      <c r="F1" t="s">
        <v>54</v>
      </c>
      <c r="G1" t="s">
        <v>55</v>
      </c>
      <c r="H1" t="s">
        <v>56</v>
      </c>
      <c r="I1" t="s">
        <v>57</v>
      </c>
      <c r="J1" t="s">
        <v>751</v>
      </c>
      <c r="K1" t="s">
        <v>752</v>
      </c>
      <c r="L1" t="s">
        <v>753</v>
      </c>
      <c r="M1" t="s">
        <v>754</v>
      </c>
      <c r="N1" t="s">
        <v>755</v>
      </c>
    </row>
    <row r="2" spans="1:14" x14ac:dyDescent="0.25">
      <c r="A2">
        <v>2027</v>
      </c>
      <c r="B2" s="1" t="s">
        <v>10</v>
      </c>
      <c r="C2" s="1" t="s">
        <v>38</v>
      </c>
      <c r="D2" s="63" t="s">
        <v>389</v>
      </c>
      <c r="E2" t="s">
        <v>64</v>
      </c>
      <c r="F2">
        <v>51</v>
      </c>
      <c r="G2">
        <v>12</v>
      </c>
      <c r="H2">
        <v>63</v>
      </c>
      <c r="I2" s="6">
        <v>9861</v>
      </c>
      <c r="J2">
        <v>198</v>
      </c>
      <c r="K2">
        <v>218</v>
      </c>
      <c r="L2" s="6">
        <v>10340</v>
      </c>
      <c r="M2" s="6">
        <v>9912</v>
      </c>
      <c r="N2">
        <v>428</v>
      </c>
    </row>
    <row r="3" spans="1:14" x14ac:dyDescent="0.25">
      <c r="A3">
        <v>2027</v>
      </c>
      <c r="B3" s="1" t="s">
        <v>10</v>
      </c>
      <c r="C3" s="1" t="s">
        <v>38</v>
      </c>
      <c r="D3" s="63" t="s">
        <v>390</v>
      </c>
      <c r="E3" t="s">
        <v>65</v>
      </c>
      <c r="F3">
        <v>368</v>
      </c>
      <c r="G3">
        <v>88</v>
      </c>
      <c r="H3">
        <v>456</v>
      </c>
      <c r="I3" s="6">
        <v>73210</v>
      </c>
      <c r="J3" s="6">
        <v>4234</v>
      </c>
      <c r="K3" s="6">
        <v>4654</v>
      </c>
      <c r="L3" s="6">
        <v>82554</v>
      </c>
      <c r="M3" s="6">
        <v>73578</v>
      </c>
      <c r="N3" s="6">
        <v>8976</v>
      </c>
    </row>
    <row r="4" spans="1:14" x14ac:dyDescent="0.25">
      <c r="A4">
        <v>2027</v>
      </c>
      <c r="B4" s="63" t="s">
        <v>7</v>
      </c>
      <c r="C4" s="1" t="s">
        <v>35</v>
      </c>
      <c r="D4" s="63" t="s">
        <v>391</v>
      </c>
      <c r="E4" t="s">
        <v>66</v>
      </c>
      <c r="F4">
        <v>270</v>
      </c>
      <c r="G4">
        <v>75</v>
      </c>
      <c r="H4">
        <v>345</v>
      </c>
      <c r="I4" s="6">
        <v>34539</v>
      </c>
      <c r="J4" s="6">
        <v>1132</v>
      </c>
      <c r="K4" s="6">
        <v>1262</v>
      </c>
      <c r="L4" s="6">
        <v>37278</v>
      </c>
      <c r="M4" s="6">
        <v>34809</v>
      </c>
      <c r="N4" s="6">
        <v>2469</v>
      </c>
    </row>
    <row r="5" spans="1:14" x14ac:dyDescent="0.25">
      <c r="A5">
        <v>2027</v>
      </c>
      <c r="B5" s="1" t="s">
        <v>12</v>
      </c>
      <c r="C5" s="1" t="s">
        <v>40</v>
      </c>
      <c r="D5" s="63" t="s">
        <v>392</v>
      </c>
      <c r="E5" t="s">
        <v>67</v>
      </c>
      <c r="F5">
        <v>506</v>
      </c>
      <c r="G5">
        <v>135</v>
      </c>
      <c r="H5">
        <v>641</v>
      </c>
      <c r="I5" s="6">
        <v>32209</v>
      </c>
      <c r="J5">
        <v>597</v>
      </c>
      <c r="K5">
        <v>660</v>
      </c>
      <c r="L5" s="6">
        <v>34107</v>
      </c>
      <c r="M5" s="6">
        <v>32715</v>
      </c>
      <c r="N5" s="6">
        <v>1392</v>
      </c>
    </row>
    <row r="6" spans="1:14" x14ac:dyDescent="0.25">
      <c r="A6">
        <v>2027</v>
      </c>
      <c r="B6" s="1" t="s">
        <v>11</v>
      </c>
      <c r="C6" s="1" t="s">
        <v>39</v>
      </c>
      <c r="D6" s="63" t="s">
        <v>393</v>
      </c>
      <c r="E6" t="s">
        <v>68</v>
      </c>
      <c r="F6">
        <v>318</v>
      </c>
      <c r="G6">
        <v>92</v>
      </c>
      <c r="H6">
        <v>410</v>
      </c>
      <c r="I6" s="6">
        <v>22043</v>
      </c>
      <c r="J6" s="6">
        <v>1398</v>
      </c>
      <c r="K6" s="6">
        <v>1565</v>
      </c>
      <c r="L6" s="6">
        <v>25416</v>
      </c>
      <c r="M6" s="6">
        <v>22361</v>
      </c>
      <c r="N6" s="6">
        <v>3055</v>
      </c>
    </row>
    <row r="7" spans="1:14" x14ac:dyDescent="0.25">
      <c r="A7">
        <v>2027</v>
      </c>
      <c r="B7" s="63" t="s">
        <v>6</v>
      </c>
      <c r="C7" s="1" t="s">
        <v>34</v>
      </c>
      <c r="D7" s="63" t="s">
        <v>394</v>
      </c>
      <c r="E7" t="s">
        <v>69</v>
      </c>
      <c r="F7">
        <v>0</v>
      </c>
      <c r="G7">
        <v>0</v>
      </c>
      <c r="H7">
        <v>0</v>
      </c>
      <c r="I7" s="6">
        <v>8753</v>
      </c>
      <c r="J7">
        <v>533</v>
      </c>
      <c r="K7">
        <v>597</v>
      </c>
      <c r="L7" s="6">
        <v>9883</v>
      </c>
      <c r="M7" s="6">
        <v>8753</v>
      </c>
      <c r="N7" s="6">
        <v>1130</v>
      </c>
    </row>
    <row r="8" spans="1:14" x14ac:dyDescent="0.25">
      <c r="A8">
        <v>2027</v>
      </c>
      <c r="B8" s="1" t="s">
        <v>13</v>
      </c>
      <c r="C8" s="1" t="s">
        <v>41</v>
      </c>
      <c r="D8" s="63" t="s">
        <v>395</v>
      </c>
      <c r="E8" t="s">
        <v>70</v>
      </c>
      <c r="F8">
        <v>778</v>
      </c>
      <c r="G8">
        <v>201</v>
      </c>
      <c r="H8">
        <v>979</v>
      </c>
      <c r="I8" s="6">
        <v>43542</v>
      </c>
      <c r="J8">
        <v>331</v>
      </c>
      <c r="K8">
        <v>364</v>
      </c>
      <c r="L8" s="6">
        <v>45216</v>
      </c>
      <c r="M8" s="6">
        <v>44320</v>
      </c>
      <c r="N8" s="6">
        <v>896</v>
      </c>
    </row>
    <row r="9" spans="1:14" x14ac:dyDescent="0.25">
      <c r="A9">
        <v>2027</v>
      </c>
      <c r="B9" s="1" t="s">
        <v>9</v>
      </c>
      <c r="C9" s="1" t="s">
        <v>37</v>
      </c>
      <c r="D9" s="63" t="s">
        <v>396</v>
      </c>
      <c r="E9" t="s">
        <v>71</v>
      </c>
      <c r="F9">
        <v>177</v>
      </c>
      <c r="G9">
        <v>47</v>
      </c>
      <c r="H9">
        <v>224</v>
      </c>
      <c r="I9" s="6">
        <v>19415</v>
      </c>
      <c r="J9" s="6">
        <v>1524</v>
      </c>
      <c r="K9" s="6">
        <v>1677</v>
      </c>
      <c r="L9" s="6">
        <v>22840</v>
      </c>
      <c r="M9" s="6">
        <v>19592</v>
      </c>
      <c r="N9" s="6">
        <v>3248</v>
      </c>
    </row>
    <row r="10" spans="1:14" x14ac:dyDescent="0.25">
      <c r="A10">
        <v>2027</v>
      </c>
      <c r="B10" s="63" t="s">
        <v>7</v>
      </c>
      <c r="C10" s="1" t="s">
        <v>35</v>
      </c>
      <c r="D10" s="63" t="s">
        <v>397</v>
      </c>
      <c r="E10" t="s">
        <v>72</v>
      </c>
      <c r="F10">
        <v>90</v>
      </c>
      <c r="G10">
        <v>25</v>
      </c>
      <c r="H10">
        <v>115</v>
      </c>
      <c r="I10" s="6">
        <v>11590</v>
      </c>
      <c r="J10">
        <v>0</v>
      </c>
      <c r="K10">
        <v>0</v>
      </c>
      <c r="L10" s="6">
        <v>11705</v>
      </c>
      <c r="M10" s="6">
        <v>11680</v>
      </c>
      <c r="N10">
        <v>25</v>
      </c>
    </row>
    <row r="11" spans="1:14" x14ac:dyDescent="0.25">
      <c r="A11">
        <v>2027</v>
      </c>
      <c r="B11" s="63" t="s">
        <v>6</v>
      </c>
      <c r="C11" s="1" t="s">
        <v>34</v>
      </c>
      <c r="D11" s="63" t="s">
        <v>398</v>
      </c>
      <c r="E11" t="s">
        <v>73</v>
      </c>
      <c r="F11">
        <v>0</v>
      </c>
      <c r="G11">
        <v>0</v>
      </c>
      <c r="H11">
        <v>0</v>
      </c>
      <c r="I11" s="6">
        <v>62875</v>
      </c>
      <c r="J11" s="6">
        <v>23191</v>
      </c>
      <c r="K11" s="6">
        <v>25961</v>
      </c>
      <c r="L11" s="6">
        <v>112027</v>
      </c>
      <c r="M11" s="6">
        <v>62875</v>
      </c>
      <c r="N11" s="6">
        <v>49152</v>
      </c>
    </row>
    <row r="12" spans="1:14" x14ac:dyDescent="0.25">
      <c r="A12">
        <v>2027</v>
      </c>
      <c r="B12" s="63" t="s">
        <v>5</v>
      </c>
      <c r="C12" s="1" t="s">
        <v>33</v>
      </c>
      <c r="D12" s="63" t="s">
        <v>399</v>
      </c>
      <c r="E12" t="s">
        <v>74</v>
      </c>
      <c r="F12">
        <v>908</v>
      </c>
      <c r="G12">
        <v>288</v>
      </c>
      <c r="H12" s="6">
        <v>1196</v>
      </c>
      <c r="I12" s="6">
        <v>45938</v>
      </c>
      <c r="J12" s="6">
        <v>9518</v>
      </c>
      <c r="K12" s="6">
        <v>10601</v>
      </c>
      <c r="L12" s="6">
        <v>67253</v>
      </c>
      <c r="M12" s="6">
        <v>46846</v>
      </c>
      <c r="N12" s="6">
        <v>20407</v>
      </c>
    </row>
    <row r="13" spans="1:14" x14ac:dyDescent="0.25">
      <c r="A13">
        <v>2027</v>
      </c>
      <c r="B13" s="63" t="s">
        <v>6</v>
      </c>
      <c r="C13" s="1" t="s">
        <v>34</v>
      </c>
      <c r="D13" s="63" t="s">
        <v>400</v>
      </c>
      <c r="E13" t="s">
        <v>75</v>
      </c>
      <c r="F13">
        <v>0</v>
      </c>
      <c r="G13">
        <v>0</v>
      </c>
      <c r="H13">
        <v>0</v>
      </c>
      <c r="I13" s="6">
        <v>37165</v>
      </c>
      <c r="J13" s="6">
        <v>800</v>
      </c>
      <c r="K13" s="6">
        <v>895</v>
      </c>
      <c r="L13" s="6">
        <v>38860</v>
      </c>
      <c r="M13" s="6">
        <v>37165</v>
      </c>
      <c r="N13" s="6">
        <v>1695</v>
      </c>
    </row>
    <row r="14" spans="1:14" x14ac:dyDescent="0.25">
      <c r="A14">
        <v>2027</v>
      </c>
      <c r="B14" s="1" t="s">
        <v>10</v>
      </c>
      <c r="C14" s="1" t="s">
        <v>38</v>
      </c>
      <c r="D14" s="63" t="s">
        <v>401</v>
      </c>
      <c r="E14" t="s">
        <v>76</v>
      </c>
      <c r="F14">
        <v>776</v>
      </c>
      <c r="G14">
        <v>185</v>
      </c>
      <c r="H14">
        <v>961</v>
      </c>
      <c r="I14" s="6">
        <v>154501</v>
      </c>
      <c r="J14" s="6">
        <v>11380</v>
      </c>
      <c r="K14" s="6">
        <v>12508</v>
      </c>
      <c r="L14" s="6">
        <v>179350</v>
      </c>
      <c r="M14" s="6">
        <v>155277</v>
      </c>
      <c r="N14" s="6">
        <v>24073</v>
      </c>
    </row>
    <row r="15" spans="1:14" x14ac:dyDescent="0.25">
      <c r="A15">
        <v>2027</v>
      </c>
      <c r="B15" s="1" t="s">
        <v>9</v>
      </c>
      <c r="C15" s="1" t="s">
        <v>37</v>
      </c>
      <c r="D15" s="63" t="s">
        <v>402</v>
      </c>
      <c r="E15" t="s">
        <v>77</v>
      </c>
      <c r="F15">
        <v>410</v>
      </c>
      <c r="G15">
        <v>109</v>
      </c>
      <c r="H15">
        <v>519</v>
      </c>
      <c r="I15" s="6">
        <v>44994</v>
      </c>
      <c r="J15" s="6">
        <v>4706</v>
      </c>
      <c r="K15" s="6">
        <v>5176</v>
      </c>
      <c r="L15" s="6">
        <v>55395</v>
      </c>
      <c r="M15" s="6">
        <v>45404</v>
      </c>
      <c r="N15" s="6">
        <v>9991</v>
      </c>
    </row>
    <row r="16" spans="1:14" x14ac:dyDescent="0.25">
      <c r="A16">
        <v>2027</v>
      </c>
      <c r="B16" s="63" t="s">
        <v>8</v>
      </c>
      <c r="C16" s="1" t="s">
        <v>36</v>
      </c>
      <c r="D16" s="63" t="s">
        <v>403</v>
      </c>
      <c r="E16" t="s">
        <v>78</v>
      </c>
      <c r="F16">
        <v>115</v>
      </c>
      <c r="G16">
        <v>31</v>
      </c>
      <c r="H16">
        <v>146</v>
      </c>
      <c r="I16" s="6">
        <v>8041</v>
      </c>
      <c r="J16" s="6">
        <v>2049</v>
      </c>
      <c r="K16" s="6">
        <v>2241</v>
      </c>
      <c r="L16" s="6">
        <v>12477</v>
      </c>
      <c r="M16" s="6">
        <v>8156</v>
      </c>
      <c r="N16" s="6">
        <v>4321</v>
      </c>
    </row>
    <row r="17" spans="1:14" x14ac:dyDescent="0.25">
      <c r="A17">
        <v>2027</v>
      </c>
      <c r="B17" s="1" t="s">
        <v>10</v>
      </c>
      <c r="C17" s="1" t="s">
        <v>38</v>
      </c>
      <c r="D17" s="63" t="s">
        <v>404</v>
      </c>
      <c r="E17" t="s">
        <v>79</v>
      </c>
      <c r="F17" s="6">
        <v>2133</v>
      </c>
      <c r="G17">
        <v>509</v>
      </c>
      <c r="H17" s="6">
        <v>2642</v>
      </c>
      <c r="I17" s="6">
        <v>425326</v>
      </c>
      <c r="J17" s="6">
        <v>90375</v>
      </c>
      <c r="K17" s="6">
        <v>99336</v>
      </c>
      <c r="L17" s="6">
        <v>617679</v>
      </c>
      <c r="M17" s="6">
        <v>427459</v>
      </c>
      <c r="N17" s="6">
        <v>190220</v>
      </c>
    </row>
    <row r="18" spans="1:14" x14ac:dyDescent="0.25">
      <c r="A18">
        <v>2027</v>
      </c>
      <c r="B18" s="63" t="s">
        <v>7</v>
      </c>
      <c r="C18" s="1" t="s">
        <v>35</v>
      </c>
      <c r="D18" s="63" t="s">
        <v>405</v>
      </c>
      <c r="E18" t="s">
        <v>80</v>
      </c>
      <c r="F18">
        <v>306</v>
      </c>
      <c r="G18">
        <v>86</v>
      </c>
      <c r="H18">
        <v>392</v>
      </c>
      <c r="I18" s="6">
        <v>39441</v>
      </c>
      <c r="J18" s="6">
        <v>1865</v>
      </c>
      <c r="K18" s="6">
        <v>2078</v>
      </c>
      <c r="L18" s="6">
        <v>43776</v>
      </c>
      <c r="M18" s="6">
        <v>39747</v>
      </c>
      <c r="N18" s="6">
        <v>4029</v>
      </c>
    </row>
    <row r="19" spans="1:14" x14ac:dyDescent="0.25">
      <c r="A19">
        <v>2027</v>
      </c>
      <c r="B19" s="1" t="s">
        <v>11</v>
      </c>
      <c r="C19" s="1" t="s">
        <v>39</v>
      </c>
      <c r="D19" s="63" t="s">
        <v>406</v>
      </c>
      <c r="E19" t="s">
        <v>81</v>
      </c>
      <c r="F19">
        <v>157</v>
      </c>
      <c r="G19">
        <v>46</v>
      </c>
      <c r="H19">
        <v>203</v>
      </c>
      <c r="I19" s="6">
        <v>11277</v>
      </c>
      <c r="J19" s="6">
        <v>4260</v>
      </c>
      <c r="K19" s="6">
        <v>4768</v>
      </c>
      <c r="L19" s="6">
        <v>20508</v>
      </c>
      <c r="M19" s="6">
        <v>11434</v>
      </c>
      <c r="N19" s="6">
        <v>9074</v>
      </c>
    </row>
    <row r="20" spans="1:14" x14ac:dyDescent="0.25">
      <c r="A20">
        <v>2027</v>
      </c>
      <c r="B20" s="1" t="s">
        <v>12</v>
      </c>
      <c r="C20" s="1" t="s">
        <v>40</v>
      </c>
      <c r="D20" s="63" t="s">
        <v>407</v>
      </c>
      <c r="E20" t="s">
        <v>82</v>
      </c>
      <c r="F20">
        <v>933</v>
      </c>
      <c r="G20">
        <v>249</v>
      </c>
      <c r="H20" s="6">
        <v>1182</v>
      </c>
      <c r="I20" s="6">
        <v>61361</v>
      </c>
      <c r="J20">
        <v>133</v>
      </c>
      <c r="K20">
        <v>147</v>
      </c>
      <c r="L20" s="6">
        <v>62823</v>
      </c>
      <c r="M20" s="6">
        <v>62294</v>
      </c>
      <c r="N20">
        <v>529</v>
      </c>
    </row>
    <row r="21" spans="1:14" x14ac:dyDescent="0.25">
      <c r="A21">
        <v>2027</v>
      </c>
      <c r="B21" s="1" t="s">
        <v>10</v>
      </c>
      <c r="C21" s="1" t="s">
        <v>38</v>
      </c>
      <c r="D21" s="63" t="s">
        <v>408</v>
      </c>
      <c r="E21" t="s">
        <v>83</v>
      </c>
      <c r="F21">
        <v>90</v>
      </c>
      <c r="G21">
        <v>21</v>
      </c>
      <c r="H21">
        <v>111</v>
      </c>
      <c r="I21" s="6">
        <v>17746</v>
      </c>
      <c r="J21">
        <v>595</v>
      </c>
      <c r="K21">
        <v>654</v>
      </c>
      <c r="L21" s="6">
        <v>19106</v>
      </c>
      <c r="M21" s="6">
        <v>17836</v>
      </c>
      <c r="N21" s="6">
        <v>1270</v>
      </c>
    </row>
    <row r="22" spans="1:14" x14ac:dyDescent="0.25">
      <c r="A22">
        <v>2027</v>
      </c>
      <c r="B22" s="1" t="s">
        <v>10</v>
      </c>
      <c r="C22" s="1" t="s">
        <v>38</v>
      </c>
      <c r="D22" s="63" t="s">
        <v>409</v>
      </c>
      <c r="E22" t="s">
        <v>84</v>
      </c>
      <c r="F22">
        <v>292</v>
      </c>
      <c r="G22">
        <v>70</v>
      </c>
      <c r="H22">
        <v>362</v>
      </c>
      <c r="I22" s="6">
        <v>58277</v>
      </c>
      <c r="J22" s="6">
        <v>2316</v>
      </c>
      <c r="K22" s="6">
        <v>2545</v>
      </c>
      <c r="L22" s="6">
        <v>63500</v>
      </c>
      <c r="M22" s="6">
        <v>58569</v>
      </c>
      <c r="N22" s="6">
        <v>4931</v>
      </c>
    </row>
    <row r="23" spans="1:14" x14ac:dyDescent="0.25">
      <c r="A23">
        <v>2027</v>
      </c>
      <c r="B23" s="1" t="s">
        <v>10</v>
      </c>
      <c r="C23" s="1" t="s">
        <v>38</v>
      </c>
      <c r="D23" s="63" t="s">
        <v>410</v>
      </c>
      <c r="E23" t="s">
        <v>85</v>
      </c>
      <c r="F23">
        <v>59</v>
      </c>
      <c r="G23">
        <v>14</v>
      </c>
      <c r="H23">
        <v>73</v>
      </c>
      <c r="I23" s="6">
        <v>11509</v>
      </c>
      <c r="J23">
        <v>265</v>
      </c>
      <c r="K23">
        <v>291</v>
      </c>
      <c r="L23" s="6">
        <v>12138</v>
      </c>
      <c r="M23" s="6">
        <v>11568</v>
      </c>
      <c r="N23" s="6">
        <v>570</v>
      </c>
    </row>
    <row r="24" spans="1:14" x14ac:dyDescent="0.25">
      <c r="A24">
        <v>2027</v>
      </c>
      <c r="B24" s="63" t="s">
        <v>7</v>
      </c>
      <c r="C24" s="1" t="s">
        <v>35</v>
      </c>
      <c r="D24" s="63" t="s">
        <v>411</v>
      </c>
      <c r="E24" t="s">
        <v>86</v>
      </c>
      <c r="F24">
        <v>174</v>
      </c>
      <c r="G24">
        <v>49</v>
      </c>
      <c r="H24">
        <v>223</v>
      </c>
      <c r="I24" s="6">
        <v>22264</v>
      </c>
      <c r="J24">
        <v>533</v>
      </c>
      <c r="K24">
        <v>594</v>
      </c>
      <c r="L24" s="6">
        <v>23614</v>
      </c>
      <c r="M24" s="6">
        <v>22438</v>
      </c>
      <c r="N24" s="6">
        <v>1176</v>
      </c>
    </row>
    <row r="25" spans="1:14" x14ac:dyDescent="0.25">
      <c r="A25">
        <v>2027</v>
      </c>
      <c r="B25" s="1" t="s">
        <v>12</v>
      </c>
      <c r="C25" s="1" t="s">
        <v>40</v>
      </c>
      <c r="D25" s="63" t="s">
        <v>412</v>
      </c>
      <c r="E25" t="s">
        <v>87</v>
      </c>
      <c r="F25">
        <v>332</v>
      </c>
      <c r="G25">
        <v>88</v>
      </c>
      <c r="H25">
        <v>420</v>
      </c>
      <c r="I25" s="6">
        <v>21083</v>
      </c>
      <c r="J25">
        <v>133</v>
      </c>
      <c r="K25">
        <v>147</v>
      </c>
      <c r="L25" s="6">
        <v>21783</v>
      </c>
      <c r="M25" s="6">
        <v>21415</v>
      </c>
      <c r="N25">
        <v>368</v>
      </c>
    </row>
    <row r="26" spans="1:14" x14ac:dyDescent="0.25">
      <c r="A26">
        <v>2027</v>
      </c>
      <c r="B26" s="1" t="s">
        <v>9</v>
      </c>
      <c r="C26" s="1" t="s">
        <v>37</v>
      </c>
      <c r="D26" s="63" t="s">
        <v>413</v>
      </c>
      <c r="E26" t="s">
        <v>88</v>
      </c>
      <c r="F26">
        <v>160</v>
      </c>
      <c r="G26">
        <v>42</v>
      </c>
      <c r="H26">
        <v>202</v>
      </c>
      <c r="I26" s="6">
        <v>17532</v>
      </c>
      <c r="J26">
        <v>530</v>
      </c>
      <c r="K26">
        <v>583</v>
      </c>
      <c r="L26" s="6">
        <v>18847</v>
      </c>
      <c r="M26" s="6">
        <v>17692</v>
      </c>
      <c r="N26" s="6">
        <v>1155</v>
      </c>
    </row>
    <row r="27" spans="1:14" x14ac:dyDescent="0.25">
      <c r="A27">
        <v>2027</v>
      </c>
      <c r="B27" s="63" t="s">
        <v>8</v>
      </c>
      <c r="C27" s="1" t="s">
        <v>36</v>
      </c>
      <c r="D27" s="63" t="s">
        <v>414</v>
      </c>
      <c r="E27" t="s">
        <v>89</v>
      </c>
      <c r="F27">
        <v>318</v>
      </c>
      <c r="G27">
        <v>85</v>
      </c>
      <c r="H27">
        <v>403</v>
      </c>
      <c r="I27" s="6">
        <v>22179</v>
      </c>
      <c r="J27" s="6">
        <v>12295</v>
      </c>
      <c r="K27" s="6">
        <v>13448</v>
      </c>
      <c r="L27" s="6">
        <v>48325</v>
      </c>
      <c r="M27" s="6">
        <v>22497</v>
      </c>
      <c r="N27" s="6">
        <v>25828</v>
      </c>
    </row>
    <row r="28" spans="1:14" x14ac:dyDescent="0.25">
      <c r="A28">
        <v>2027</v>
      </c>
      <c r="B28" s="63" t="s">
        <v>7</v>
      </c>
      <c r="C28" s="1" t="s">
        <v>35</v>
      </c>
      <c r="D28" s="63" t="s">
        <v>415</v>
      </c>
      <c r="E28" t="s">
        <v>90</v>
      </c>
      <c r="F28">
        <v>284</v>
      </c>
      <c r="G28">
        <v>79</v>
      </c>
      <c r="H28">
        <v>363</v>
      </c>
      <c r="I28" s="6">
        <v>36232</v>
      </c>
      <c r="J28">
        <v>133</v>
      </c>
      <c r="K28">
        <v>148</v>
      </c>
      <c r="L28" s="6">
        <v>36876</v>
      </c>
      <c r="M28" s="6">
        <v>36516</v>
      </c>
      <c r="N28">
        <v>360</v>
      </c>
    </row>
    <row r="29" spans="1:14" x14ac:dyDescent="0.25">
      <c r="A29">
        <v>2027</v>
      </c>
      <c r="B29" s="63" t="s">
        <v>8</v>
      </c>
      <c r="C29" s="1" t="s">
        <v>36</v>
      </c>
      <c r="D29" s="63" t="s">
        <v>416</v>
      </c>
      <c r="E29" t="s">
        <v>91</v>
      </c>
      <c r="F29">
        <v>84</v>
      </c>
      <c r="G29">
        <v>23</v>
      </c>
      <c r="H29">
        <v>107</v>
      </c>
      <c r="I29" s="6">
        <v>5879</v>
      </c>
      <c r="J29">
        <v>331</v>
      </c>
      <c r="K29">
        <v>362</v>
      </c>
      <c r="L29" s="6">
        <v>6679</v>
      </c>
      <c r="M29" s="6">
        <v>5963</v>
      </c>
      <c r="N29">
        <v>716</v>
      </c>
    </row>
    <row r="30" spans="1:14" x14ac:dyDescent="0.25">
      <c r="A30">
        <v>2027</v>
      </c>
      <c r="B30" s="1" t="s">
        <v>9</v>
      </c>
      <c r="C30" s="1" t="s">
        <v>37</v>
      </c>
      <c r="D30" s="63" t="s">
        <v>417</v>
      </c>
      <c r="E30" t="s">
        <v>92</v>
      </c>
      <c r="F30">
        <v>483</v>
      </c>
      <c r="G30">
        <v>128</v>
      </c>
      <c r="H30">
        <v>611</v>
      </c>
      <c r="I30" s="6">
        <v>53384</v>
      </c>
      <c r="J30" s="6">
        <v>10273</v>
      </c>
      <c r="K30" s="6">
        <v>11300</v>
      </c>
      <c r="L30" s="6">
        <v>75568</v>
      </c>
      <c r="M30" s="6">
        <v>53867</v>
      </c>
      <c r="N30" s="6">
        <v>21701</v>
      </c>
    </row>
    <row r="31" spans="1:14" x14ac:dyDescent="0.25">
      <c r="A31">
        <v>2027</v>
      </c>
      <c r="B31" s="63" t="s">
        <v>8</v>
      </c>
      <c r="C31" s="1" t="s">
        <v>36</v>
      </c>
      <c r="D31" s="63" t="s">
        <v>418</v>
      </c>
      <c r="E31" t="s">
        <v>93</v>
      </c>
      <c r="F31" s="6">
        <v>2037</v>
      </c>
      <c r="G31">
        <v>552</v>
      </c>
      <c r="H31" s="6">
        <v>2589</v>
      </c>
      <c r="I31" s="6">
        <v>141836</v>
      </c>
      <c r="J31" s="6">
        <v>28555</v>
      </c>
      <c r="K31" s="6">
        <v>31234</v>
      </c>
      <c r="L31" s="6">
        <v>204214</v>
      </c>
      <c r="M31" s="6">
        <v>143873</v>
      </c>
      <c r="N31" s="6">
        <v>60341</v>
      </c>
    </row>
    <row r="32" spans="1:14" x14ac:dyDescent="0.25">
      <c r="A32">
        <v>2027</v>
      </c>
      <c r="B32" s="1" t="s">
        <v>10</v>
      </c>
      <c r="C32" s="1" t="s">
        <v>38</v>
      </c>
      <c r="D32" s="63" t="s">
        <v>419</v>
      </c>
      <c r="E32" t="s">
        <v>94</v>
      </c>
      <c r="F32">
        <v>444</v>
      </c>
      <c r="G32">
        <v>106</v>
      </c>
      <c r="H32">
        <v>550</v>
      </c>
      <c r="I32" s="6">
        <v>88643</v>
      </c>
      <c r="J32" s="6">
        <v>6484</v>
      </c>
      <c r="K32" s="6">
        <v>7127</v>
      </c>
      <c r="L32" s="6">
        <v>102804</v>
      </c>
      <c r="M32" s="6">
        <v>89087</v>
      </c>
      <c r="N32" s="6">
        <v>13717</v>
      </c>
    </row>
    <row r="33" spans="1:14" x14ac:dyDescent="0.25">
      <c r="A33">
        <v>2027</v>
      </c>
      <c r="B33" s="1" t="s">
        <v>10</v>
      </c>
      <c r="C33" s="1" t="s">
        <v>38</v>
      </c>
      <c r="D33" s="63" t="s">
        <v>420</v>
      </c>
      <c r="E33" t="s">
        <v>95</v>
      </c>
      <c r="F33">
        <v>351</v>
      </c>
      <c r="G33">
        <v>84</v>
      </c>
      <c r="H33">
        <v>435</v>
      </c>
      <c r="I33" s="6">
        <v>70225</v>
      </c>
      <c r="J33" s="6">
        <v>10586</v>
      </c>
      <c r="K33" s="6">
        <v>11635</v>
      </c>
      <c r="L33" s="6">
        <v>92881</v>
      </c>
      <c r="M33" s="6">
        <v>70576</v>
      </c>
      <c r="N33" s="6">
        <v>22305</v>
      </c>
    </row>
    <row r="34" spans="1:14" x14ac:dyDescent="0.25">
      <c r="A34">
        <v>2027</v>
      </c>
      <c r="B34" s="1" t="s">
        <v>11</v>
      </c>
      <c r="C34" s="1" t="s">
        <v>39</v>
      </c>
      <c r="D34" s="63" t="s">
        <v>421</v>
      </c>
      <c r="E34" t="s">
        <v>96</v>
      </c>
      <c r="F34">
        <v>320</v>
      </c>
      <c r="G34">
        <v>93</v>
      </c>
      <c r="H34">
        <v>413</v>
      </c>
      <c r="I34" s="6">
        <v>22333</v>
      </c>
      <c r="J34" s="6">
        <v>27227</v>
      </c>
      <c r="K34" s="6">
        <v>30471</v>
      </c>
      <c r="L34" s="6">
        <v>80444</v>
      </c>
      <c r="M34" s="6">
        <v>22653</v>
      </c>
      <c r="N34" s="6">
        <v>57791</v>
      </c>
    </row>
    <row r="35" spans="1:14" x14ac:dyDescent="0.25">
      <c r="A35">
        <v>2027</v>
      </c>
      <c r="B35" s="1" t="s">
        <v>12</v>
      </c>
      <c r="C35" s="1" t="s">
        <v>40</v>
      </c>
      <c r="D35" s="1" t="s">
        <v>422</v>
      </c>
      <c r="E35" t="s">
        <v>97</v>
      </c>
      <c r="F35">
        <v>253</v>
      </c>
      <c r="G35">
        <v>67</v>
      </c>
      <c r="H35">
        <v>320</v>
      </c>
      <c r="I35" s="6">
        <v>16056</v>
      </c>
      <c r="J35">
        <v>199</v>
      </c>
      <c r="K35">
        <v>220</v>
      </c>
      <c r="L35" s="6">
        <v>16795</v>
      </c>
      <c r="M35" s="6">
        <v>16309</v>
      </c>
      <c r="N35">
        <v>486</v>
      </c>
    </row>
    <row r="36" spans="1:14" x14ac:dyDescent="0.25">
      <c r="A36">
        <v>2027</v>
      </c>
      <c r="B36" s="63" t="s">
        <v>7</v>
      </c>
      <c r="C36" s="1" t="s">
        <v>35</v>
      </c>
      <c r="D36" s="63" t="s">
        <v>423</v>
      </c>
      <c r="E36" t="s">
        <v>98</v>
      </c>
      <c r="F36">
        <v>191</v>
      </c>
      <c r="G36">
        <v>53</v>
      </c>
      <c r="H36">
        <v>244</v>
      </c>
      <c r="I36" s="6">
        <v>25783</v>
      </c>
      <c r="J36">
        <v>333</v>
      </c>
      <c r="K36">
        <v>371</v>
      </c>
      <c r="L36" s="6">
        <v>26731</v>
      </c>
      <c r="M36" s="6">
        <v>25974</v>
      </c>
      <c r="N36">
        <v>757</v>
      </c>
    </row>
    <row r="37" spans="1:14" x14ac:dyDescent="0.25">
      <c r="A37">
        <v>2027</v>
      </c>
      <c r="B37" s="1" t="s">
        <v>13</v>
      </c>
      <c r="C37" s="1" t="s">
        <v>41</v>
      </c>
      <c r="D37" s="63" t="s">
        <v>424</v>
      </c>
      <c r="E37" t="s">
        <v>99</v>
      </c>
      <c r="F37" s="6">
        <v>2740</v>
      </c>
      <c r="G37">
        <v>706</v>
      </c>
      <c r="H37" s="6">
        <v>3446</v>
      </c>
      <c r="I37" s="6">
        <v>154113</v>
      </c>
      <c r="J37" s="6">
        <v>23456</v>
      </c>
      <c r="K37" s="6">
        <v>25796</v>
      </c>
      <c r="L37" s="6">
        <v>206811</v>
      </c>
      <c r="M37" s="6">
        <v>156853</v>
      </c>
      <c r="N37" s="6">
        <v>49958</v>
      </c>
    </row>
    <row r="38" spans="1:14" x14ac:dyDescent="0.25">
      <c r="A38">
        <v>2027</v>
      </c>
      <c r="B38" s="63" t="s">
        <v>7</v>
      </c>
      <c r="C38" s="1" t="s">
        <v>35</v>
      </c>
      <c r="D38" s="63" t="s">
        <v>425</v>
      </c>
      <c r="E38" t="s">
        <v>100</v>
      </c>
      <c r="F38">
        <v>107</v>
      </c>
      <c r="G38">
        <v>30</v>
      </c>
      <c r="H38">
        <v>137</v>
      </c>
      <c r="I38" s="6">
        <v>14226</v>
      </c>
      <c r="J38" s="6">
        <v>1398</v>
      </c>
      <c r="K38" s="6">
        <v>1559</v>
      </c>
      <c r="L38" s="6">
        <v>17320</v>
      </c>
      <c r="M38" s="6">
        <v>14333</v>
      </c>
      <c r="N38" s="6">
        <v>2987</v>
      </c>
    </row>
    <row r="39" spans="1:14" x14ac:dyDescent="0.25">
      <c r="A39">
        <v>2027</v>
      </c>
      <c r="B39" s="63" t="s">
        <v>8</v>
      </c>
      <c r="C39" s="1" t="s">
        <v>36</v>
      </c>
      <c r="D39" s="63" t="s">
        <v>426</v>
      </c>
      <c r="E39" t="s">
        <v>101</v>
      </c>
      <c r="F39">
        <v>200</v>
      </c>
      <c r="G39">
        <v>54</v>
      </c>
      <c r="H39">
        <v>254</v>
      </c>
      <c r="I39" s="6">
        <v>13845</v>
      </c>
      <c r="J39">
        <v>264</v>
      </c>
      <c r="K39">
        <v>289</v>
      </c>
      <c r="L39" s="6">
        <v>14652</v>
      </c>
      <c r="M39" s="6">
        <v>14045</v>
      </c>
      <c r="N39">
        <v>607</v>
      </c>
    </row>
    <row r="40" spans="1:14" x14ac:dyDescent="0.25">
      <c r="A40">
        <v>2027</v>
      </c>
      <c r="B40" s="1" t="s">
        <v>12</v>
      </c>
      <c r="C40" s="1" t="s">
        <v>40</v>
      </c>
      <c r="D40" s="63" t="s">
        <v>427</v>
      </c>
      <c r="E40" t="s">
        <v>102</v>
      </c>
      <c r="F40">
        <v>273</v>
      </c>
      <c r="G40">
        <v>72</v>
      </c>
      <c r="H40">
        <v>345</v>
      </c>
      <c r="I40" s="6">
        <v>17252</v>
      </c>
      <c r="J40">
        <v>133</v>
      </c>
      <c r="K40">
        <v>147</v>
      </c>
      <c r="L40" s="6">
        <v>17877</v>
      </c>
      <c r="M40" s="6">
        <v>17525</v>
      </c>
      <c r="N40">
        <v>352</v>
      </c>
    </row>
    <row r="41" spans="1:14" x14ac:dyDescent="0.25">
      <c r="A41">
        <v>2027</v>
      </c>
      <c r="B41" s="63" t="s">
        <v>8</v>
      </c>
      <c r="C41" s="1" t="s">
        <v>36</v>
      </c>
      <c r="D41" s="63" t="s">
        <v>428</v>
      </c>
      <c r="E41" t="s">
        <v>103</v>
      </c>
      <c r="F41">
        <v>407</v>
      </c>
      <c r="G41">
        <v>111</v>
      </c>
      <c r="H41">
        <v>518</v>
      </c>
      <c r="I41" s="6">
        <v>29824</v>
      </c>
      <c r="J41" s="6">
        <v>1653</v>
      </c>
      <c r="K41" s="6">
        <v>1808</v>
      </c>
      <c r="L41" s="6">
        <v>33803</v>
      </c>
      <c r="M41" s="6">
        <v>30231</v>
      </c>
      <c r="N41" s="6">
        <v>3572</v>
      </c>
    </row>
    <row r="42" spans="1:14" x14ac:dyDescent="0.25">
      <c r="A42">
        <v>2027</v>
      </c>
      <c r="B42" s="1" t="s">
        <v>13</v>
      </c>
      <c r="C42" s="1" t="s">
        <v>41</v>
      </c>
      <c r="D42" s="63" t="s">
        <v>429</v>
      </c>
      <c r="E42" t="s">
        <v>104</v>
      </c>
      <c r="F42">
        <v>399</v>
      </c>
      <c r="G42">
        <v>103</v>
      </c>
      <c r="H42">
        <v>502</v>
      </c>
      <c r="I42" s="6">
        <v>22357</v>
      </c>
      <c r="J42">
        <v>398</v>
      </c>
      <c r="K42">
        <v>437</v>
      </c>
      <c r="L42" s="6">
        <v>23694</v>
      </c>
      <c r="M42" s="6">
        <v>22756</v>
      </c>
      <c r="N42">
        <v>938</v>
      </c>
    </row>
    <row r="43" spans="1:14" x14ac:dyDescent="0.25">
      <c r="A43">
        <v>2027</v>
      </c>
      <c r="B43" s="1" t="s">
        <v>10</v>
      </c>
      <c r="C43" s="1" t="s">
        <v>38</v>
      </c>
      <c r="D43" s="63" t="s">
        <v>430</v>
      </c>
      <c r="E43" t="s">
        <v>105</v>
      </c>
      <c r="F43">
        <v>318</v>
      </c>
      <c r="G43">
        <v>75</v>
      </c>
      <c r="H43">
        <v>393</v>
      </c>
      <c r="I43" s="6">
        <v>63471</v>
      </c>
      <c r="J43" s="6">
        <v>5756</v>
      </c>
      <c r="K43" s="6">
        <v>6327</v>
      </c>
      <c r="L43" s="6">
        <v>75947</v>
      </c>
      <c r="M43" s="6">
        <v>63789</v>
      </c>
      <c r="N43" s="6">
        <v>12158</v>
      </c>
    </row>
    <row r="44" spans="1:14" x14ac:dyDescent="0.25">
      <c r="A44">
        <v>2027</v>
      </c>
      <c r="B44" s="1" t="s">
        <v>10</v>
      </c>
      <c r="C44" s="1" t="s">
        <v>38</v>
      </c>
      <c r="D44" s="63" t="s">
        <v>431</v>
      </c>
      <c r="E44" t="s">
        <v>106</v>
      </c>
      <c r="F44">
        <v>261</v>
      </c>
      <c r="G44">
        <v>63</v>
      </c>
      <c r="H44">
        <v>324</v>
      </c>
      <c r="I44" s="6">
        <v>53425</v>
      </c>
      <c r="J44" s="6">
        <v>65763</v>
      </c>
      <c r="K44" s="6">
        <v>72284</v>
      </c>
      <c r="L44" s="6">
        <v>191796</v>
      </c>
      <c r="M44" s="6">
        <v>53686</v>
      </c>
      <c r="N44" s="6">
        <v>138110</v>
      </c>
    </row>
    <row r="45" spans="1:14" x14ac:dyDescent="0.25">
      <c r="A45">
        <v>2027</v>
      </c>
      <c r="B45" s="63" t="s">
        <v>7</v>
      </c>
      <c r="C45" s="1" t="s">
        <v>35</v>
      </c>
      <c r="D45" s="1" t="s">
        <v>432</v>
      </c>
      <c r="E45" t="s">
        <v>107</v>
      </c>
      <c r="F45" s="6">
        <v>2119</v>
      </c>
      <c r="G45">
        <v>591</v>
      </c>
      <c r="H45" s="6">
        <v>2710</v>
      </c>
      <c r="I45" s="6">
        <v>271298</v>
      </c>
      <c r="J45" s="6">
        <v>29433</v>
      </c>
      <c r="K45" s="6">
        <v>32805</v>
      </c>
      <c r="L45" s="6">
        <v>336246</v>
      </c>
      <c r="M45" s="6">
        <v>273417</v>
      </c>
      <c r="N45" s="6">
        <v>62829</v>
      </c>
    </row>
    <row r="46" spans="1:14" x14ac:dyDescent="0.25">
      <c r="A46">
        <v>2027</v>
      </c>
      <c r="B46" s="1" t="s">
        <v>9</v>
      </c>
      <c r="C46" s="1" t="s">
        <v>37</v>
      </c>
      <c r="D46" s="1" t="s">
        <v>433</v>
      </c>
      <c r="E46" t="s">
        <v>108</v>
      </c>
      <c r="F46" s="6">
        <v>5696</v>
      </c>
      <c r="G46" s="6">
        <v>1503</v>
      </c>
      <c r="H46" s="6">
        <v>7199</v>
      </c>
      <c r="I46" s="6">
        <v>624669</v>
      </c>
      <c r="J46" s="6">
        <v>181077</v>
      </c>
      <c r="K46" s="6">
        <v>199163</v>
      </c>
      <c r="L46" s="6">
        <v>1012108</v>
      </c>
      <c r="M46" s="6">
        <v>630365</v>
      </c>
      <c r="N46" s="6">
        <v>381743</v>
      </c>
    </row>
    <row r="47" spans="1:14" x14ac:dyDescent="0.25">
      <c r="A47">
        <v>2027</v>
      </c>
      <c r="B47" s="1" t="s">
        <v>9</v>
      </c>
      <c r="C47" s="1" t="s">
        <v>37</v>
      </c>
      <c r="D47" s="1" t="s">
        <v>434</v>
      </c>
      <c r="E47" t="s">
        <v>109</v>
      </c>
      <c r="F47">
        <v>360</v>
      </c>
      <c r="G47">
        <v>95</v>
      </c>
      <c r="H47">
        <v>455</v>
      </c>
      <c r="I47" s="6">
        <v>40422</v>
      </c>
      <c r="J47">
        <v>795</v>
      </c>
      <c r="K47">
        <v>875</v>
      </c>
      <c r="L47" s="6">
        <v>42547</v>
      </c>
      <c r="M47" s="6">
        <v>40782</v>
      </c>
      <c r="N47" s="6">
        <v>1765</v>
      </c>
    </row>
    <row r="48" spans="1:14" x14ac:dyDescent="0.25">
      <c r="A48">
        <v>2027</v>
      </c>
      <c r="B48" s="1" t="s">
        <v>13</v>
      </c>
      <c r="C48" s="1" t="s">
        <v>41</v>
      </c>
      <c r="D48" s="1" t="s">
        <v>435</v>
      </c>
      <c r="E48" t="s">
        <v>110</v>
      </c>
      <c r="F48">
        <v>877</v>
      </c>
      <c r="G48">
        <v>226</v>
      </c>
      <c r="H48" s="6">
        <v>1103</v>
      </c>
      <c r="I48" s="6">
        <v>50192</v>
      </c>
      <c r="J48">
        <v>0</v>
      </c>
      <c r="K48">
        <v>0</v>
      </c>
      <c r="L48" s="6">
        <v>51295</v>
      </c>
      <c r="M48" s="6">
        <v>51069</v>
      </c>
      <c r="N48">
        <v>226</v>
      </c>
    </row>
    <row r="49" spans="1:14" x14ac:dyDescent="0.25">
      <c r="A49">
        <v>2027</v>
      </c>
      <c r="B49" s="1" t="s">
        <v>9</v>
      </c>
      <c r="C49" s="1" t="s">
        <v>37</v>
      </c>
      <c r="D49" s="1" t="s">
        <v>436</v>
      </c>
      <c r="E49" t="s">
        <v>111</v>
      </c>
      <c r="F49">
        <v>129</v>
      </c>
      <c r="G49">
        <v>34</v>
      </c>
      <c r="H49">
        <v>163</v>
      </c>
      <c r="I49" s="6">
        <v>14881</v>
      </c>
      <c r="J49">
        <v>729</v>
      </c>
      <c r="K49">
        <v>802</v>
      </c>
      <c r="L49" s="6">
        <v>16575</v>
      </c>
      <c r="M49" s="6">
        <v>15010</v>
      </c>
      <c r="N49" s="6">
        <v>1565</v>
      </c>
    </row>
    <row r="50" spans="1:14" x14ac:dyDescent="0.25">
      <c r="A50">
        <v>2027</v>
      </c>
      <c r="B50" s="63" t="s">
        <v>5</v>
      </c>
      <c r="C50" s="1" t="s">
        <v>33</v>
      </c>
      <c r="D50" s="1" t="s">
        <v>437</v>
      </c>
      <c r="E50" t="s">
        <v>112</v>
      </c>
      <c r="F50">
        <v>374</v>
      </c>
      <c r="G50">
        <v>118</v>
      </c>
      <c r="H50">
        <v>492</v>
      </c>
      <c r="I50" s="6">
        <v>18864</v>
      </c>
      <c r="J50">
        <v>0</v>
      </c>
      <c r="K50">
        <v>0</v>
      </c>
      <c r="L50" s="6">
        <v>19356</v>
      </c>
      <c r="M50" s="6">
        <v>19238</v>
      </c>
      <c r="N50">
        <v>118</v>
      </c>
    </row>
    <row r="51" spans="1:14" x14ac:dyDescent="0.25">
      <c r="A51">
        <v>2027</v>
      </c>
      <c r="B51" s="63" t="s">
        <v>8</v>
      </c>
      <c r="C51" s="1" t="s">
        <v>36</v>
      </c>
      <c r="D51" s="1" t="s">
        <v>438</v>
      </c>
      <c r="E51" t="s">
        <v>113</v>
      </c>
      <c r="F51">
        <v>778</v>
      </c>
      <c r="G51">
        <v>211</v>
      </c>
      <c r="H51">
        <v>989</v>
      </c>
      <c r="I51" s="6">
        <v>54195</v>
      </c>
      <c r="J51" s="6">
        <v>11369</v>
      </c>
      <c r="K51" s="6">
        <v>12436</v>
      </c>
      <c r="L51" s="6">
        <v>78989</v>
      </c>
      <c r="M51" s="6">
        <v>54973</v>
      </c>
      <c r="N51" s="6">
        <v>24016</v>
      </c>
    </row>
    <row r="52" spans="1:14" x14ac:dyDescent="0.25">
      <c r="A52">
        <v>2027</v>
      </c>
      <c r="B52" s="1" t="s">
        <v>12</v>
      </c>
      <c r="C52" s="1" t="s">
        <v>40</v>
      </c>
      <c r="D52" s="1" t="s">
        <v>439</v>
      </c>
      <c r="E52" t="s">
        <v>114</v>
      </c>
      <c r="F52">
        <v>382</v>
      </c>
      <c r="G52">
        <v>102</v>
      </c>
      <c r="H52">
        <v>484</v>
      </c>
      <c r="I52" s="6">
        <v>25518</v>
      </c>
      <c r="J52">
        <v>133</v>
      </c>
      <c r="K52">
        <v>147</v>
      </c>
      <c r="L52" s="6">
        <v>26282</v>
      </c>
      <c r="M52" s="6">
        <v>25900</v>
      </c>
      <c r="N52">
        <v>382</v>
      </c>
    </row>
    <row r="53" spans="1:14" x14ac:dyDescent="0.25">
      <c r="A53">
        <v>2027</v>
      </c>
      <c r="B53" s="1" t="s">
        <v>13</v>
      </c>
      <c r="C53" s="1" t="s">
        <v>41</v>
      </c>
      <c r="D53" s="1" t="s">
        <v>440</v>
      </c>
      <c r="E53" t="s">
        <v>115</v>
      </c>
      <c r="F53">
        <v>601</v>
      </c>
      <c r="G53">
        <v>155</v>
      </c>
      <c r="H53">
        <v>756</v>
      </c>
      <c r="I53" s="6">
        <v>33583</v>
      </c>
      <c r="J53" s="6">
        <v>1391</v>
      </c>
      <c r="K53" s="6">
        <v>1530</v>
      </c>
      <c r="L53" s="6">
        <v>37260</v>
      </c>
      <c r="M53" s="6">
        <v>34184</v>
      </c>
      <c r="N53" s="6">
        <v>3076</v>
      </c>
    </row>
    <row r="54" spans="1:14" x14ac:dyDescent="0.25">
      <c r="A54">
        <v>2027</v>
      </c>
      <c r="B54" s="1" t="s">
        <v>11</v>
      </c>
      <c r="C54" s="1" t="s">
        <v>39</v>
      </c>
      <c r="D54" s="1" t="s">
        <v>441</v>
      </c>
      <c r="E54" t="s">
        <v>116</v>
      </c>
      <c r="F54">
        <v>413</v>
      </c>
      <c r="G54">
        <v>120</v>
      </c>
      <c r="H54">
        <v>533</v>
      </c>
      <c r="I54" s="6">
        <v>28707</v>
      </c>
      <c r="J54" s="6">
        <v>9852</v>
      </c>
      <c r="K54" s="6">
        <v>11026</v>
      </c>
      <c r="L54" s="6">
        <v>50118</v>
      </c>
      <c r="M54" s="6">
        <v>29120</v>
      </c>
      <c r="N54" s="6">
        <v>20998</v>
      </c>
    </row>
    <row r="55" spans="1:14" x14ac:dyDescent="0.25">
      <c r="A55">
        <v>2027</v>
      </c>
      <c r="B55" s="63" t="s">
        <v>7</v>
      </c>
      <c r="C55" s="1" t="s">
        <v>35</v>
      </c>
      <c r="D55" s="1" t="s">
        <v>442</v>
      </c>
      <c r="E55" t="s">
        <v>117</v>
      </c>
      <c r="F55">
        <v>281</v>
      </c>
      <c r="G55">
        <v>78</v>
      </c>
      <c r="H55">
        <v>359</v>
      </c>
      <c r="I55" s="6">
        <v>37939</v>
      </c>
      <c r="J55" s="6">
        <v>3130</v>
      </c>
      <c r="K55" s="6">
        <v>3488</v>
      </c>
      <c r="L55" s="6">
        <v>44916</v>
      </c>
      <c r="M55" s="6">
        <v>38220</v>
      </c>
      <c r="N55" s="6">
        <v>6696</v>
      </c>
    </row>
    <row r="56" spans="1:14" x14ac:dyDescent="0.25">
      <c r="A56">
        <v>2027</v>
      </c>
      <c r="B56" s="1" t="s">
        <v>13</v>
      </c>
      <c r="C56" s="1" t="s">
        <v>41</v>
      </c>
      <c r="D56" s="1" t="s">
        <v>443</v>
      </c>
      <c r="E56" t="s">
        <v>118</v>
      </c>
      <c r="F56">
        <v>927</v>
      </c>
      <c r="G56">
        <v>239</v>
      </c>
      <c r="H56" s="6">
        <v>1166</v>
      </c>
      <c r="I56" s="6">
        <v>51806</v>
      </c>
      <c r="J56">
        <v>530</v>
      </c>
      <c r="K56">
        <v>583</v>
      </c>
      <c r="L56" s="6">
        <v>54085</v>
      </c>
      <c r="M56" s="6">
        <v>52733</v>
      </c>
      <c r="N56" s="6">
        <v>1352</v>
      </c>
    </row>
    <row r="57" spans="1:14" x14ac:dyDescent="0.25">
      <c r="A57">
        <v>2027</v>
      </c>
      <c r="B57" s="63" t="s">
        <v>7</v>
      </c>
      <c r="C57" s="1" t="s">
        <v>35</v>
      </c>
      <c r="D57" s="1" t="s">
        <v>444</v>
      </c>
      <c r="E57" t="s">
        <v>119</v>
      </c>
      <c r="F57">
        <v>559</v>
      </c>
      <c r="G57">
        <v>156</v>
      </c>
      <c r="H57">
        <v>715</v>
      </c>
      <c r="I57" s="6">
        <v>74324</v>
      </c>
      <c r="J57" s="6">
        <v>14783</v>
      </c>
      <c r="K57" s="6">
        <v>16477</v>
      </c>
      <c r="L57" s="6">
        <v>106299</v>
      </c>
      <c r="M57" s="6">
        <v>74883</v>
      </c>
      <c r="N57" s="6">
        <v>31416</v>
      </c>
    </row>
    <row r="58" spans="1:14" x14ac:dyDescent="0.25">
      <c r="A58">
        <v>2027</v>
      </c>
      <c r="B58" s="1" t="s">
        <v>11</v>
      </c>
      <c r="C58" s="1" t="s">
        <v>39</v>
      </c>
      <c r="D58" s="1" t="s">
        <v>445</v>
      </c>
      <c r="E58" t="s">
        <v>120</v>
      </c>
      <c r="F58">
        <v>169</v>
      </c>
      <c r="G58">
        <v>49</v>
      </c>
      <c r="H58">
        <v>218</v>
      </c>
      <c r="I58" s="6">
        <v>12221</v>
      </c>
      <c r="J58">
        <v>466</v>
      </c>
      <c r="K58">
        <v>522</v>
      </c>
      <c r="L58" s="6">
        <v>13427</v>
      </c>
      <c r="M58" s="6">
        <v>12390</v>
      </c>
      <c r="N58" s="6">
        <v>1037</v>
      </c>
    </row>
    <row r="59" spans="1:14" x14ac:dyDescent="0.25">
      <c r="A59">
        <v>2027</v>
      </c>
      <c r="B59" s="1" t="s">
        <v>11</v>
      </c>
      <c r="C59" s="1" t="s">
        <v>39</v>
      </c>
      <c r="D59" s="1" t="s">
        <v>446</v>
      </c>
      <c r="E59" t="s">
        <v>121</v>
      </c>
      <c r="F59">
        <v>649</v>
      </c>
      <c r="G59">
        <v>189</v>
      </c>
      <c r="H59">
        <v>838</v>
      </c>
      <c r="I59" s="6">
        <v>45074</v>
      </c>
      <c r="J59">
        <v>399</v>
      </c>
      <c r="K59">
        <v>447</v>
      </c>
      <c r="L59" s="6">
        <v>46758</v>
      </c>
      <c r="M59" s="6">
        <v>45723</v>
      </c>
      <c r="N59" s="6">
        <v>1035</v>
      </c>
    </row>
    <row r="60" spans="1:14" x14ac:dyDescent="0.25">
      <c r="A60">
        <v>2027</v>
      </c>
      <c r="B60" s="1" t="s">
        <v>12</v>
      </c>
      <c r="C60" s="1" t="s">
        <v>40</v>
      </c>
      <c r="D60" s="1" t="s">
        <v>447</v>
      </c>
      <c r="E60" t="s">
        <v>122</v>
      </c>
      <c r="F60">
        <v>590</v>
      </c>
      <c r="G60">
        <v>158</v>
      </c>
      <c r="H60">
        <v>748</v>
      </c>
      <c r="I60" s="6">
        <v>38573</v>
      </c>
      <c r="J60" s="6">
        <v>4309</v>
      </c>
      <c r="K60" s="6">
        <v>4765</v>
      </c>
      <c r="L60" s="6">
        <v>48395</v>
      </c>
      <c r="M60" s="6">
        <v>39163</v>
      </c>
      <c r="N60" s="6">
        <v>9232</v>
      </c>
    </row>
    <row r="61" spans="1:14" x14ac:dyDescent="0.25">
      <c r="A61">
        <v>2027</v>
      </c>
      <c r="B61" s="63" t="s">
        <v>6</v>
      </c>
      <c r="C61" s="1" t="s">
        <v>34</v>
      </c>
      <c r="D61" s="1" t="s">
        <v>448</v>
      </c>
      <c r="E61" t="s">
        <v>123</v>
      </c>
      <c r="F61">
        <v>0</v>
      </c>
      <c r="G61">
        <v>0</v>
      </c>
      <c r="H61">
        <v>0</v>
      </c>
      <c r="I61" s="6">
        <v>42835</v>
      </c>
      <c r="J61">
        <v>333</v>
      </c>
      <c r="K61">
        <v>373</v>
      </c>
      <c r="L61" s="6">
        <v>43541</v>
      </c>
      <c r="M61" s="6">
        <v>42835</v>
      </c>
      <c r="N61">
        <v>706</v>
      </c>
    </row>
    <row r="62" spans="1:14" x14ac:dyDescent="0.25">
      <c r="A62">
        <v>2027</v>
      </c>
      <c r="B62" s="1" t="s">
        <v>12</v>
      </c>
      <c r="C62" s="1" t="s">
        <v>40</v>
      </c>
      <c r="D62" s="1" t="s">
        <v>449</v>
      </c>
      <c r="E62" t="s">
        <v>124</v>
      </c>
      <c r="F62">
        <v>939</v>
      </c>
      <c r="G62">
        <v>250</v>
      </c>
      <c r="H62" s="6">
        <v>1189</v>
      </c>
      <c r="I62" s="6">
        <v>59895</v>
      </c>
      <c r="J62" s="6">
        <v>2188</v>
      </c>
      <c r="K62" s="6">
        <v>2419</v>
      </c>
      <c r="L62" s="6">
        <v>65691</v>
      </c>
      <c r="M62" s="6">
        <v>60834</v>
      </c>
      <c r="N62" s="6">
        <v>4857</v>
      </c>
    </row>
    <row r="63" spans="1:14" x14ac:dyDescent="0.25">
      <c r="A63">
        <v>2027</v>
      </c>
      <c r="B63" s="63" t="s">
        <v>7</v>
      </c>
      <c r="C63" s="1" t="s">
        <v>35</v>
      </c>
      <c r="D63" s="1" t="s">
        <v>450</v>
      </c>
      <c r="E63" t="s">
        <v>125</v>
      </c>
      <c r="F63">
        <v>110</v>
      </c>
      <c r="G63">
        <v>30</v>
      </c>
      <c r="H63">
        <v>140</v>
      </c>
      <c r="I63" s="6">
        <v>14249</v>
      </c>
      <c r="J63">
        <v>200</v>
      </c>
      <c r="K63">
        <v>223</v>
      </c>
      <c r="L63" s="6">
        <v>14812</v>
      </c>
      <c r="M63" s="6">
        <v>14359</v>
      </c>
      <c r="N63">
        <v>453</v>
      </c>
    </row>
    <row r="64" spans="1:14" x14ac:dyDescent="0.25">
      <c r="A64">
        <v>2027</v>
      </c>
      <c r="B64" s="63" t="s">
        <v>6</v>
      </c>
      <c r="C64" s="1" t="s">
        <v>34</v>
      </c>
      <c r="D64" s="1" t="s">
        <v>451</v>
      </c>
      <c r="E64" t="s">
        <v>126</v>
      </c>
      <c r="F64">
        <v>0</v>
      </c>
      <c r="G64">
        <v>0</v>
      </c>
      <c r="H64">
        <v>0</v>
      </c>
      <c r="I64" s="6">
        <v>13067</v>
      </c>
      <c r="J64" s="6">
        <v>2866</v>
      </c>
      <c r="K64" s="6">
        <v>3208</v>
      </c>
      <c r="L64" s="6">
        <v>19141</v>
      </c>
      <c r="M64" s="6">
        <v>13067</v>
      </c>
      <c r="N64" s="6">
        <v>6074</v>
      </c>
    </row>
    <row r="65" spans="1:14" x14ac:dyDescent="0.25">
      <c r="A65">
        <v>2027</v>
      </c>
      <c r="B65" s="63" t="s">
        <v>5</v>
      </c>
      <c r="C65" s="1" t="s">
        <v>33</v>
      </c>
      <c r="D65" s="1" t="s">
        <v>452</v>
      </c>
      <c r="E65" t="s">
        <v>127</v>
      </c>
      <c r="F65">
        <v>511</v>
      </c>
      <c r="G65">
        <v>163</v>
      </c>
      <c r="H65">
        <v>674</v>
      </c>
      <c r="I65" s="6">
        <v>25867</v>
      </c>
      <c r="J65">
        <v>666</v>
      </c>
      <c r="K65">
        <v>741</v>
      </c>
      <c r="L65" s="6">
        <v>27948</v>
      </c>
      <c r="M65" s="6">
        <v>26378</v>
      </c>
      <c r="N65" s="6">
        <v>1570</v>
      </c>
    </row>
    <row r="66" spans="1:14" x14ac:dyDescent="0.25">
      <c r="A66">
        <v>2027</v>
      </c>
      <c r="B66" s="1" t="s">
        <v>9</v>
      </c>
      <c r="C66" s="1" t="s">
        <v>37</v>
      </c>
      <c r="D66" s="1" t="s">
        <v>453</v>
      </c>
      <c r="E66" t="s">
        <v>128</v>
      </c>
      <c r="F66" s="6">
        <v>1118</v>
      </c>
      <c r="G66">
        <v>295</v>
      </c>
      <c r="H66" s="6">
        <v>1413</v>
      </c>
      <c r="I66" s="6">
        <v>122587</v>
      </c>
      <c r="J66" s="6">
        <v>5766</v>
      </c>
      <c r="K66" s="6">
        <v>6342</v>
      </c>
      <c r="L66" s="6">
        <v>136108</v>
      </c>
      <c r="M66" s="6">
        <v>123705</v>
      </c>
      <c r="N66" s="6">
        <v>12403</v>
      </c>
    </row>
    <row r="67" spans="1:14" x14ac:dyDescent="0.25">
      <c r="A67">
        <v>2027</v>
      </c>
      <c r="B67" s="63" t="s">
        <v>7</v>
      </c>
      <c r="C67" s="1" t="s">
        <v>35</v>
      </c>
      <c r="D67" s="1" t="s">
        <v>454</v>
      </c>
      <c r="E67" t="s">
        <v>129</v>
      </c>
      <c r="F67">
        <v>419</v>
      </c>
      <c r="G67">
        <v>117</v>
      </c>
      <c r="H67">
        <v>536</v>
      </c>
      <c r="I67" s="6">
        <v>55897</v>
      </c>
      <c r="J67" s="6">
        <v>3130</v>
      </c>
      <c r="K67" s="6">
        <v>3488</v>
      </c>
      <c r="L67" s="6">
        <v>63051</v>
      </c>
      <c r="M67" s="6">
        <v>56316</v>
      </c>
      <c r="N67" s="6">
        <v>6735</v>
      </c>
    </row>
    <row r="68" spans="1:14" x14ac:dyDescent="0.25">
      <c r="A68">
        <v>2027</v>
      </c>
      <c r="B68" s="63" t="s">
        <v>8</v>
      </c>
      <c r="C68" s="1" t="s">
        <v>36</v>
      </c>
      <c r="D68" s="1" t="s">
        <v>455</v>
      </c>
      <c r="E68" t="s">
        <v>130</v>
      </c>
      <c r="F68" s="6">
        <v>2068</v>
      </c>
      <c r="G68">
        <v>560</v>
      </c>
      <c r="H68" s="6">
        <v>2628</v>
      </c>
      <c r="I68" s="6">
        <v>144255</v>
      </c>
      <c r="J68" s="6">
        <v>12096</v>
      </c>
      <c r="K68" s="6">
        <v>13231</v>
      </c>
      <c r="L68" s="6">
        <v>172210</v>
      </c>
      <c r="M68" s="6">
        <v>146323</v>
      </c>
      <c r="N68" s="6">
        <v>25887</v>
      </c>
    </row>
    <row r="69" spans="1:14" x14ac:dyDescent="0.25">
      <c r="A69">
        <v>2027</v>
      </c>
      <c r="B69" s="1" t="s">
        <v>10</v>
      </c>
      <c r="C69" s="1" t="s">
        <v>38</v>
      </c>
      <c r="D69" s="1" t="s">
        <v>456</v>
      </c>
      <c r="E69" t="s">
        <v>131</v>
      </c>
      <c r="F69">
        <v>115</v>
      </c>
      <c r="G69">
        <v>28</v>
      </c>
      <c r="H69">
        <v>143</v>
      </c>
      <c r="I69" s="6">
        <v>23116</v>
      </c>
      <c r="J69">
        <v>397</v>
      </c>
      <c r="K69">
        <v>436</v>
      </c>
      <c r="L69" s="6">
        <v>24092</v>
      </c>
      <c r="M69" s="6">
        <v>23231</v>
      </c>
      <c r="N69" s="6">
        <v>861</v>
      </c>
    </row>
    <row r="70" spans="1:14" x14ac:dyDescent="0.25">
      <c r="A70">
        <v>2027</v>
      </c>
      <c r="B70" s="1" t="s">
        <v>9</v>
      </c>
      <c r="C70" s="1" t="s">
        <v>37</v>
      </c>
      <c r="D70" s="1" t="s">
        <v>457</v>
      </c>
      <c r="E70" t="s">
        <v>132</v>
      </c>
      <c r="F70" s="6">
        <v>1734</v>
      </c>
      <c r="G70">
        <v>457</v>
      </c>
      <c r="H70" s="6">
        <v>2191</v>
      </c>
      <c r="I70" s="6">
        <v>190021</v>
      </c>
      <c r="J70" s="6">
        <v>12593</v>
      </c>
      <c r="K70" s="6">
        <v>13851</v>
      </c>
      <c r="L70" s="6">
        <v>218656</v>
      </c>
      <c r="M70" s="6">
        <v>191755</v>
      </c>
      <c r="N70" s="6">
        <v>26901</v>
      </c>
    </row>
    <row r="71" spans="1:14" x14ac:dyDescent="0.25">
      <c r="A71">
        <v>2027</v>
      </c>
      <c r="B71" s="1" t="s">
        <v>10</v>
      </c>
      <c r="C71" s="1" t="s">
        <v>38</v>
      </c>
      <c r="D71" s="1" t="s">
        <v>458</v>
      </c>
      <c r="E71" t="s">
        <v>133</v>
      </c>
      <c r="F71">
        <v>73</v>
      </c>
      <c r="G71">
        <v>17</v>
      </c>
      <c r="H71">
        <v>90</v>
      </c>
      <c r="I71" s="6">
        <v>14627</v>
      </c>
      <c r="J71">
        <v>331</v>
      </c>
      <c r="K71">
        <v>364</v>
      </c>
      <c r="L71" s="6">
        <v>15412</v>
      </c>
      <c r="M71" s="6">
        <v>14700</v>
      </c>
      <c r="N71">
        <v>712</v>
      </c>
    </row>
    <row r="72" spans="1:14" x14ac:dyDescent="0.25">
      <c r="A72">
        <v>2027</v>
      </c>
      <c r="B72" s="1" t="s">
        <v>10</v>
      </c>
      <c r="C72" s="1" t="s">
        <v>38</v>
      </c>
      <c r="D72" s="1" t="s">
        <v>459</v>
      </c>
      <c r="E72" t="s">
        <v>134</v>
      </c>
      <c r="F72">
        <v>76</v>
      </c>
      <c r="G72">
        <v>18</v>
      </c>
      <c r="H72">
        <v>94</v>
      </c>
      <c r="I72" s="6">
        <v>15146</v>
      </c>
      <c r="J72">
        <v>265</v>
      </c>
      <c r="K72">
        <v>291</v>
      </c>
      <c r="L72" s="6">
        <v>15796</v>
      </c>
      <c r="M72" s="6">
        <v>15222</v>
      </c>
      <c r="N72">
        <v>574</v>
      </c>
    </row>
    <row r="73" spans="1:14" x14ac:dyDescent="0.25">
      <c r="A73">
        <v>2027</v>
      </c>
      <c r="B73" s="63" t="s">
        <v>8</v>
      </c>
      <c r="C73" s="1" t="s">
        <v>36</v>
      </c>
      <c r="D73" s="1" t="s">
        <v>460</v>
      </c>
      <c r="E73" t="s">
        <v>135</v>
      </c>
      <c r="F73">
        <v>410</v>
      </c>
      <c r="G73">
        <v>111</v>
      </c>
      <c r="H73">
        <v>521</v>
      </c>
      <c r="I73" s="6">
        <v>28542</v>
      </c>
      <c r="J73">
        <v>463</v>
      </c>
      <c r="K73">
        <v>506</v>
      </c>
      <c r="L73" s="6">
        <v>30032</v>
      </c>
      <c r="M73" s="6">
        <v>28952</v>
      </c>
      <c r="N73" s="6">
        <v>1080</v>
      </c>
    </row>
    <row r="74" spans="1:14" x14ac:dyDescent="0.25">
      <c r="A74">
        <v>2027</v>
      </c>
      <c r="B74" s="1" t="s">
        <v>10</v>
      </c>
      <c r="C74" s="1" t="s">
        <v>38</v>
      </c>
      <c r="D74" s="1" t="s">
        <v>461</v>
      </c>
      <c r="E74" t="s">
        <v>136</v>
      </c>
      <c r="F74">
        <v>76</v>
      </c>
      <c r="G74">
        <v>18</v>
      </c>
      <c r="H74">
        <v>94</v>
      </c>
      <c r="I74" s="6">
        <v>15248</v>
      </c>
      <c r="J74">
        <v>198</v>
      </c>
      <c r="K74">
        <v>218</v>
      </c>
      <c r="L74" s="6">
        <v>15758</v>
      </c>
      <c r="M74" s="6">
        <v>15324</v>
      </c>
      <c r="N74">
        <v>434</v>
      </c>
    </row>
    <row r="75" spans="1:14" x14ac:dyDescent="0.25">
      <c r="A75">
        <v>2027</v>
      </c>
      <c r="B75" s="1" t="s">
        <v>12</v>
      </c>
      <c r="C75" s="1" t="s">
        <v>40</v>
      </c>
      <c r="D75" s="1" t="s">
        <v>462</v>
      </c>
      <c r="E75" t="s">
        <v>137</v>
      </c>
      <c r="F75">
        <v>259</v>
      </c>
      <c r="G75">
        <v>69</v>
      </c>
      <c r="H75">
        <v>328</v>
      </c>
      <c r="I75" s="6">
        <v>16481</v>
      </c>
      <c r="J75">
        <v>398</v>
      </c>
      <c r="K75">
        <v>440</v>
      </c>
      <c r="L75" s="6">
        <v>17647</v>
      </c>
      <c r="M75" s="6">
        <v>16740</v>
      </c>
      <c r="N75">
        <v>907</v>
      </c>
    </row>
    <row r="76" spans="1:14" x14ac:dyDescent="0.25">
      <c r="A76">
        <v>2027</v>
      </c>
      <c r="B76" s="1" t="s">
        <v>12</v>
      </c>
      <c r="C76" s="1" t="s">
        <v>40</v>
      </c>
      <c r="D76" s="1" t="s">
        <v>463</v>
      </c>
      <c r="E76" t="s">
        <v>138</v>
      </c>
      <c r="F76" s="6">
        <v>5938</v>
      </c>
      <c r="G76" s="6">
        <v>1586</v>
      </c>
      <c r="H76" s="6">
        <v>7524</v>
      </c>
      <c r="I76" s="6">
        <v>380077</v>
      </c>
      <c r="J76" s="6">
        <v>35399</v>
      </c>
      <c r="K76" s="6">
        <v>39142</v>
      </c>
      <c r="L76" s="6">
        <v>462142</v>
      </c>
      <c r="M76" s="6">
        <v>386015</v>
      </c>
      <c r="N76" s="6">
        <v>76127</v>
      </c>
    </row>
    <row r="77" spans="1:14" x14ac:dyDescent="0.25">
      <c r="A77">
        <v>2027</v>
      </c>
      <c r="B77" s="1" t="s">
        <v>12</v>
      </c>
      <c r="C77" s="1" t="s">
        <v>40</v>
      </c>
      <c r="D77" s="1" t="s">
        <v>464</v>
      </c>
      <c r="E77" t="s">
        <v>139</v>
      </c>
      <c r="F77">
        <v>832</v>
      </c>
      <c r="G77">
        <v>222</v>
      </c>
      <c r="H77" s="6">
        <v>1054</v>
      </c>
      <c r="I77" s="6">
        <v>54089</v>
      </c>
      <c r="J77" s="6">
        <v>10209</v>
      </c>
      <c r="K77" s="6">
        <v>11288</v>
      </c>
      <c r="L77" s="6">
        <v>76640</v>
      </c>
      <c r="M77" s="6">
        <v>54921</v>
      </c>
      <c r="N77" s="6">
        <v>21719</v>
      </c>
    </row>
    <row r="78" spans="1:14" x14ac:dyDescent="0.25">
      <c r="A78">
        <v>2027</v>
      </c>
      <c r="B78" s="1" t="s">
        <v>10</v>
      </c>
      <c r="C78" s="1" t="s">
        <v>38</v>
      </c>
      <c r="D78" s="1" t="s">
        <v>465</v>
      </c>
      <c r="E78" t="s">
        <v>140</v>
      </c>
      <c r="F78">
        <v>576</v>
      </c>
      <c r="G78">
        <v>137</v>
      </c>
      <c r="H78">
        <v>713</v>
      </c>
      <c r="I78" s="6">
        <v>114755</v>
      </c>
      <c r="J78" s="6">
        <v>10453</v>
      </c>
      <c r="K78" s="6">
        <v>11490</v>
      </c>
      <c r="L78" s="6">
        <v>137411</v>
      </c>
      <c r="M78" s="6">
        <v>115331</v>
      </c>
      <c r="N78" s="6">
        <v>22080</v>
      </c>
    </row>
    <row r="79" spans="1:14" x14ac:dyDescent="0.25">
      <c r="A79">
        <v>2027</v>
      </c>
      <c r="B79" s="1" t="s">
        <v>13</v>
      </c>
      <c r="C79" s="1" t="s">
        <v>41</v>
      </c>
      <c r="D79" s="1" t="s">
        <v>466</v>
      </c>
      <c r="E79" t="s">
        <v>141</v>
      </c>
      <c r="F79">
        <v>289</v>
      </c>
      <c r="G79">
        <v>75</v>
      </c>
      <c r="H79">
        <v>364</v>
      </c>
      <c r="I79" s="6">
        <v>16203</v>
      </c>
      <c r="J79" s="6">
        <v>1193</v>
      </c>
      <c r="K79" s="6">
        <v>1312</v>
      </c>
      <c r="L79" s="6">
        <v>19072</v>
      </c>
      <c r="M79" s="6">
        <v>16492</v>
      </c>
      <c r="N79" s="6">
        <v>2580</v>
      </c>
    </row>
    <row r="80" spans="1:14" x14ac:dyDescent="0.25">
      <c r="A80">
        <v>2027</v>
      </c>
      <c r="B80" s="63" t="s">
        <v>8</v>
      </c>
      <c r="C80" s="1" t="s">
        <v>36</v>
      </c>
      <c r="D80" s="1" t="s">
        <v>467</v>
      </c>
      <c r="E80" t="s">
        <v>142</v>
      </c>
      <c r="F80" s="6">
        <v>7612</v>
      </c>
      <c r="G80" s="6">
        <v>2061</v>
      </c>
      <c r="H80" s="6">
        <v>9673</v>
      </c>
      <c r="I80" s="6">
        <v>530204</v>
      </c>
      <c r="J80" s="6">
        <v>147337</v>
      </c>
      <c r="K80" s="6">
        <v>161157</v>
      </c>
      <c r="L80" s="6">
        <v>848371</v>
      </c>
      <c r="M80" s="6">
        <v>537816</v>
      </c>
      <c r="N80" s="6">
        <v>310555</v>
      </c>
    </row>
    <row r="81" spans="1:14" x14ac:dyDescent="0.25">
      <c r="A81">
        <v>2027</v>
      </c>
      <c r="B81" s="1" t="s">
        <v>13</v>
      </c>
      <c r="C81" s="1" t="s">
        <v>41</v>
      </c>
      <c r="D81" s="1" t="s">
        <v>468</v>
      </c>
      <c r="E81" t="s">
        <v>143</v>
      </c>
      <c r="F81">
        <v>764</v>
      </c>
      <c r="G81">
        <v>197</v>
      </c>
      <c r="H81">
        <v>961</v>
      </c>
      <c r="I81" s="6">
        <v>42997</v>
      </c>
      <c r="J81">
        <v>464</v>
      </c>
      <c r="K81">
        <v>510</v>
      </c>
      <c r="L81" s="6">
        <v>44932</v>
      </c>
      <c r="M81" s="6">
        <v>43761</v>
      </c>
      <c r="N81" s="6">
        <v>1171</v>
      </c>
    </row>
    <row r="82" spans="1:14" x14ac:dyDescent="0.25">
      <c r="A82">
        <v>2027</v>
      </c>
      <c r="B82" s="63" t="s">
        <v>5</v>
      </c>
      <c r="C82" s="1" t="s">
        <v>33</v>
      </c>
      <c r="D82" s="1" t="s">
        <v>469</v>
      </c>
      <c r="E82" t="s">
        <v>144</v>
      </c>
      <c r="F82" s="6">
        <v>1172</v>
      </c>
      <c r="G82">
        <v>372</v>
      </c>
      <c r="H82" s="6">
        <v>1544</v>
      </c>
      <c r="I82" s="6">
        <v>59005</v>
      </c>
      <c r="J82" s="6">
        <v>12247</v>
      </c>
      <c r="K82" s="6">
        <v>13640</v>
      </c>
      <c r="L82" s="6">
        <v>86436</v>
      </c>
      <c r="M82" s="6">
        <v>60177</v>
      </c>
      <c r="N82" s="6">
        <v>26259</v>
      </c>
    </row>
    <row r="83" spans="1:14" x14ac:dyDescent="0.25">
      <c r="A83">
        <v>2027</v>
      </c>
      <c r="B83" s="63" t="s">
        <v>8</v>
      </c>
      <c r="C83" s="1" t="s">
        <v>36</v>
      </c>
      <c r="D83" s="1" t="s">
        <v>470</v>
      </c>
      <c r="E83" t="s">
        <v>145</v>
      </c>
      <c r="F83">
        <v>98</v>
      </c>
      <c r="G83">
        <v>27</v>
      </c>
      <c r="H83">
        <v>125</v>
      </c>
      <c r="I83" s="6">
        <v>6772</v>
      </c>
      <c r="J83">
        <v>0</v>
      </c>
      <c r="K83">
        <v>0</v>
      </c>
      <c r="L83" s="6">
        <v>6897</v>
      </c>
      <c r="M83" s="6">
        <v>6870</v>
      </c>
      <c r="N83">
        <v>27</v>
      </c>
    </row>
    <row r="84" spans="1:14" x14ac:dyDescent="0.25">
      <c r="A84">
        <v>2027</v>
      </c>
      <c r="B84" s="1" t="s">
        <v>11</v>
      </c>
      <c r="C84" s="1" t="s">
        <v>39</v>
      </c>
      <c r="D84" s="1" t="s">
        <v>471</v>
      </c>
      <c r="E84" t="s">
        <v>146</v>
      </c>
      <c r="F84" s="6">
        <v>1186</v>
      </c>
      <c r="G84">
        <v>345</v>
      </c>
      <c r="H84" s="6">
        <v>1531</v>
      </c>
      <c r="I84" s="6">
        <v>82609</v>
      </c>
      <c r="J84" s="6">
        <v>9719</v>
      </c>
      <c r="K84" s="6">
        <v>10877</v>
      </c>
      <c r="L84" s="6">
        <v>104736</v>
      </c>
      <c r="M84" s="6">
        <v>83795</v>
      </c>
      <c r="N84" s="6">
        <v>20941</v>
      </c>
    </row>
    <row r="85" spans="1:14" x14ac:dyDescent="0.25">
      <c r="A85">
        <v>2027</v>
      </c>
      <c r="B85" s="63" t="s">
        <v>7</v>
      </c>
      <c r="C85" s="1" t="s">
        <v>35</v>
      </c>
      <c r="D85" s="1" t="s">
        <v>472</v>
      </c>
      <c r="E85" t="s">
        <v>147</v>
      </c>
      <c r="F85">
        <v>323</v>
      </c>
      <c r="G85">
        <v>90</v>
      </c>
      <c r="H85">
        <v>413</v>
      </c>
      <c r="I85" s="6">
        <v>41214</v>
      </c>
      <c r="J85">
        <v>466</v>
      </c>
      <c r="K85" s="6">
        <v>520</v>
      </c>
      <c r="L85" s="6">
        <v>42613</v>
      </c>
      <c r="M85" s="6">
        <v>41537</v>
      </c>
      <c r="N85" s="6">
        <v>1076</v>
      </c>
    </row>
    <row r="86" spans="1:14" x14ac:dyDescent="0.25">
      <c r="A86">
        <v>2027</v>
      </c>
      <c r="B86" s="1" t="s">
        <v>10</v>
      </c>
      <c r="C86" s="1" t="s">
        <v>38</v>
      </c>
      <c r="D86" s="1" t="s">
        <v>473</v>
      </c>
      <c r="E86" t="s">
        <v>148</v>
      </c>
      <c r="F86" s="6">
        <v>5387</v>
      </c>
      <c r="G86" s="6">
        <v>1285</v>
      </c>
      <c r="H86" s="6">
        <v>6672</v>
      </c>
      <c r="I86" s="6">
        <v>1074025</v>
      </c>
      <c r="J86" s="6">
        <v>245851</v>
      </c>
      <c r="K86" s="6">
        <v>270228</v>
      </c>
      <c r="L86" s="6">
        <v>1596776</v>
      </c>
      <c r="M86" s="6">
        <v>1079412</v>
      </c>
      <c r="N86" s="6">
        <v>517364</v>
      </c>
    </row>
    <row r="87" spans="1:14" x14ac:dyDescent="0.25">
      <c r="A87">
        <v>2027</v>
      </c>
      <c r="B87" s="1" t="s">
        <v>12</v>
      </c>
      <c r="C87" s="1" t="s">
        <v>40</v>
      </c>
      <c r="D87" s="1" t="s">
        <v>474</v>
      </c>
      <c r="E87" t="s">
        <v>149</v>
      </c>
      <c r="F87">
        <v>65</v>
      </c>
      <c r="G87">
        <v>17</v>
      </c>
      <c r="H87">
        <v>82</v>
      </c>
      <c r="I87" s="6">
        <v>4163</v>
      </c>
      <c r="J87">
        <v>0</v>
      </c>
      <c r="K87">
        <v>0</v>
      </c>
      <c r="L87" s="6">
        <v>4245</v>
      </c>
      <c r="M87" s="6">
        <v>4228</v>
      </c>
      <c r="N87">
        <v>17</v>
      </c>
    </row>
    <row r="88" spans="1:14" x14ac:dyDescent="0.25">
      <c r="A88">
        <v>2027</v>
      </c>
      <c r="B88" s="63" t="s">
        <v>7</v>
      </c>
      <c r="C88" s="1" t="s">
        <v>35</v>
      </c>
      <c r="D88" s="1" t="s">
        <v>475</v>
      </c>
      <c r="E88" t="s">
        <v>150</v>
      </c>
      <c r="F88">
        <v>323</v>
      </c>
      <c r="G88">
        <v>90</v>
      </c>
      <c r="H88">
        <v>413</v>
      </c>
      <c r="I88" s="6">
        <v>41848</v>
      </c>
      <c r="J88" s="6">
        <v>1065</v>
      </c>
      <c r="K88" s="6">
        <v>1188</v>
      </c>
      <c r="L88" s="6">
        <v>44514</v>
      </c>
      <c r="M88" s="6">
        <v>42171</v>
      </c>
      <c r="N88" s="6">
        <v>2343</v>
      </c>
    </row>
    <row r="89" spans="1:14" x14ac:dyDescent="0.25">
      <c r="A89">
        <v>2027</v>
      </c>
      <c r="B89" s="63" t="s">
        <v>5</v>
      </c>
      <c r="C89" s="1" t="s">
        <v>33</v>
      </c>
      <c r="D89" s="1" t="s">
        <v>476</v>
      </c>
      <c r="E89" t="s">
        <v>151</v>
      </c>
      <c r="F89" s="6">
        <v>8405</v>
      </c>
      <c r="G89" s="6">
        <v>2671</v>
      </c>
      <c r="H89" s="6">
        <v>11076</v>
      </c>
      <c r="I89" s="6">
        <v>423550</v>
      </c>
      <c r="J89" s="6">
        <v>132122</v>
      </c>
      <c r="K89" s="6">
        <v>147148</v>
      </c>
      <c r="L89" s="6">
        <v>713896</v>
      </c>
      <c r="M89" s="6">
        <v>431955</v>
      </c>
      <c r="N89" s="6">
        <v>281941</v>
      </c>
    </row>
    <row r="90" spans="1:14" x14ac:dyDescent="0.25">
      <c r="A90">
        <v>2027</v>
      </c>
      <c r="B90" s="63" t="s">
        <v>7</v>
      </c>
      <c r="C90" s="1" t="s">
        <v>35</v>
      </c>
      <c r="D90" s="1" t="s">
        <v>477</v>
      </c>
      <c r="E90" t="s">
        <v>152</v>
      </c>
      <c r="F90">
        <v>129</v>
      </c>
      <c r="G90">
        <v>36</v>
      </c>
      <c r="H90">
        <v>165</v>
      </c>
      <c r="I90" s="6">
        <v>17296</v>
      </c>
      <c r="J90" s="6">
        <v>1265</v>
      </c>
      <c r="K90" s="6">
        <v>1410</v>
      </c>
      <c r="L90" s="6">
        <v>20136</v>
      </c>
      <c r="M90" s="6">
        <v>17425</v>
      </c>
      <c r="N90" s="6">
        <v>2711</v>
      </c>
    </row>
    <row r="91" spans="1:14" x14ac:dyDescent="0.25">
      <c r="A91">
        <v>2027</v>
      </c>
      <c r="B91" s="63" t="s">
        <v>8</v>
      </c>
      <c r="C91" s="1" t="s">
        <v>36</v>
      </c>
      <c r="D91" s="1" t="s">
        <v>478</v>
      </c>
      <c r="E91" t="s">
        <v>153</v>
      </c>
      <c r="F91">
        <v>236</v>
      </c>
      <c r="G91">
        <v>64</v>
      </c>
      <c r="H91">
        <v>300</v>
      </c>
      <c r="I91" s="6">
        <v>17065</v>
      </c>
      <c r="J91">
        <v>463</v>
      </c>
      <c r="K91">
        <v>506</v>
      </c>
      <c r="L91" s="6">
        <v>18334</v>
      </c>
      <c r="M91" s="6">
        <v>17301</v>
      </c>
      <c r="N91" s="6">
        <v>1033</v>
      </c>
    </row>
    <row r="92" spans="1:14" x14ac:dyDescent="0.25">
      <c r="A92">
        <v>2027</v>
      </c>
      <c r="B92" s="63" t="s">
        <v>6</v>
      </c>
      <c r="C92" s="1" t="s">
        <v>34</v>
      </c>
      <c r="D92" s="1" t="s">
        <v>479</v>
      </c>
      <c r="E92" t="s">
        <v>154</v>
      </c>
      <c r="F92">
        <v>0</v>
      </c>
      <c r="G92">
        <v>0</v>
      </c>
      <c r="H92">
        <v>0</v>
      </c>
      <c r="I92" s="6">
        <v>41720</v>
      </c>
      <c r="J92">
        <v>666</v>
      </c>
      <c r="K92">
        <v>746</v>
      </c>
      <c r="L92" s="6">
        <v>43132</v>
      </c>
      <c r="M92" s="6">
        <v>41720</v>
      </c>
      <c r="N92" s="6">
        <v>1412</v>
      </c>
    </row>
    <row r="93" spans="1:14" x14ac:dyDescent="0.25">
      <c r="A93">
        <v>2027</v>
      </c>
      <c r="B93" s="1" t="s">
        <v>10</v>
      </c>
      <c r="C93" s="1" t="s">
        <v>38</v>
      </c>
      <c r="D93" s="1" t="s">
        <v>480</v>
      </c>
      <c r="E93" t="s">
        <v>155</v>
      </c>
      <c r="F93">
        <v>93</v>
      </c>
      <c r="G93">
        <v>22</v>
      </c>
      <c r="H93">
        <v>115</v>
      </c>
      <c r="I93" s="6">
        <v>18690</v>
      </c>
      <c r="J93">
        <v>662</v>
      </c>
      <c r="K93">
        <v>727</v>
      </c>
      <c r="L93" s="6">
        <v>20194</v>
      </c>
      <c r="M93" s="6">
        <v>18783</v>
      </c>
      <c r="N93" s="6">
        <v>1411</v>
      </c>
    </row>
    <row r="94" spans="1:14" x14ac:dyDescent="0.25">
      <c r="A94">
        <v>2027</v>
      </c>
      <c r="B94" s="63" t="s">
        <v>7</v>
      </c>
      <c r="C94" s="1" t="s">
        <v>35</v>
      </c>
      <c r="D94" s="1" t="s">
        <v>481</v>
      </c>
      <c r="E94" t="s">
        <v>156</v>
      </c>
      <c r="F94">
        <v>185</v>
      </c>
      <c r="G94">
        <v>52</v>
      </c>
      <c r="H94">
        <v>237</v>
      </c>
      <c r="I94" s="6">
        <v>24707</v>
      </c>
      <c r="J94">
        <v>732</v>
      </c>
      <c r="K94">
        <v>816</v>
      </c>
      <c r="L94" s="6">
        <v>26492</v>
      </c>
      <c r="M94" s="6">
        <v>24892</v>
      </c>
      <c r="N94" s="6">
        <v>1600</v>
      </c>
    </row>
    <row r="95" spans="1:14" x14ac:dyDescent="0.25">
      <c r="A95">
        <v>2027</v>
      </c>
      <c r="B95" s="63" t="s">
        <v>7</v>
      </c>
      <c r="C95" s="1" t="s">
        <v>35</v>
      </c>
      <c r="D95" s="1" t="s">
        <v>482</v>
      </c>
      <c r="E95" t="s">
        <v>157</v>
      </c>
      <c r="F95">
        <v>191</v>
      </c>
      <c r="G95">
        <v>53</v>
      </c>
      <c r="H95">
        <v>244</v>
      </c>
      <c r="I95" s="6">
        <v>24545</v>
      </c>
      <c r="J95" s="6">
        <v>1132</v>
      </c>
      <c r="K95" s="6">
        <v>1262</v>
      </c>
      <c r="L95" s="6">
        <v>27183</v>
      </c>
      <c r="M95" s="6">
        <v>24736</v>
      </c>
      <c r="N95" s="6">
        <v>2447</v>
      </c>
    </row>
    <row r="96" spans="1:14" x14ac:dyDescent="0.25">
      <c r="A96">
        <v>2027</v>
      </c>
      <c r="B96" s="1" t="s">
        <v>12</v>
      </c>
      <c r="C96" s="1" t="s">
        <v>40</v>
      </c>
      <c r="D96" s="1" t="s">
        <v>483</v>
      </c>
      <c r="E96" t="s">
        <v>158</v>
      </c>
      <c r="F96">
        <v>351</v>
      </c>
      <c r="G96">
        <v>94</v>
      </c>
      <c r="H96">
        <v>445</v>
      </c>
      <c r="I96" s="6">
        <v>22765</v>
      </c>
      <c r="J96">
        <v>331</v>
      </c>
      <c r="K96">
        <v>367</v>
      </c>
      <c r="L96" s="6">
        <v>23908</v>
      </c>
      <c r="M96" s="6">
        <v>23116</v>
      </c>
      <c r="N96">
        <v>792</v>
      </c>
    </row>
    <row r="97" spans="1:14" x14ac:dyDescent="0.25">
      <c r="A97">
        <v>2027</v>
      </c>
      <c r="B97" s="63" t="s">
        <v>6</v>
      </c>
      <c r="C97" s="1" t="s">
        <v>34</v>
      </c>
      <c r="D97" s="1" t="s">
        <v>484</v>
      </c>
      <c r="E97" t="s">
        <v>159</v>
      </c>
      <c r="F97">
        <v>0</v>
      </c>
      <c r="G97">
        <v>0</v>
      </c>
      <c r="H97">
        <v>0</v>
      </c>
      <c r="I97" s="6">
        <v>34300</v>
      </c>
      <c r="J97" s="6">
        <v>3599</v>
      </c>
      <c r="K97" s="6">
        <v>4028</v>
      </c>
      <c r="L97" s="6">
        <v>41927</v>
      </c>
      <c r="M97" s="6">
        <v>34300</v>
      </c>
      <c r="N97" s="6">
        <v>7627</v>
      </c>
    </row>
    <row r="98" spans="1:14" x14ac:dyDescent="0.25">
      <c r="A98">
        <v>2027</v>
      </c>
      <c r="B98" s="1" t="s">
        <v>12</v>
      </c>
      <c r="C98" s="1" t="s">
        <v>40</v>
      </c>
      <c r="D98" s="1" t="s">
        <v>485</v>
      </c>
      <c r="E98" t="s">
        <v>160</v>
      </c>
      <c r="F98">
        <v>295</v>
      </c>
      <c r="G98">
        <v>79</v>
      </c>
      <c r="H98">
        <v>374</v>
      </c>
      <c r="I98" s="6">
        <v>18840</v>
      </c>
      <c r="J98" s="6">
        <v>1061</v>
      </c>
      <c r="K98" s="6">
        <v>1173</v>
      </c>
      <c r="L98" s="6">
        <v>21448</v>
      </c>
      <c r="M98" s="6">
        <v>19135</v>
      </c>
      <c r="N98" s="6">
        <v>2313</v>
      </c>
    </row>
    <row r="99" spans="1:14" x14ac:dyDescent="0.25">
      <c r="A99">
        <v>2027</v>
      </c>
      <c r="B99" s="63" t="s">
        <v>5</v>
      </c>
      <c r="C99" s="1" t="s">
        <v>33</v>
      </c>
      <c r="D99" s="1" t="s">
        <v>486</v>
      </c>
      <c r="E99" t="s">
        <v>161</v>
      </c>
      <c r="F99">
        <v>250</v>
      </c>
      <c r="G99">
        <v>80</v>
      </c>
      <c r="H99">
        <v>330</v>
      </c>
      <c r="I99" s="6">
        <v>12599</v>
      </c>
      <c r="J99">
        <v>466</v>
      </c>
      <c r="K99">
        <v>519</v>
      </c>
      <c r="L99" s="6">
        <v>13914</v>
      </c>
      <c r="M99" s="6">
        <v>12849</v>
      </c>
      <c r="N99" s="6">
        <v>1065</v>
      </c>
    </row>
    <row r="100" spans="1:14" x14ac:dyDescent="0.25">
      <c r="A100">
        <v>2027</v>
      </c>
      <c r="B100" s="63" t="s">
        <v>8</v>
      </c>
      <c r="C100" s="1" t="s">
        <v>36</v>
      </c>
      <c r="D100" s="1" t="s">
        <v>487</v>
      </c>
      <c r="E100" t="s">
        <v>162</v>
      </c>
      <c r="F100">
        <v>278</v>
      </c>
      <c r="G100">
        <v>75</v>
      </c>
      <c r="H100">
        <v>353</v>
      </c>
      <c r="I100" s="6">
        <v>19529</v>
      </c>
      <c r="J100">
        <v>331</v>
      </c>
      <c r="K100">
        <v>362</v>
      </c>
      <c r="L100" s="6">
        <v>20575</v>
      </c>
      <c r="M100" s="6">
        <v>19807</v>
      </c>
      <c r="N100">
        <v>768</v>
      </c>
    </row>
    <row r="101" spans="1:14" x14ac:dyDescent="0.25">
      <c r="A101">
        <v>2027</v>
      </c>
      <c r="B101" s="1" t="s">
        <v>13</v>
      </c>
      <c r="C101" s="1" t="s">
        <v>41</v>
      </c>
      <c r="D101" s="63" t="s">
        <v>488</v>
      </c>
      <c r="E101" t="s">
        <v>163</v>
      </c>
      <c r="F101">
        <v>556</v>
      </c>
      <c r="G101">
        <v>144</v>
      </c>
      <c r="H101">
        <v>700</v>
      </c>
      <c r="I101" s="6">
        <v>31130</v>
      </c>
      <c r="J101" s="6">
        <v>1193</v>
      </c>
      <c r="K101" s="6">
        <v>1312</v>
      </c>
      <c r="L101" s="6">
        <v>34335</v>
      </c>
      <c r="M101" s="6">
        <v>31686</v>
      </c>
      <c r="N101" s="6">
        <v>2649</v>
      </c>
    </row>
    <row r="102" spans="1:14" x14ac:dyDescent="0.25">
      <c r="A102">
        <v>2027</v>
      </c>
      <c r="B102" s="63" t="s">
        <v>5</v>
      </c>
      <c r="C102" s="1" t="s">
        <v>33</v>
      </c>
      <c r="D102" s="1" t="s">
        <v>489</v>
      </c>
      <c r="E102" t="s">
        <v>164</v>
      </c>
      <c r="F102">
        <v>301</v>
      </c>
      <c r="G102">
        <v>95</v>
      </c>
      <c r="H102">
        <v>396</v>
      </c>
      <c r="I102" s="6">
        <v>15116</v>
      </c>
      <c r="J102" s="6">
        <v>1132</v>
      </c>
      <c r="K102" s="6">
        <v>1260</v>
      </c>
      <c r="L102" s="6">
        <v>17904</v>
      </c>
      <c r="M102" s="6">
        <v>15417</v>
      </c>
      <c r="N102" s="6">
        <v>2487</v>
      </c>
    </row>
    <row r="103" spans="1:14" x14ac:dyDescent="0.25">
      <c r="A103">
        <v>2027</v>
      </c>
      <c r="B103" s="63" t="s">
        <v>7</v>
      </c>
      <c r="C103" s="1" t="s">
        <v>35</v>
      </c>
      <c r="D103" s="1" t="s">
        <v>490</v>
      </c>
      <c r="E103" t="s">
        <v>165</v>
      </c>
      <c r="F103">
        <v>205</v>
      </c>
      <c r="G103">
        <v>57</v>
      </c>
      <c r="H103">
        <v>262</v>
      </c>
      <c r="I103" s="6">
        <v>26531</v>
      </c>
      <c r="J103">
        <v>866</v>
      </c>
      <c r="K103">
        <v>965</v>
      </c>
      <c r="L103" s="6">
        <v>28624</v>
      </c>
      <c r="M103" s="6">
        <v>26736</v>
      </c>
      <c r="N103" s="6">
        <v>1888</v>
      </c>
    </row>
    <row r="104" spans="1:14" x14ac:dyDescent="0.25">
      <c r="A104">
        <v>2027</v>
      </c>
      <c r="B104" s="63" t="s">
        <v>6</v>
      </c>
      <c r="C104" s="1" t="s">
        <v>34</v>
      </c>
      <c r="D104" s="1" t="s">
        <v>491</v>
      </c>
      <c r="E104" t="s">
        <v>166</v>
      </c>
      <c r="F104">
        <v>0</v>
      </c>
      <c r="G104">
        <v>0</v>
      </c>
      <c r="H104">
        <v>0</v>
      </c>
      <c r="I104" s="6">
        <v>26649</v>
      </c>
      <c r="J104" s="6">
        <v>5464</v>
      </c>
      <c r="K104" s="6">
        <v>6117</v>
      </c>
      <c r="L104" s="6">
        <v>38230</v>
      </c>
      <c r="M104" s="6">
        <v>26649</v>
      </c>
      <c r="N104" s="6">
        <v>11581</v>
      </c>
    </row>
    <row r="105" spans="1:14" x14ac:dyDescent="0.25">
      <c r="A105">
        <v>2027</v>
      </c>
      <c r="B105" s="1" t="s">
        <v>9</v>
      </c>
      <c r="C105" s="1" t="s">
        <v>37</v>
      </c>
      <c r="D105" s="1" t="s">
        <v>492</v>
      </c>
      <c r="E105" t="s">
        <v>167</v>
      </c>
      <c r="F105">
        <v>149</v>
      </c>
      <c r="G105">
        <v>39</v>
      </c>
      <c r="H105">
        <v>188</v>
      </c>
      <c r="I105" s="6">
        <v>16356</v>
      </c>
      <c r="J105">
        <v>464</v>
      </c>
      <c r="K105">
        <v>510</v>
      </c>
      <c r="L105" s="6">
        <v>17518</v>
      </c>
      <c r="M105" s="6">
        <v>16505</v>
      </c>
      <c r="N105" s="6">
        <v>1013</v>
      </c>
    </row>
    <row r="106" spans="1:14" x14ac:dyDescent="0.25">
      <c r="A106">
        <v>2027</v>
      </c>
      <c r="B106" s="1" t="s">
        <v>12</v>
      </c>
      <c r="C106" s="1" t="s">
        <v>40</v>
      </c>
      <c r="D106" s="1" t="s">
        <v>493</v>
      </c>
      <c r="E106" t="s">
        <v>168</v>
      </c>
      <c r="F106">
        <v>118</v>
      </c>
      <c r="G106">
        <v>32</v>
      </c>
      <c r="H106">
        <v>150</v>
      </c>
      <c r="I106" s="6">
        <v>7524</v>
      </c>
      <c r="J106">
        <v>133</v>
      </c>
      <c r="K106">
        <v>147</v>
      </c>
      <c r="L106" s="6">
        <v>7954</v>
      </c>
      <c r="M106" s="6">
        <v>7642</v>
      </c>
      <c r="N106">
        <v>312</v>
      </c>
    </row>
    <row r="107" spans="1:14" x14ac:dyDescent="0.25">
      <c r="A107">
        <v>2027</v>
      </c>
      <c r="B107" s="63" t="s">
        <v>6</v>
      </c>
      <c r="C107" s="1" t="s">
        <v>34</v>
      </c>
      <c r="D107" s="1" t="s">
        <v>494</v>
      </c>
      <c r="E107" t="s">
        <v>169</v>
      </c>
      <c r="F107">
        <v>0</v>
      </c>
      <c r="G107">
        <v>0</v>
      </c>
      <c r="H107">
        <v>0</v>
      </c>
      <c r="I107" s="6">
        <v>50205</v>
      </c>
      <c r="J107">
        <v>133</v>
      </c>
      <c r="K107">
        <v>149</v>
      </c>
      <c r="L107" s="6">
        <v>50487</v>
      </c>
      <c r="M107" s="6">
        <v>50205</v>
      </c>
      <c r="N107">
        <v>282</v>
      </c>
    </row>
    <row r="108" spans="1:14" x14ac:dyDescent="0.25">
      <c r="A108">
        <v>2027</v>
      </c>
      <c r="B108" s="1" t="s">
        <v>10</v>
      </c>
      <c r="C108" s="1" t="s">
        <v>38</v>
      </c>
      <c r="D108" s="1" t="s">
        <v>495</v>
      </c>
      <c r="E108" t="s">
        <v>170</v>
      </c>
      <c r="F108">
        <v>67</v>
      </c>
      <c r="G108">
        <v>17</v>
      </c>
      <c r="H108">
        <v>84</v>
      </c>
      <c r="I108" s="6">
        <v>14075</v>
      </c>
      <c r="J108">
        <v>0</v>
      </c>
      <c r="K108">
        <v>0</v>
      </c>
      <c r="L108" s="6">
        <v>14159</v>
      </c>
      <c r="M108" s="6">
        <v>14142</v>
      </c>
      <c r="N108">
        <v>17</v>
      </c>
    </row>
    <row r="109" spans="1:14" x14ac:dyDescent="0.25">
      <c r="A109">
        <v>2027</v>
      </c>
      <c r="B109" s="1" t="s">
        <v>13</v>
      </c>
      <c r="C109" s="1" t="s">
        <v>41</v>
      </c>
      <c r="D109" s="1" t="s">
        <v>496</v>
      </c>
      <c r="E109" t="s">
        <v>171</v>
      </c>
      <c r="F109" s="6">
        <v>1118</v>
      </c>
      <c r="G109">
        <v>289</v>
      </c>
      <c r="H109" s="6">
        <v>1407</v>
      </c>
      <c r="I109" s="6">
        <v>62599</v>
      </c>
      <c r="J109" s="6">
        <v>12656</v>
      </c>
      <c r="K109" s="6">
        <v>13918</v>
      </c>
      <c r="L109" s="6">
        <v>90580</v>
      </c>
      <c r="M109" s="6">
        <v>63717</v>
      </c>
      <c r="N109" s="6">
        <v>26863</v>
      </c>
    </row>
    <row r="110" spans="1:14" x14ac:dyDescent="0.25">
      <c r="A110">
        <v>2027</v>
      </c>
      <c r="B110" s="63" t="s">
        <v>7</v>
      </c>
      <c r="C110" s="1" t="s">
        <v>35</v>
      </c>
      <c r="D110" s="1" t="s">
        <v>497</v>
      </c>
      <c r="E110" t="s">
        <v>172</v>
      </c>
      <c r="F110">
        <v>422</v>
      </c>
      <c r="G110">
        <v>117</v>
      </c>
      <c r="H110">
        <v>539</v>
      </c>
      <c r="I110" s="6">
        <v>54068</v>
      </c>
      <c r="J110" s="6">
        <v>2131</v>
      </c>
      <c r="K110" s="6">
        <v>2375</v>
      </c>
      <c r="L110" s="6">
        <v>59113</v>
      </c>
      <c r="M110" s="6">
        <v>54490</v>
      </c>
      <c r="N110" s="6">
        <v>4623</v>
      </c>
    </row>
    <row r="111" spans="1:14" x14ac:dyDescent="0.25">
      <c r="A111">
        <v>2027</v>
      </c>
      <c r="B111" s="63" t="s">
        <v>6</v>
      </c>
      <c r="C111" s="1" t="s">
        <v>34</v>
      </c>
      <c r="D111" s="1" t="s">
        <v>498</v>
      </c>
      <c r="E111" t="s">
        <v>173</v>
      </c>
      <c r="F111">
        <v>0</v>
      </c>
      <c r="G111">
        <v>0</v>
      </c>
      <c r="H111">
        <v>0</v>
      </c>
      <c r="I111" s="6">
        <v>148411</v>
      </c>
      <c r="J111" s="6">
        <v>49180</v>
      </c>
      <c r="K111" s="6">
        <v>55055</v>
      </c>
      <c r="L111" s="6">
        <v>252646</v>
      </c>
      <c r="M111" s="6">
        <v>148411</v>
      </c>
      <c r="N111" s="6">
        <v>104235</v>
      </c>
    </row>
    <row r="112" spans="1:14" x14ac:dyDescent="0.25">
      <c r="A112">
        <v>2027</v>
      </c>
      <c r="B112" s="1" t="s">
        <v>13</v>
      </c>
      <c r="C112" s="1" t="s">
        <v>41</v>
      </c>
      <c r="D112" s="1" t="s">
        <v>499</v>
      </c>
      <c r="E112" t="s">
        <v>174</v>
      </c>
      <c r="F112" s="6">
        <v>1512</v>
      </c>
      <c r="G112">
        <v>390</v>
      </c>
      <c r="H112" s="6">
        <v>1902</v>
      </c>
      <c r="I112" s="6">
        <v>84530</v>
      </c>
      <c r="J112" s="6">
        <v>21601</v>
      </c>
      <c r="K112" s="6">
        <v>23756</v>
      </c>
      <c r="L112" s="6">
        <v>131789</v>
      </c>
      <c r="M112" s="6">
        <v>86042</v>
      </c>
      <c r="N112" s="6">
        <v>45747</v>
      </c>
    </row>
    <row r="113" spans="1:14" x14ac:dyDescent="0.25">
      <c r="A113">
        <v>2027</v>
      </c>
      <c r="B113" s="1" t="s">
        <v>12</v>
      </c>
      <c r="C113" s="1" t="s">
        <v>40</v>
      </c>
      <c r="D113" s="1" t="s">
        <v>500</v>
      </c>
      <c r="E113" t="s">
        <v>175</v>
      </c>
      <c r="F113">
        <v>284</v>
      </c>
      <c r="G113">
        <v>76</v>
      </c>
      <c r="H113">
        <v>360</v>
      </c>
      <c r="I113" s="6">
        <v>18183</v>
      </c>
      <c r="J113">
        <v>331</v>
      </c>
      <c r="K113">
        <v>367</v>
      </c>
      <c r="L113" s="6">
        <v>19241</v>
      </c>
      <c r="M113" s="6">
        <v>18467</v>
      </c>
      <c r="N113">
        <v>774</v>
      </c>
    </row>
    <row r="114" spans="1:14" x14ac:dyDescent="0.25">
      <c r="A114">
        <v>2027</v>
      </c>
      <c r="B114" s="1" t="s">
        <v>11</v>
      </c>
      <c r="C114" s="1" t="s">
        <v>39</v>
      </c>
      <c r="D114" s="1" t="s">
        <v>501</v>
      </c>
      <c r="E114" t="s">
        <v>176</v>
      </c>
      <c r="F114">
        <v>261</v>
      </c>
      <c r="G114">
        <v>76</v>
      </c>
      <c r="H114">
        <v>337</v>
      </c>
      <c r="I114" s="6">
        <v>18460</v>
      </c>
      <c r="J114">
        <v>133</v>
      </c>
      <c r="K114">
        <v>149</v>
      </c>
      <c r="L114" s="6">
        <v>19079</v>
      </c>
      <c r="M114" s="6">
        <v>18721</v>
      </c>
      <c r="N114">
        <v>358</v>
      </c>
    </row>
    <row r="115" spans="1:14" x14ac:dyDescent="0.25">
      <c r="A115">
        <v>2027</v>
      </c>
      <c r="B115" s="63" t="s">
        <v>7</v>
      </c>
      <c r="C115" s="1" t="s">
        <v>35</v>
      </c>
      <c r="D115" s="1" t="s">
        <v>502</v>
      </c>
      <c r="E115" t="s">
        <v>177</v>
      </c>
      <c r="F115">
        <v>312</v>
      </c>
      <c r="G115">
        <v>87</v>
      </c>
      <c r="H115">
        <v>399</v>
      </c>
      <c r="I115" s="6">
        <v>40010</v>
      </c>
      <c r="J115" s="6">
        <v>3796</v>
      </c>
      <c r="K115" s="6">
        <v>4231</v>
      </c>
      <c r="L115" s="6">
        <v>48436</v>
      </c>
      <c r="M115" s="6">
        <v>40322</v>
      </c>
      <c r="N115" s="6">
        <v>8114</v>
      </c>
    </row>
    <row r="116" spans="1:14" x14ac:dyDescent="0.25">
      <c r="A116">
        <v>2027</v>
      </c>
      <c r="B116" s="1" t="s">
        <v>11</v>
      </c>
      <c r="C116" s="1" t="s">
        <v>39</v>
      </c>
      <c r="D116" s="1" t="s">
        <v>503</v>
      </c>
      <c r="E116" t="s">
        <v>178</v>
      </c>
      <c r="F116">
        <v>247</v>
      </c>
      <c r="G116">
        <v>72</v>
      </c>
      <c r="H116">
        <v>319</v>
      </c>
      <c r="I116" s="6">
        <v>17263</v>
      </c>
      <c r="J116" s="6">
        <v>1065</v>
      </c>
      <c r="K116" s="6">
        <v>1192</v>
      </c>
      <c r="L116" s="6">
        <v>19839</v>
      </c>
      <c r="M116" s="6">
        <v>17510</v>
      </c>
      <c r="N116" s="6">
        <v>2329</v>
      </c>
    </row>
    <row r="117" spans="1:14" x14ac:dyDescent="0.25">
      <c r="A117">
        <v>2027</v>
      </c>
      <c r="B117" s="1" t="s">
        <v>10</v>
      </c>
      <c r="C117" s="1" t="s">
        <v>38</v>
      </c>
      <c r="D117" s="1" t="s">
        <v>504</v>
      </c>
      <c r="E117" t="s">
        <v>179</v>
      </c>
      <c r="F117">
        <v>259</v>
      </c>
      <c r="G117">
        <v>61</v>
      </c>
      <c r="H117">
        <v>320</v>
      </c>
      <c r="I117" s="6">
        <v>51329</v>
      </c>
      <c r="J117" s="6">
        <v>2580</v>
      </c>
      <c r="K117" s="6">
        <v>2836</v>
      </c>
      <c r="L117" s="6">
        <v>57065</v>
      </c>
      <c r="M117" s="6">
        <v>51588</v>
      </c>
      <c r="N117" s="6">
        <v>5477</v>
      </c>
    </row>
    <row r="118" spans="1:14" x14ac:dyDescent="0.25">
      <c r="A118">
        <v>2027</v>
      </c>
      <c r="B118" s="63" t="s">
        <v>6</v>
      </c>
      <c r="C118" s="1" t="s">
        <v>34</v>
      </c>
      <c r="D118" s="1" t="s">
        <v>505</v>
      </c>
      <c r="E118" t="s">
        <v>180</v>
      </c>
      <c r="F118">
        <v>0</v>
      </c>
      <c r="G118">
        <v>0</v>
      </c>
      <c r="H118">
        <v>0</v>
      </c>
      <c r="I118" s="6">
        <v>7395</v>
      </c>
      <c r="J118">
        <v>200</v>
      </c>
      <c r="K118">
        <v>224</v>
      </c>
      <c r="L118" s="6">
        <v>7819</v>
      </c>
      <c r="M118" s="6">
        <v>7395</v>
      </c>
      <c r="N118">
        <v>424</v>
      </c>
    </row>
    <row r="119" spans="1:14" x14ac:dyDescent="0.25">
      <c r="A119">
        <v>2027</v>
      </c>
      <c r="B119" s="63" t="s">
        <v>7</v>
      </c>
      <c r="C119" s="1" t="s">
        <v>35</v>
      </c>
      <c r="D119" s="1" t="s">
        <v>506</v>
      </c>
      <c r="E119" t="s">
        <v>181</v>
      </c>
      <c r="F119">
        <v>253</v>
      </c>
      <c r="G119">
        <v>70</v>
      </c>
      <c r="H119">
        <v>323</v>
      </c>
      <c r="I119" s="6">
        <v>32346</v>
      </c>
      <c r="J119">
        <v>333</v>
      </c>
      <c r="K119">
        <v>371</v>
      </c>
      <c r="L119" s="6">
        <v>33373</v>
      </c>
      <c r="M119" s="6">
        <v>32599</v>
      </c>
      <c r="N119">
        <v>774</v>
      </c>
    </row>
    <row r="120" spans="1:14" x14ac:dyDescent="0.25">
      <c r="A120">
        <v>2027</v>
      </c>
      <c r="B120" s="1" t="s">
        <v>12</v>
      </c>
      <c r="C120" s="1" t="s">
        <v>40</v>
      </c>
      <c r="D120" s="1" t="s">
        <v>507</v>
      </c>
      <c r="E120" t="s">
        <v>182</v>
      </c>
      <c r="F120" s="6">
        <v>1228</v>
      </c>
      <c r="G120">
        <v>328</v>
      </c>
      <c r="H120" s="6">
        <v>1556</v>
      </c>
      <c r="I120" s="6">
        <v>78273</v>
      </c>
      <c r="J120" s="6">
        <v>1922</v>
      </c>
      <c r="K120" s="6">
        <v>2126</v>
      </c>
      <c r="L120" s="6">
        <v>83877</v>
      </c>
      <c r="M120" s="6">
        <v>79501</v>
      </c>
      <c r="N120" s="6">
        <v>4376</v>
      </c>
    </row>
    <row r="121" spans="1:14" x14ac:dyDescent="0.25">
      <c r="A121">
        <v>2027</v>
      </c>
      <c r="B121" s="1" t="s">
        <v>10</v>
      </c>
      <c r="C121" s="1" t="s">
        <v>38</v>
      </c>
      <c r="D121" s="1" t="s">
        <v>508</v>
      </c>
      <c r="E121" t="s">
        <v>183</v>
      </c>
      <c r="F121">
        <v>51</v>
      </c>
      <c r="G121">
        <v>12</v>
      </c>
      <c r="H121">
        <v>63</v>
      </c>
      <c r="I121" s="6">
        <v>10209</v>
      </c>
      <c r="J121" s="6">
        <v>2117</v>
      </c>
      <c r="K121" s="6">
        <v>2327</v>
      </c>
      <c r="L121" s="6">
        <v>14716</v>
      </c>
      <c r="M121" s="6">
        <v>10260</v>
      </c>
      <c r="N121" s="6">
        <v>4456</v>
      </c>
    </row>
    <row r="122" spans="1:14" x14ac:dyDescent="0.25">
      <c r="A122">
        <v>2027</v>
      </c>
      <c r="B122" s="63" t="s">
        <v>7</v>
      </c>
      <c r="C122" s="1" t="s">
        <v>35</v>
      </c>
      <c r="D122" s="1" t="s">
        <v>509</v>
      </c>
      <c r="E122" t="s">
        <v>184</v>
      </c>
      <c r="F122">
        <v>90</v>
      </c>
      <c r="G122">
        <v>25</v>
      </c>
      <c r="H122">
        <v>115</v>
      </c>
      <c r="I122" s="6">
        <v>12369</v>
      </c>
      <c r="J122">
        <v>133</v>
      </c>
      <c r="K122">
        <v>148</v>
      </c>
      <c r="L122" s="6">
        <v>12765</v>
      </c>
      <c r="M122" s="6">
        <v>12459</v>
      </c>
      <c r="N122">
        <v>306</v>
      </c>
    </row>
    <row r="123" spans="1:14" x14ac:dyDescent="0.25">
      <c r="A123">
        <v>2027</v>
      </c>
      <c r="B123" s="63" t="s">
        <v>6</v>
      </c>
      <c r="C123" s="1" t="s">
        <v>34</v>
      </c>
      <c r="D123" s="1" t="s">
        <v>510</v>
      </c>
      <c r="E123" t="s">
        <v>185</v>
      </c>
      <c r="F123">
        <v>0</v>
      </c>
      <c r="G123">
        <v>0</v>
      </c>
      <c r="H123">
        <v>0</v>
      </c>
      <c r="I123" s="6">
        <v>16297</v>
      </c>
      <c r="J123">
        <v>533</v>
      </c>
      <c r="K123">
        <v>597</v>
      </c>
      <c r="L123" s="6">
        <v>17427</v>
      </c>
      <c r="M123" s="6">
        <v>16297</v>
      </c>
      <c r="N123" s="6">
        <v>1130</v>
      </c>
    </row>
    <row r="124" spans="1:14" x14ac:dyDescent="0.25">
      <c r="A124">
        <v>2027</v>
      </c>
      <c r="B124" s="63" t="s">
        <v>6</v>
      </c>
      <c r="C124" s="1" t="s">
        <v>34</v>
      </c>
      <c r="D124" s="1" t="s">
        <v>511</v>
      </c>
      <c r="E124" t="s">
        <v>186</v>
      </c>
      <c r="F124">
        <v>0</v>
      </c>
      <c r="G124">
        <v>0</v>
      </c>
      <c r="H124">
        <v>0</v>
      </c>
      <c r="I124" s="6">
        <v>51771</v>
      </c>
      <c r="J124">
        <v>533</v>
      </c>
      <c r="K124">
        <v>597</v>
      </c>
      <c r="L124" s="6">
        <v>52901</v>
      </c>
      <c r="M124" s="6">
        <v>51771</v>
      </c>
      <c r="N124" s="6">
        <v>1130</v>
      </c>
    </row>
    <row r="125" spans="1:14" x14ac:dyDescent="0.25">
      <c r="A125">
        <v>2027</v>
      </c>
      <c r="B125" s="63" t="s">
        <v>7</v>
      </c>
      <c r="C125" s="1" t="s">
        <v>35</v>
      </c>
      <c r="D125" s="1" t="s">
        <v>512</v>
      </c>
      <c r="E125" t="s">
        <v>187</v>
      </c>
      <c r="F125">
        <v>576</v>
      </c>
      <c r="G125">
        <v>161</v>
      </c>
      <c r="H125">
        <v>737</v>
      </c>
      <c r="I125" s="6">
        <v>74575</v>
      </c>
      <c r="J125" s="6">
        <v>5127</v>
      </c>
      <c r="K125" s="6">
        <v>5715</v>
      </c>
      <c r="L125" s="6">
        <v>86154</v>
      </c>
      <c r="M125" s="6">
        <v>75151</v>
      </c>
      <c r="N125" s="6">
        <v>11003</v>
      </c>
    </row>
    <row r="126" spans="1:14" x14ac:dyDescent="0.25">
      <c r="A126">
        <v>2027</v>
      </c>
      <c r="B126" s="1" t="s">
        <v>12</v>
      </c>
      <c r="C126" s="1" t="s">
        <v>40</v>
      </c>
      <c r="D126" s="1" t="s">
        <v>513</v>
      </c>
      <c r="E126" t="s">
        <v>188</v>
      </c>
      <c r="F126">
        <v>289</v>
      </c>
      <c r="G126">
        <v>78</v>
      </c>
      <c r="H126">
        <v>367</v>
      </c>
      <c r="I126" s="6">
        <v>18942</v>
      </c>
      <c r="J126">
        <v>0</v>
      </c>
      <c r="K126">
        <v>0</v>
      </c>
      <c r="L126" s="6">
        <v>19309</v>
      </c>
      <c r="M126" s="6">
        <v>19231</v>
      </c>
      <c r="N126">
        <v>78</v>
      </c>
    </row>
    <row r="127" spans="1:14" x14ac:dyDescent="0.25">
      <c r="A127">
        <v>2027</v>
      </c>
      <c r="B127" s="63" t="s">
        <v>7</v>
      </c>
      <c r="C127" s="1" t="s">
        <v>35</v>
      </c>
      <c r="D127" s="1" t="s">
        <v>514</v>
      </c>
      <c r="E127" t="s">
        <v>189</v>
      </c>
      <c r="F127">
        <v>253</v>
      </c>
      <c r="G127">
        <v>70</v>
      </c>
      <c r="H127">
        <v>323</v>
      </c>
      <c r="I127" s="6">
        <v>32856</v>
      </c>
      <c r="J127">
        <v>533</v>
      </c>
      <c r="K127">
        <v>594</v>
      </c>
      <c r="L127" s="6">
        <v>34306</v>
      </c>
      <c r="M127" s="6">
        <v>33109</v>
      </c>
      <c r="N127" s="6">
        <v>1197</v>
      </c>
    </row>
    <row r="128" spans="1:14" x14ac:dyDescent="0.25">
      <c r="A128">
        <v>2027</v>
      </c>
      <c r="B128" s="1" t="s">
        <v>10</v>
      </c>
      <c r="C128" s="1" t="s">
        <v>38</v>
      </c>
      <c r="D128" s="1" t="s">
        <v>515</v>
      </c>
      <c r="E128" t="s">
        <v>190</v>
      </c>
      <c r="F128">
        <v>67</v>
      </c>
      <c r="G128">
        <v>17</v>
      </c>
      <c r="H128">
        <v>84</v>
      </c>
      <c r="I128" s="6">
        <v>13207</v>
      </c>
      <c r="J128">
        <v>0</v>
      </c>
      <c r="K128">
        <v>0</v>
      </c>
      <c r="L128" s="6">
        <v>13291</v>
      </c>
      <c r="M128" s="6">
        <v>13274</v>
      </c>
      <c r="N128">
        <v>17</v>
      </c>
    </row>
    <row r="129" spans="1:14" x14ac:dyDescent="0.25">
      <c r="A129">
        <v>2027</v>
      </c>
      <c r="B129" s="1" t="s">
        <v>12</v>
      </c>
      <c r="C129" s="1" t="s">
        <v>40</v>
      </c>
      <c r="D129" s="1" t="s">
        <v>516</v>
      </c>
      <c r="E129" t="s">
        <v>191</v>
      </c>
      <c r="F129">
        <v>143</v>
      </c>
      <c r="G129">
        <v>39</v>
      </c>
      <c r="H129">
        <v>182</v>
      </c>
      <c r="I129" s="6">
        <v>9145</v>
      </c>
      <c r="J129">
        <v>0</v>
      </c>
      <c r="K129">
        <v>0</v>
      </c>
      <c r="L129" s="6">
        <v>9327</v>
      </c>
      <c r="M129" s="6">
        <v>9288</v>
      </c>
      <c r="N129">
        <v>39</v>
      </c>
    </row>
    <row r="130" spans="1:14" x14ac:dyDescent="0.25">
      <c r="A130">
        <v>2027</v>
      </c>
      <c r="B130" s="63" t="s">
        <v>7</v>
      </c>
      <c r="C130" s="1" t="s">
        <v>35</v>
      </c>
      <c r="D130" s="1" t="s">
        <v>517</v>
      </c>
      <c r="E130" t="s">
        <v>192</v>
      </c>
      <c r="F130">
        <v>410</v>
      </c>
      <c r="G130">
        <v>115</v>
      </c>
      <c r="H130">
        <v>525</v>
      </c>
      <c r="I130" s="6">
        <v>54440</v>
      </c>
      <c r="J130" s="6">
        <v>1465</v>
      </c>
      <c r="K130" s="6">
        <v>1633</v>
      </c>
      <c r="L130" s="6">
        <v>58063</v>
      </c>
      <c r="M130" s="6">
        <v>54850</v>
      </c>
      <c r="N130" s="6">
        <v>3213</v>
      </c>
    </row>
    <row r="131" spans="1:14" x14ac:dyDescent="0.25">
      <c r="A131">
        <v>2027</v>
      </c>
      <c r="B131" s="1" t="s">
        <v>12</v>
      </c>
      <c r="C131" s="1" t="s">
        <v>40</v>
      </c>
      <c r="D131" s="1" t="s">
        <v>518</v>
      </c>
      <c r="E131" t="s">
        <v>193</v>
      </c>
      <c r="F131">
        <v>837</v>
      </c>
      <c r="G131">
        <v>224</v>
      </c>
      <c r="H131" s="6">
        <v>1061</v>
      </c>
      <c r="I131" s="6">
        <v>54558</v>
      </c>
      <c r="J131" s="6">
        <v>5767</v>
      </c>
      <c r="K131" s="6">
        <v>6377</v>
      </c>
      <c r="L131" s="6">
        <v>67763</v>
      </c>
      <c r="M131" s="6">
        <v>55395</v>
      </c>
      <c r="N131" s="6">
        <v>12368</v>
      </c>
    </row>
    <row r="132" spans="1:14" x14ac:dyDescent="0.25">
      <c r="A132">
        <v>2027</v>
      </c>
      <c r="B132" s="63" t="s">
        <v>6</v>
      </c>
      <c r="C132" s="1" t="s">
        <v>34</v>
      </c>
      <c r="D132" s="1" t="s">
        <v>519</v>
      </c>
      <c r="E132" t="s">
        <v>194</v>
      </c>
      <c r="F132">
        <v>0</v>
      </c>
      <c r="G132">
        <v>0</v>
      </c>
      <c r="H132">
        <v>0</v>
      </c>
      <c r="I132" s="6">
        <v>12492</v>
      </c>
      <c r="J132">
        <v>0</v>
      </c>
      <c r="K132">
        <v>0</v>
      </c>
      <c r="L132" s="6">
        <v>12492</v>
      </c>
      <c r="M132" s="6">
        <v>12492</v>
      </c>
      <c r="N132">
        <v>0</v>
      </c>
    </row>
    <row r="133" spans="1:14" x14ac:dyDescent="0.25">
      <c r="A133">
        <v>2027</v>
      </c>
      <c r="B133" s="1" t="s">
        <v>11</v>
      </c>
      <c r="C133" s="1" t="s">
        <v>39</v>
      </c>
      <c r="D133" s="1" t="s">
        <v>520</v>
      </c>
      <c r="E133" t="s">
        <v>195</v>
      </c>
      <c r="F133">
        <v>377</v>
      </c>
      <c r="G133">
        <v>109</v>
      </c>
      <c r="H133">
        <v>486</v>
      </c>
      <c r="I133" s="6">
        <v>26803</v>
      </c>
      <c r="J133" s="6">
        <v>9386</v>
      </c>
      <c r="K133" s="6">
        <v>10505</v>
      </c>
      <c r="L133" s="6">
        <v>47180</v>
      </c>
      <c r="M133" s="6">
        <v>27180</v>
      </c>
      <c r="N133" s="6">
        <v>20000</v>
      </c>
    </row>
    <row r="134" spans="1:14" x14ac:dyDescent="0.25">
      <c r="A134">
        <v>2027</v>
      </c>
      <c r="B134" s="1" t="s">
        <v>9</v>
      </c>
      <c r="C134" s="1" t="s">
        <v>37</v>
      </c>
      <c r="D134" s="1" t="s">
        <v>521</v>
      </c>
      <c r="E134" t="s">
        <v>196</v>
      </c>
      <c r="F134">
        <v>194</v>
      </c>
      <c r="G134">
        <v>51</v>
      </c>
      <c r="H134">
        <v>245</v>
      </c>
      <c r="I134" s="6">
        <v>21338</v>
      </c>
      <c r="J134" s="6">
        <v>1524</v>
      </c>
      <c r="K134" s="6">
        <v>1677</v>
      </c>
      <c r="L134" s="6">
        <v>24784</v>
      </c>
      <c r="M134" s="6">
        <v>21532</v>
      </c>
      <c r="N134" s="6">
        <v>3252</v>
      </c>
    </row>
    <row r="135" spans="1:14" x14ac:dyDescent="0.25">
      <c r="A135">
        <v>2027</v>
      </c>
      <c r="B135" s="1" t="s">
        <v>11</v>
      </c>
      <c r="C135" s="1" t="s">
        <v>39</v>
      </c>
      <c r="D135" s="1" t="s">
        <v>522</v>
      </c>
      <c r="E135" t="s">
        <v>197</v>
      </c>
      <c r="F135">
        <v>320</v>
      </c>
      <c r="G135">
        <v>93</v>
      </c>
      <c r="H135">
        <v>413</v>
      </c>
      <c r="I135" s="6">
        <v>22444</v>
      </c>
      <c r="J135" s="6">
        <v>1265</v>
      </c>
      <c r="K135" s="6">
        <v>1416</v>
      </c>
      <c r="L135" s="6">
        <v>25538</v>
      </c>
      <c r="M135" s="6">
        <v>22764</v>
      </c>
      <c r="N135" s="6">
        <v>2774</v>
      </c>
    </row>
    <row r="136" spans="1:14" x14ac:dyDescent="0.25">
      <c r="A136">
        <v>2027</v>
      </c>
      <c r="B136" s="1" t="s">
        <v>9</v>
      </c>
      <c r="C136" s="1" t="s">
        <v>37</v>
      </c>
      <c r="D136" s="1" t="s">
        <v>523</v>
      </c>
      <c r="E136" t="s">
        <v>198</v>
      </c>
      <c r="F136">
        <v>104</v>
      </c>
      <c r="G136">
        <v>27</v>
      </c>
      <c r="H136">
        <v>131</v>
      </c>
      <c r="I136" s="6">
        <v>11237</v>
      </c>
      <c r="J136">
        <v>265</v>
      </c>
      <c r="K136">
        <v>292</v>
      </c>
      <c r="L136" s="6">
        <v>11925</v>
      </c>
      <c r="M136" s="6">
        <v>11341</v>
      </c>
      <c r="N136">
        <v>584</v>
      </c>
    </row>
    <row r="137" spans="1:14" x14ac:dyDescent="0.25">
      <c r="A137">
        <v>2027</v>
      </c>
      <c r="B137" s="63" t="s">
        <v>5</v>
      </c>
      <c r="C137" s="1" t="s">
        <v>33</v>
      </c>
      <c r="D137" s="1" t="s">
        <v>524</v>
      </c>
      <c r="E137" t="s">
        <v>199</v>
      </c>
      <c r="F137">
        <v>933</v>
      </c>
      <c r="G137">
        <v>296</v>
      </c>
      <c r="H137" s="6">
        <v>1229</v>
      </c>
      <c r="I137" s="6">
        <v>47142</v>
      </c>
      <c r="J137" s="6">
        <v>9585</v>
      </c>
      <c r="K137" s="6">
        <v>10675</v>
      </c>
      <c r="L137" s="6">
        <v>68631</v>
      </c>
      <c r="M137" s="6">
        <v>48075</v>
      </c>
      <c r="N137" s="6">
        <v>20556</v>
      </c>
    </row>
    <row r="138" spans="1:14" x14ac:dyDescent="0.25">
      <c r="A138">
        <v>2027</v>
      </c>
      <c r="B138" s="63" t="s">
        <v>7</v>
      </c>
      <c r="C138" s="1" t="s">
        <v>35</v>
      </c>
      <c r="D138" s="1" t="s">
        <v>525</v>
      </c>
      <c r="E138" t="s">
        <v>200</v>
      </c>
      <c r="F138">
        <v>146</v>
      </c>
      <c r="G138">
        <v>41</v>
      </c>
      <c r="H138">
        <v>187</v>
      </c>
      <c r="I138" s="6">
        <v>19524</v>
      </c>
      <c r="J138">
        <v>67</v>
      </c>
      <c r="K138">
        <v>74</v>
      </c>
      <c r="L138" s="6">
        <v>19852</v>
      </c>
      <c r="M138" s="6">
        <v>19670</v>
      </c>
      <c r="N138">
        <v>182</v>
      </c>
    </row>
    <row r="139" spans="1:14" x14ac:dyDescent="0.25">
      <c r="A139">
        <v>2027</v>
      </c>
      <c r="B139" s="63" t="s">
        <v>7</v>
      </c>
      <c r="C139" s="1" t="s">
        <v>35</v>
      </c>
      <c r="D139" s="1" t="s">
        <v>526</v>
      </c>
      <c r="E139" t="s">
        <v>201</v>
      </c>
      <c r="F139">
        <v>289</v>
      </c>
      <c r="G139">
        <v>81</v>
      </c>
      <c r="H139">
        <v>370</v>
      </c>
      <c r="I139" s="6">
        <v>37430</v>
      </c>
      <c r="J139" s="6">
        <v>1398</v>
      </c>
      <c r="K139" s="6">
        <v>1559</v>
      </c>
      <c r="L139" s="6">
        <v>40757</v>
      </c>
      <c r="M139" s="6">
        <v>37719</v>
      </c>
      <c r="N139" s="6">
        <v>3038</v>
      </c>
    </row>
    <row r="140" spans="1:14" x14ac:dyDescent="0.25">
      <c r="A140">
        <v>2027</v>
      </c>
      <c r="B140" s="63" t="s">
        <v>6</v>
      </c>
      <c r="C140" s="1" t="s">
        <v>34</v>
      </c>
      <c r="D140" s="1" t="s">
        <v>527</v>
      </c>
      <c r="E140" t="s">
        <v>202</v>
      </c>
      <c r="F140">
        <v>0</v>
      </c>
      <c r="G140">
        <v>0</v>
      </c>
      <c r="H140">
        <v>0</v>
      </c>
      <c r="I140" s="6">
        <v>51177</v>
      </c>
      <c r="J140" s="6">
        <v>9396</v>
      </c>
      <c r="K140" s="6">
        <v>10519</v>
      </c>
      <c r="L140" s="6">
        <v>71092</v>
      </c>
      <c r="M140" s="6">
        <v>51177</v>
      </c>
      <c r="N140" s="6">
        <v>19915</v>
      </c>
    </row>
    <row r="141" spans="1:14" x14ac:dyDescent="0.25">
      <c r="A141">
        <v>2027</v>
      </c>
      <c r="B141" s="1" t="s">
        <v>12</v>
      </c>
      <c r="C141" s="1" t="s">
        <v>40</v>
      </c>
      <c r="D141" s="1" t="s">
        <v>528</v>
      </c>
      <c r="E141" t="s">
        <v>203</v>
      </c>
      <c r="F141">
        <v>472</v>
      </c>
      <c r="G141">
        <v>126</v>
      </c>
      <c r="H141">
        <v>598</v>
      </c>
      <c r="I141" s="6">
        <v>30164</v>
      </c>
      <c r="J141" s="6">
        <v>1989</v>
      </c>
      <c r="K141" s="6">
        <v>2199</v>
      </c>
      <c r="L141" s="6">
        <v>34950</v>
      </c>
      <c r="M141" s="6">
        <v>30636</v>
      </c>
      <c r="N141" s="6">
        <v>4314</v>
      </c>
    </row>
    <row r="142" spans="1:14" x14ac:dyDescent="0.25">
      <c r="A142">
        <v>2027</v>
      </c>
      <c r="B142" s="63" t="s">
        <v>7</v>
      </c>
      <c r="C142" s="1" t="s">
        <v>35</v>
      </c>
      <c r="D142" s="1" t="s">
        <v>529</v>
      </c>
      <c r="E142" t="s">
        <v>204</v>
      </c>
      <c r="F142">
        <v>523</v>
      </c>
      <c r="G142">
        <v>146</v>
      </c>
      <c r="H142">
        <v>669</v>
      </c>
      <c r="I142" s="6">
        <v>67088</v>
      </c>
      <c r="J142" s="6">
        <v>8856</v>
      </c>
      <c r="K142" s="6">
        <v>9871</v>
      </c>
      <c r="L142" s="6">
        <v>86484</v>
      </c>
      <c r="M142" s="6">
        <v>67611</v>
      </c>
      <c r="N142" s="6">
        <v>18873</v>
      </c>
    </row>
    <row r="143" spans="1:14" x14ac:dyDescent="0.25">
      <c r="A143">
        <v>2027</v>
      </c>
      <c r="B143" s="1" t="s">
        <v>10</v>
      </c>
      <c r="C143" s="1" t="s">
        <v>38</v>
      </c>
      <c r="D143" s="1" t="s">
        <v>530</v>
      </c>
      <c r="E143" t="s">
        <v>205</v>
      </c>
      <c r="F143">
        <v>576</v>
      </c>
      <c r="G143">
        <v>137</v>
      </c>
      <c r="H143">
        <v>713</v>
      </c>
      <c r="I143" s="6">
        <v>114616</v>
      </c>
      <c r="J143" s="6">
        <v>11181</v>
      </c>
      <c r="K143" s="6">
        <v>12290</v>
      </c>
      <c r="L143" s="6">
        <v>138800</v>
      </c>
      <c r="M143" s="6">
        <v>115192</v>
      </c>
      <c r="N143" s="6">
        <v>23608</v>
      </c>
    </row>
    <row r="144" spans="1:14" x14ac:dyDescent="0.25">
      <c r="A144">
        <v>2027</v>
      </c>
      <c r="B144" s="1" t="s">
        <v>10</v>
      </c>
      <c r="C144" s="1" t="s">
        <v>38</v>
      </c>
      <c r="D144" s="1" t="s">
        <v>531</v>
      </c>
      <c r="E144" t="s">
        <v>206</v>
      </c>
      <c r="F144">
        <v>132</v>
      </c>
      <c r="G144">
        <v>32</v>
      </c>
      <c r="H144">
        <v>164</v>
      </c>
      <c r="I144" s="6">
        <v>26599</v>
      </c>
      <c r="J144" s="6">
        <v>1720</v>
      </c>
      <c r="K144" s="6">
        <v>1891</v>
      </c>
      <c r="L144" s="6">
        <v>30374</v>
      </c>
      <c r="M144" s="6">
        <v>26731</v>
      </c>
      <c r="N144" s="6">
        <v>3643</v>
      </c>
    </row>
    <row r="145" spans="1:14" x14ac:dyDescent="0.25">
      <c r="A145">
        <v>2027</v>
      </c>
      <c r="B145" s="1" t="s">
        <v>9</v>
      </c>
      <c r="C145" s="1" t="s">
        <v>37</v>
      </c>
      <c r="D145" s="1" t="s">
        <v>532</v>
      </c>
      <c r="E145" t="s">
        <v>207</v>
      </c>
      <c r="F145" s="6">
        <v>4940</v>
      </c>
      <c r="G145" s="6">
        <v>1303</v>
      </c>
      <c r="H145" s="6">
        <v>6243</v>
      </c>
      <c r="I145" s="6">
        <v>541505</v>
      </c>
      <c r="J145" s="6">
        <v>98691</v>
      </c>
      <c r="K145" s="6">
        <v>108548</v>
      </c>
      <c r="L145" s="6">
        <v>754987</v>
      </c>
      <c r="M145" s="6">
        <v>546445</v>
      </c>
      <c r="N145" s="6">
        <v>208542</v>
      </c>
    </row>
    <row r="146" spans="1:14" x14ac:dyDescent="0.25">
      <c r="A146">
        <v>2027</v>
      </c>
      <c r="B146" s="63" t="s">
        <v>7</v>
      </c>
      <c r="C146" s="1" t="s">
        <v>35</v>
      </c>
      <c r="D146" s="1" t="s">
        <v>533</v>
      </c>
      <c r="E146" t="s">
        <v>208</v>
      </c>
      <c r="F146">
        <v>371</v>
      </c>
      <c r="G146">
        <v>103</v>
      </c>
      <c r="H146">
        <v>474</v>
      </c>
      <c r="I146" s="6">
        <v>47700</v>
      </c>
      <c r="J146">
        <v>200</v>
      </c>
      <c r="K146">
        <v>223</v>
      </c>
      <c r="L146" s="6">
        <v>48597</v>
      </c>
      <c r="M146" s="6">
        <v>48071</v>
      </c>
      <c r="N146">
        <v>526</v>
      </c>
    </row>
    <row r="147" spans="1:14" x14ac:dyDescent="0.25">
      <c r="A147">
        <v>2027</v>
      </c>
      <c r="B147" s="1" t="s">
        <v>9</v>
      </c>
      <c r="C147" s="1" t="s">
        <v>37</v>
      </c>
      <c r="D147" s="1" t="s">
        <v>534</v>
      </c>
      <c r="E147" t="s">
        <v>209</v>
      </c>
      <c r="F147">
        <v>169</v>
      </c>
      <c r="G147">
        <v>44</v>
      </c>
      <c r="H147">
        <v>213</v>
      </c>
      <c r="I147" s="6">
        <v>18469</v>
      </c>
      <c r="J147">
        <v>199</v>
      </c>
      <c r="K147">
        <v>219</v>
      </c>
      <c r="L147" s="6">
        <v>19100</v>
      </c>
      <c r="M147" s="6">
        <v>18638</v>
      </c>
      <c r="N147">
        <v>462</v>
      </c>
    </row>
    <row r="148" spans="1:14" x14ac:dyDescent="0.25">
      <c r="A148">
        <v>2027</v>
      </c>
      <c r="B148" s="63" t="s">
        <v>7</v>
      </c>
      <c r="C148" s="1" t="s">
        <v>35</v>
      </c>
      <c r="D148" s="1" t="s">
        <v>535</v>
      </c>
      <c r="E148" t="s">
        <v>210</v>
      </c>
      <c r="F148">
        <v>163</v>
      </c>
      <c r="G148">
        <v>45</v>
      </c>
      <c r="H148">
        <v>208</v>
      </c>
      <c r="I148" s="6">
        <v>21024</v>
      </c>
      <c r="J148" s="6">
        <v>1132</v>
      </c>
      <c r="K148" s="6">
        <v>1262</v>
      </c>
      <c r="L148" s="6">
        <v>23626</v>
      </c>
      <c r="M148" s="6">
        <v>21187</v>
      </c>
      <c r="N148" s="6">
        <v>2439</v>
      </c>
    </row>
    <row r="149" spans="1:14" x14ac:dyDescent="0.25">
      <c r="A149">
        <v>2027</v>
      </c>
      <c r="B149" s="63" t="s">
        <v>7</v>
      </c>
      <c r="C149" s="1" t="s">
        <v>35</v>
      </c>
      <c r="D149" s="1" t="s">
        <v>536</v>
      </c>
      <c r="E149" t="s">
        <v>211</v>
      </c>
      <c r="F149">
        <v>318</v>
      </c>
      <c r="G149">
        <v>88</v>
      </c>
      <c r="H149">
        <v>406</v>
      </c>
      <c r="I149" s="6">
        <v>41994</v>
      </c>
      <c r="J149" s="6">
        <v>8524</v>
      </c>
      <c r="K149" s="6">
        <v>9500</v>
      </c>
      <c r="L149" s="6">
        <v>60424</v>
      </c>
      <c r="M149" s="6">
        <v>42312</v>
      </c>
      <c r="N149" s="6">
        <v>18112</v>
      </c>
    </row>
    <row r="150" spans="1:14" x14ac:dyDescent="0.25">
      <c r="A150">
        <v>2027</v>
      </c>
      <c r="B150" s="1" t="s">
        <v>10</v>
      </c>
      <c r="C150" s="1" t="s">
        <v>38</v>
      </c>
      <c r="D150" s="1" t="s">
        <v>537</v>
      </c>
      <c r="E150" t="s">
        <v>212</v>
      </c>
      <c r="F150" s="6">
        <v>1138</v>
      </c>
      <c r="G150">
        <v>272</v>
      </c>
      <c r="H150" s="6">
        <v>1410</v>
      </c>
      <c r="I150" s="6">
        <v>226949</v>
      </c>
      <c r="J150" s="6">
        <v>37910</v>
      </c>
      <c r="K150" s="6">
        <v>41669</v>
      </c>
      <c r="L150" s="6">
        <v>307938</v>
      </c>
      <c r="M150" s="6">
        <v>228087</v>
      </c>
      <c r="N150" s="6">
        <v>79851</v>
      </c>
    </row>
    <row r="151" spans="1:14" x14ac:dyDescent="0.25">
      <c r="A151">
        <v>2027</v>
      </c>
      <c r="B151" s="1" t="s">
        <v>13</v>
      </c>
      <c r="C151" s="1" t="s">
        <v>41</v>
      </c>
      <c r="D151" s="1" t="s">
        <v>538</v>
      </c>
      <c r="E151" t="s">
        <v>213</v>
      </c>
      <c r="F151" s="6">
        <v>1354</v>
      </c>
      <c r="G151">
        <v>350</v>
      </c>
      <c r="H151" s="6">
        <v>1704</v>
      </c>
      <c r="I151" s="6">
        <v>75651</v>
      </c>
      <c r="J151" s="6">
        <v>7355</v>
      </c>
      <c r="K151" s="6">
        <v>8089</v>
      </c>
      <c r="L151" s="6">
        <v>92799</v>
      </c>
      <c r="M151" s="6">
        <v>77005</v>
      </c>
      <c r="N151" s="6">
        <v>15794</v>
      </c>
    </row>
    <row r="152" spans="1:14" x14ac:dyDescent="0.25">
      <c r="A152">
        <v>2027</v>
      </c>
      <c r="B152" s="1" t="s">
        <v>13</v>
      </c>
      <c r="C152" s="1" t="s">
        <v>41</v>
      </c>
      <c r="D152" s="1" t="s">
        <v>539</v>
      </c>
      <c r="E152" t="s">
        <v>214</v>
      </c>
      <c r="F152">
        <v>236</v>
      </c>
      <c r="G152">
        <v>61</v>
      </c>
      <c r="H152">
        <v>297</v>
      </c>
      <c r="I152" s="6">
        <v>13203</v>
      </c>
      <c r="J152">
        <v>331</v>
      </c>
      <c r="K152">
        <v>364</v>
      </c>
      <c r="L152" s="6">
        <v>14195</v>
      </c>
      <c r="M152" s="6">
        <v>13439</v>
      </c>
      <c r="N152">
        <v>756</v>
      </c>
    </row>
    <row r="153" spans="1:14" x14ac:dyDescent="0.25">
      <c r="A153">
        <v>2027</v>
      </c>
      <c r="B153" s="1" t="s">
        <v>11</v>
      </c>
      <c r="C153" s="1" t="s">
        <v>39</v>
      </c>
      <c r="D153" s="1" t="s">
        <v>540</v>
      </c>
      <c r="E153" t="s">
        <v>215</v>
      </c>
      <c r="F153">
        <v>284</v>
      </c>
      <c r="G153">
        <v>82</v>
      </c>
      <c r="H153">
        <v>366</v>
      </c>
      <c r="I153" s="6">
        <v>19846</v>
      </c>
      <c r="J153">
        <v>466</v>
      </c>
      <c r="K153">
        <v>522</v>
      </c>
      <c r="L153" s="6">
        <v>21200</v>
      </c>
      <c r="M153" s="6">
        <v>20130</v>
      </c>
      <c r="N153" s="6">
        <v>1070</v>
      </c>
    </row>
    <row r="154" spans="1:14" x14ac:dyDescent="0.25">
      <c r="A154">
        <v>2027</v>
      </c>
      <c r="B154" s="1" t="s">
        <v>10</v>
      </c>
      <c r="C154" s="1" t="s">
        <v>38</v>
      </c>
      <c r="D154" s="1" t="s">
        <v>541</v>
      </c>
      <c r="E154" t="s">
        <v>216</v>
      </c>
      <c r="F154">
        <v>284</v>
      </c>
      <c r="G154">
        <v>68</v>
      </c>
      <c r="H154">
        <v>352</v>
      </c>
      <c r="I154" s="6">
        <v>57674</v>
      </c>
      <c r="J154" s="6">
        <v>3506</v>
      </c>
      <c r="K154" s="6">
        <v>3854</v>
      </c>
      <c r="L154" s="6">
        <v>65386</v>
      </c>
      <c r="M154" s="6">
        <v>57958</v>
      </c>
      <c r="N154" s="6">
        <v>7428</v>
      </c>
    </row>
    <row r="155" spans="1:14" x14ac:dyDescent="0.25">
      <c r="A155">
        <v>2027</v>
      </c>
      <c r="B155" s="63" t="s">
        <v>7</v>
      </c>
      <c r="C155" s="1" t="s">
        <v>35</v>
      </c>
      <c r="D155" s="1" t="s">
        <v>542</v>
      </c>
      <c r="E155" t="s">
        <v>217</v>
      </c>
      <c r="F155">
        <v>214</v>
      </c>
      <c r="G155">
        <v>59</v>
      </c>
      <c r="H155">
        <v>273</v>
      </c>
      <c r="I155" s="6">
        <v>27458</v>
      </c>
      <c r="J155">
        <v>266</v>
      </c>
      <c r="K155">
        <v>297</v>
      </c>
      <c r="L155" s="6">
        <v>28294</v>
      </c>
      <c r="M155" s="6">
        <v>27672</v>
      </c>
      <c r="N155">
        <v>622</v>
      </c>
    </row>
    <row r="156" spans="1:14" x14ac:dyDescent="0.25">
      <c r="A156">
        <v>2027</v>
      </c>
      <c r="B156" s="1" t="s">
        <v>12</v>
      </c>
      <c r="C156" s="1" t="s">
        <v>40</v>
      </c>
      <c r="D156" s="1" t="s">
        <v>543</v>
      </c>
      <c r="E156" t="s">
        <v>218</v>
      </c>
      <c r="F156">
        <v>194</v>
      </c>
      <c r="G156">
        <v>52</v>
      </c>
      <c r="H156">
        <v>246</v>
      </c>
      <c r="I156" s="6">
        <v>12417</v>
      </c>
      <c r="J156">
        <v>0</v>
      </c>
      <c r="K156">
        <v>0</v>
      </c>
      <c r="L156" s="6">
        <v>12663</v>
      </c>
      <c r="M156" s="6">
        <v>12611</v>
      </c>
      <c r="N156">
        <v>52</v>
      </c>
    </row>
    <row r="157" spans="1:14" x14ac:dyDescent="0.25">
      <c r="A157">
        <v>2027</v>
      </c>
      <c r="B157" s="63" t="s">
        <v>6</v>
      </c>
      <c r="C157" s="1" t="s">
        <v>34</v>
      </c>
      <c r="D157" s="1" t="s">
        <v>544</v>
      </c>
      <c r="E157" t="s">
        <v>219</v>
      </c>
      <c r="F157">
        <v>0</v>
      </c>
      <c r="G157">
        <v>0</v>
      </c>
      <c r="H157">
        <v>0</v>
      </c>
      <c r="I157" s="6">
        <v>13752</v>
      </c>
      <c r="J157">
        <v>333</v>
      </c>
      <c r="K157">
        <v>373</v>
      </c>
      <c r="L157" s="6">
        <v>14458</v>
      </c>
      <c r="M157" s="6">
        <v>13752</v>
      </c>
      <c r="N157">
        <v>706</v>
      </c>
    </row>
    <row r="158" spans="1:14" x14ac:dyDescent="0.25">
      <c r="A158">
        <v>2027</v>
      </c>
      <c r="B158" s="1" t="s">
        <v>11</v>
      </c>
      <c r="C158" s="1" t="s">
        <v>39</v>
      </c>
      <c r="D158" s="1" t="s">
        <v>545</v>
      </c>
      <c r="E158" t="s">
        <v>220</v>
      </c>
      <c r="F158">
        <v>354</v>
      </c>
      <c r="G158">
        <v>103</v>
      </c>
      <c r="H158">
        <v>457</v>
      </c>
      <c r="I158" s="6">
        <v>24596</v>
      </c>
      <c r="J158" s="6">
        <v>1797</v>
      </c>
      <c r="K158" s="6">
        <v>2012</v>
      </c>
      <c r="L158" s="6">
        <v>28862</v>
      </c>
      <c r="M158" s="6">
        <v>24950</v>
      </c>
      <c r="N158" s="6">
        <v>3912</v>
      </c>
    </row>
    <row r="159" spans="1:14" x14ac:dyDescent="0.25">
      <c r="A159">
        <v>2027</v>
      </c>
      <c r="B159" s="1" t="s">
        <v>11</v>
      </c>
      <c r="C159" s="1" t="s">
        <v>39</v>
      </c>
      <c r="D159" s="1" t="s">
        <v>546</v>
      </c>
      <c r="E159" t="s">
        <v>221</v>
      </c>
      <c r="F159" s="6">
        <v>1321</v>
      </c>
      <c r="G159">
        <v>384</v>
      </c>
      <c r="H159" s="6">
        <v>1705</v>
      </c>
      <c r="I159" s="6">
        <v>91884</v>
      </c>
      <c r="J159" s="6">
        <v>31621</v>
      </c>
      <c r="K159" s="6">
        <v>35388</v>
      </c>
      <c r="L159" s="6">
        <v>160598</v>
      </c>
      <c r="M159" s="6">
        <v>93205</v>
      </c>
      <c r="N159" s="6">
        <v>67393</v>
      </c>
    </row>
    <row r="160" spans="1:14" x14ac:dyDescent="0.25">
      <c r="A160">
        <v>2027</v>
      </c>
      <c r="B160" s="1" t="s">
        <v>12</v>
      </c>
      <c r="C160" s="1" t="s">
        <v>40</v>
      </c>
      <c r="D160" s="1" t="s">
        <v>547</v>
      </c>
      <c r="E160" t="s">
        <v>222</v>
      </c>
      <c r="F160">
        <v>270</v>
      </c>
      <c r="G160">
        <v>72</v>
      </c>
      <c r="H160">
        <v>342</v>
      </c>
      <c r="I160" s="6">
        <v>17856</v>
      </c>
      <c r="J160">
        <v>0</v>
      </c>
      <c r="K160">
        <v>0</v>
      </c>
      <c r="L160" s="6">
        <v>18198</v>
      </c>
      <c r="M160" s="6">
        <v>18126</v>
      </c>
      <c r="N160">
        <v>72</v>
      </c>
    </row>
    <row r="161" spans="1:14" x14ac:dyDescent="0.25">
      <c r="A161">
        <v>2027</v>
      </c>
      <c r="B161" s="1" t="s">
        <v>12</v>
      </c>
      <c r="C161" s="1" t="s">
        <v>40</v>
      </c>
      <c r="D161" s="1" t="s">
        <v>548</v>
      </c>
      <c r="E161" t="s">
        <v>223</v>
      </c>
      <c r="F161" s="6">
        <v>1692</v>
      </c>
      <c r="G161">
        <v>452</v>
      </c>
      <c r="H161" s="6">
        <v>2144</v>
      </c>
      <c r="I161" s="6">
        <v>108609</v>
      </c>
      <c r="J161" s="6">
        <v>15777</v>
      </c>
      <c r="K161" s="6">
        <v>17445</v>
      </c>
      <c r="L161" s="6">
        <v>143975</v>
      </c>
      <c r="M161" s="6">
        <v>110301</v>
      </c>
      <c r="N161" s="6">
        <v>33674</v>
      </c>
    </row>
    <row r="162" spans="1:14" x14ac:dyDescent="0.25">
      <c r="A162">
        <v>2027</v>
      </c>
      <c r="B162" s="1" t="s">
        <v>9</v>
      </c>
      <c r="C162" s="1" t="s">
        <v>37</v>
      </c>
      <c r="D162" s="1" t="s">
        <v>549</v>
      </c>
      <c r="E162" t="s">
        <v>224</v>
      </c>
      <c r="F162" s="6">
        <v>2546</v>
      </c>
      <c r="G162">
        <v>672</v>
      </c>
      <c r="H162" s="6">
        <v>3218</v>
      </c>
      <c r="I162" s="6">
        <v>279069</v>
      </c>
      <c r="J162" s="6">
        <v>45269</v>
      </c>
      <c r="K162" s="6">
        <v>49791</v>
      </c>
      <c r="L162" s="6">
        <v>377347</v>
      </c>
      <c r="M162" s="6">
        <v>281615</v>
      </c>
      <c r="N162" s="6">
        <v>95732</v>
      </c>
    </row>
    <row r="163" spans="1:14" x14ac:dyDescent="0.25">
      <c r="A163">
        <v>2027</v>
      </c>
      <c r="B163" s="1" t="s">
        <v>9</v>
      </c>
      <c r="C163" s="1" t="s">
        <v>37</v>
      </c>
      <c r="D163" s="1" t="s">
        <v>550</v>
      </c>
      <c r="E163" t="s">
        <v>225</v>
      </c>
      <c r="F163">
        <v>228</v>
      </c>
      <c r="G163">
        <v>60</v>
      </c>
      <c r="H163">
        <v>288</v>
      </c>
      <c r="I163" s="6">
        <v>24954</v>
      </c>
      <c r="J163">
        <v>398</v>
      </c>
      <c r="K163">
        <v>437</v>
      </c>
      <c r="L163" s="6">
        <v>26077</v>
      </c>
      <c r="M163" s="6">
        <v>25182</v>
      </c>
      <c r="N163" s="6">
        <v>895</v>
      </c>
    </row>
    <row r="164" spans="1:14" x14ac:dyDescent="0.25">
      <c r="A164">
        <v>2027</v>
      </c>
      <c r="B164" s="1" t="s">
        <v>12</v>
      </c>
      <c r="C164" s="1" t="s">
        <v>40</v>
      </c>
      <c r="D164" s="1" t="s">
        <v>551</v>
      </c>
      <c r="E164" t="s">
        <v>226</v>
      </c>
      <c r="F164">
        <v>357</v>
      </c>
      <c r="G164">
        <v>95</v>
      </c>
      <c r="H164">
        <v>452</v>
      </c>
      <c r="I164" s="6">
        <v>23029</v>
      </c>
      <c r="J164">
        <v>0</v>
      </c>
      <c r="K164">
        <v>0</v>
      </c>
      <c r="L164" s="6">
        <v>23481</v>
      </c>
      <c r="M164" s="6">
        <v>23386</v>
      </c>
      <c r="N164">
        <v>95</v>
      </c>
    </row>
    <row r="165" spans="1:14" x14ac:dyDescent="0.25">
      <c r="A165">
        <v>2027</v>
      </c>
      <c r="B165" s="1" t="s">
        <v>9</v>
      </c>
      <c r="C165" s="1" t="s">
        <v>37</v>
      </c>
      <c r="D165" s="1" t="s">
        <v>552</v>
      </c>
      <c r="E165" t="s">
        <v>227</v>
      </c>
      <c r="F165">
        <v>96</v>
      </c>
      <c r="G165">
        <v>25</v>
      </c>
      <c r="H165">
        <v>121</v>
      </c>
      <c r="I165" s="6">
        <v>10678</v>
      </c>
      <c r="J165">
        <v>199</v>
      </c>
      <c r="K165">
        <v>219</v>
      </c>
      <c r="L165" s="6">
        <v>11217</v>
      </c>
      <c r="M165" s="6">
        <v>10774</v>
      </c>
      <c r="N165" s="6">
        <v>443</v>
      </c>
    </row>
    <row r="166" spans="1:14" x14ac:dyDescent="0.25">
      <c r="A166">
        <v>2027</v>
      </c>
      <c r="B166" s="63" t="s">
        <v>8</v>
      </c>
      <c r="C166" s="1" t="s">
        <v>36</v>
      </c>
      <c r="D166" s="1" t="s">
        <v>553</v>
      </c>
      <c r="E166" t="s">
        <v>228</v>
      </c>
      <c r="F166">
        <v>351</v>
      </c>
      <c r="G166">
        <v>95</v>
      </c>
      <c r="H166">
        <v>446</v>
      </c>
      <c r="I166" s="6">
        <v>24436</v>
      </c>
      <c r="J166">
        <v>661</v>
      </c>
      <c r="K166">
        <v>723</v>
      </c>
      <c r="L166" s="6">
        <v>26266</v>
      </c>
      <c r="M166" s="6">
        <v>24787</v>
      </c>
      <c r="N166" s="6">
        <v>1479</v>
      </c>
    </row>
    <row r="167" spans="1:14" x14ac:dyDescent="0.25">
      <c r="A167">
        <v>2027</v>
      </c>
      <c r="B167" s="1" t="s">
        <v>10</v>
      </c>
      <c r="C167" s="1" t="s">
        <v>38</v>
      </c>
      <c r="D167" s="1" t="s">
        <v>554</v>
      </c>
      <c r="E167" t="s">
        <v>229</v>
      </c>
      <c r="F167">
        <v>73</v>
      </c>
      <c r="G167">
        <v>17</v>
      </c>
      <c r="H167">
        <v>90</v>
      </c>
      <c r="I167" s="6">
        <v>14501</v>
      </c>
      <c r="J167" s="6">
        <v>4234</v>
      </c>
      <c r="K167" s="6">
        <v>4654</v>
      </c>
      <c r="L167" s="6">
        <v>23479</v>
      </c>
      <c r="M167" s="6">
        <v>14574</v>
      </c>
      <c r="N167" s="6">
        <v>8905</v>
      </c>
    </row>
    <row r="168" spans="1:14" x14ac:dyDescent="0.25">
      <c r="A168">
        <v>2027</v>
      </c>
      <c r="B168" s="1" t="s">
        <v>10</v>
      </c>
      <c r="C168" s="1" t="s">
        <v>38</v>
      </c>
      <c r="D168" s="1" t="s">
        <v>555</v>
      </c>
      <c r="E168" t="s">
        <v>230</v>
      </c>
      <c r="F168">
        <v>104</v>
      </c>
      <c r="G168">
        <v>25</v>
      </c>
      <c r="H168">
        <v>129</v>
      </c>
      <c r="I168" s="6">
        <v>20678</v>
      </c>
      <c r="J168">
        <v>132</v>
      </c>
      <c r="K168">
        <v>145</v>
      </c>
      <c r="L168" s="6">
        <v>21084</v>
      </c>
      <c r="M168" s="6">
        <v>20782</v>
      </c>
      <c r="N168">
        <v>302</v>
      </c>
    </row>
    <row r="169" spans="1:14" x14ac:dyDescent="0.25">
      <c r="A169">
        <v>2027</v>
      </c>
      <c r="B169" s="63" t="s">
        <v>6</v>
      </c>
      <c r="C169" s="1" t="s">
        <v>34</v>
      </c>
      <c r="D169" s="1" t="s">
        <v>556</v>
      </c>
      <c r="E169" t="s">
        <v>231</v>
      </c>
      <c r="F169">
        <v>0</v>
      </c>
      <c r="G169">
        <v>0</v>
      </c>
      <c r="H169">
        <v>0</v>
      </c>
      <c r="I169" s="6">
        <v>27510</v>
      </c>
      <c r="J169" s="6">
        <v>5331</v>
      </c>
      <c r="K169" s="6">
        <v>5968</v>
      </c>
      <c r="L169" s="6">
        <v>38809</v>
      </c>
      <c r="M169" s="6">
        <v>27510</v>
      </c>
      <c r="N169" s="6">
        <v>11299</v>
      </c>
    </row>
    <row r="170" spans="1:14" x14ac:dyDescent="0.25">
      <c r="A170">
        <v>2027</v>
      </c>
      <c r="B170" s="1" t="s">
        <v>11</v>
      </c>
      <c r="C170" s="1" t="s">
        <v>39</v>
      </c>
      <c r="D170" s="1" t="s">
        <v>557</v>
      </c>
      <c r="E170" t="s">
        <v>232</v>
      </c>
      <c r="F170">
        <v>309</v>
      </c>
      <c r="G170">
        <v>90</v>
      </c>
      <c r="H170">
        <v>399</v>
      </c>
      <c r="I170" s="6">
        <v>22415</v>
      </c>
      <c r="J170" s="6">
        <v>2197</v>
      </c>
      <c r="K170" s="6">
        <v>2459</v>
      </c>
      <c r="L170" s="6">
        <v>27470</v>
      </c>
      <c r="M170" s="6">
        <v>22724</v>
      </c>
      <c r="N170" s="6">
        <v>4746</v>
      </c>
    </row>
    <row r="171" spans="1:14" x14ac:dyDescent="0.25">
      <c r="A171">
        <v>2027</v>
      </c>
      <c r="B171" s="63" t="s">
        <v>8</v>
      </c>
      <c r="C171" s="1" t="s">
        <v>36</v>
      </c>
      <c r="D171" s="1" t="s">
        <v>558</v>
      </c>
      <c r="E171" t="s">
        <v>233</v>
      </c>
      <c r="F171">
        <v>646</v>
      </c>
      <c r="G171">
        <v>175</v>
      </c>
      <c r="H171">
        <v>821</v>
      </c>
      <c r="I171" s="6">
        <v>47498</v>
      </c>
      <c r="J171" s="6">
        <v>9981</v>
      </c>
      <c r="K171" s="6">
        <v>10917</v>
      </c>
      <c r="L171" s="6">
        <v>69217</v>
      </c>
      <c r="M171" s="6">
        <v>48144</v>
      </c>
      <c r="N171" s="6">
        <v>21073</v>
      </c>
    </row>
    <row r="172" spans="1:14" x14ac:dyDescent="0.25">
      <c r="A172">
        <v>2027</v>
      </c>
      <c r="B172" s="63" t="s">
        <v>5</v>
      </c>
      <c r="C172" s="1" t="s">
        <v>33</v>
      </c>
      <c r="D172" s="1" t="s">
        <v>559</v>
      </c>
      <c r="E172" t="s">
        <v>234</v>
      </c>
      <c r="F172">
        <v>551</v>
      </c>
      <c r="G172">
        <v>175</v>
      </c>
      <c r="H172">
        <v>726</v>
      </c>
      <c r="I172" s="6">
        <v>27680</v>
      </c>
      <c r="J172" s="6">
        <v>2929</v>
      </c>
      <c r="K172" s="6">
        <v>3262</v>
      </c>
      <c r="L172" s="6">
        <v>34597</v>
      </c>
      <c r="M172" s="6">
        <v>28231</v>
      </c>
      <c r="N172" s="6">
        <v>6366</v>
      </c>
    </row>
    <row r="173" spans="1:14" x14ac:dyDescent="0.25">
      <c r="A173">
        <v>2027</v>
      </c>
      <c r="B173" s="1" t="s">
        <v>11</v>
      </c>
      <c r="C173" s="1" t="s">
        <v>39</v>
      </c>
      <c r="D173" s="1" t="s">
        <v>560</v>
      </c>
      <c r="E173" t="s">
        <v>235</v>
      </c>
      <c r="F173">
        <v>273</v>
      </c>
      <c r="G173">
        <v>79</v>
      </c>
      <c r="H173">
        <v>352</v>
      </c>
      <c r="I173" s="6">
        <v>18960</v>
      </c>
      <c r="J173">
        <v>466</v>
      </c>
      <c r="K173">
        <v>522</v>
      </c>
      <c r="L173" s="6">
        <v>20300</v>
      </c>
      <c r="M173" s="6">
        <v>19233</v>
      </c>
      <c r="N173" s="6">
        <v>1067</v>
      </c>
    </row>
    <row r="174" spans="1:14" x14ac:dyDescent="0.25">
      <c r="A174">
        <v>2027</v>
      </c>
      <c r="B174" s="1" t="s">
        <v>9</v>
      </c>
      <c r="C174" s="1" t="s">
        <v>37</v>
      </c>
      <c r="D174" s="1" t="s">
        <v>561</v>
      </c>
      <c r="E174" t="s">
        <v>236</v>
      </c>
      <c r="F174">
        <v>615</v>
      </c>
      <c r="G174">
        <v>163</v>
      </c>
      <c r="H174">
        <v>778</v>
      </c>
      <c r="I174" s="6">
        <v>67788</v>
      </c>
      <c r="J174" s="6">
        <v>7490</v>
      </c>
      <c r="K174" s="6">
        <v>8238</v>
      </c>
      <c r="L174" s="6">
        <v>84294</v>
      </c>
      <c r="M174" s="6">
        <v>68403</v>
      </c>
      <c r="N174" s="6">
        <v>15891</v>
      </c>
    </row>
    <row r="175" spans="1:14" x14ac:dyDescent="0.25">
      <c r="A175">
        <v>2027</v>
      </c>
      <c r="B175" s="63" t="s">
        <v>7</v>
      </c>
      <c r="C175" s="1" t="s">
        <v>35</v>
      </c>
      <c r="D175" s="1" t="s">
        <v>562</v>
      </c>
      <c r="E175" t="s">
        <v>237</v>
      </c>
      <c r="F175" s="6">
        <v>2074</v>
      </c>
      <c r="G175">
        <v>579</v>
      </c>
      <c r="H175" s="6">
        <v>2653</v>
      </c>
      <c r="I175" s="6">
        <v>266675</v>
      </c>
      <c r="J175" s="6">
        <v>21375</v>
      </c>
      <c r="K175" s="6">
        <v>23825</v>
      </c>
      <c r="L175" s="6">
        <v>314528</v>
      </c>
      <c r="M175" s="6">
        <v>268749</v>
      </c>
      <c r="N175" s="6">
        <v>45779</v>
      </c>
    </row>
    <row r="176" spans="1:14" x14ac:dyDescent="0.25">
      <c r="A176">
        <v>2027</v>
      </c>
      <c r="B176" s="1" t="s">
        <v>10</v>
      </c>
      <c r="C176" s="1" t="s">
        <v>38</v>
      </c>
      <c r="D176" s="1" t="s">
        <v>563</v>
      </c>
      <c r="E176" t="s">
        <v>238</v>
      </c>
      <c r="F176">
        <v>79</v>
      </c>
      <c r="G176">
        <v>18</v>
      </c>
      <c r="H176">
        <v>97</v>
      </c>
      <c r="I176" s="6">
        <v>15790</v>
      </c>
      <c r="J176" s="6">
        <v>2713</v>
      </c>
      <c r="K176" s="6">
        <v>2982</v>
      </c>
      <c r="L176" s="6">
        <v>21582</v>
      </c>
      <c r="M176" s="6">
        <v>15869</v>
      </c>
      <c r="N176" s="6">
        <v>5713</v>
      </c>
    </row>
    <row r="177" spans="1:14" x14ac:dyDescent="0.25">
      <c r="A177">
        <v>2027</v>
      </c>
      <c r="B177" s="63" t="s">
        <v>7</v>
      </c>
      <c r="C177" s="1" t="s">
        <v>35</v>
      </c>
      <c r="D177" s="1" t="s">
        <v>564</v>
      </c>
      <c r="E177" t="s">
        <v>239</v>
      </c>
      <c r="F177" s="6">
        <v>1340</v>
      </c>
      <c r="G177">
        <v>374</v>
      </c>
      <c r="H177" s="6">
        <v>1714</v>
      </c>
      <c r="I177" s="6">
        <v>171506</v>
      </c>
      <c r="J177" s="6">
        <v>40087</v>
      </c>
      <c r="K177" s="6">
        <v>44680</v>
      </c>
      <c r="L177" s="6">
        <v>257987</v>
      </c>
      <c r="M177" s="6">
        <v>172846</v>
      </c>
      <c r="N177" s="6">
        <v>85141</v>
      </c>
    </row>
    <row r="178" spans="1:14" x14ac:dyDescent="0.25">
      <c r="A178">
        <v>2027</v>
      </c>
      <c r="B178" s="1" t="s">
        <v>13</v>
      </c>
      <c r="C178" s="1" t="s">
        <v>41</v>
      </c>
      <c r="D178" s="1" t="s">
        <v>565</v>
      </c>
      <c r="E178" t="s">
        <v>240</v>
      </c>
      <c r="F178">
        <v>604</v>
      </c>
      <c r="G178">
        <v>156</v>
      </c>
      <c r="H178">
        <v>760</v>
      </c>
      <c r="I178" s="6">
        <v>33776</v>
      </c>
      <c r="J178">
        <v>331</v>
      </c>
      <c r="K178">
        <v>364</v>
      </c>
      <c r="L178" s="6">
        <v>35231</v>
      </c>
      <c r="M178" s="6">
        <v>34380</v>
      </c>
      <c r="N178" s="6">
        <v>851</v>
      </c>
    </row>
    <row r="179" spans="1:14" x14ac:dyDescent="0.25">
      <c r="A179">
        <v>2027</v>
      </c>
      <c r="B179" s="1" t="s">
        <v>10</v>
      </c>
      <c r="C179" s="1" t="s">
        <v>38</v>
      </c>
      <c r="D179" s="1" t="s">
        <v>566</v>
      </c>
      <c r="E179" t="s">
        <v>241</v>
      </c>
      <c r="F179">
        <v>51</v>
      </c>
      <c r="G179">
        <v>12</v>
      </c>
      <c r="H179">
        <v>63</v>
      </c>
      <c r="I179" s="6">
        <v>9767</v>
      </c>
      <c r="J179">
        <v>0</v>
      </c>
      <c r="K179">
        <v>0</v>
      </c>
      <c r="L179" s="6">
        <v>9830</v>
      </c>
      <c r="M179" s="6">
        <v>9818</v>
      </c>
      <c r="N179">
        <v>12</v>
      </c>
    </row>
    <row r="180" spans="1:14" x14ac:dyDescent="0.25">
      <c r="A180">
        <v>2027</v>
      </c>
      <c r="B180" s="63" t="s">
        <v>5</v>
      </c>
      <c r="C180" s="1" t="s">
        <v>33</v>
      </c>
      <c r="D180" s="1" t="s">
        <v>567</v>
      </c>
      <c r="E180" t="s">
        <v>242</v>
      </c>
      <c r="F180">
        <v>652</v>
      </c>
      <c r="G180">
        <v>207</v>
      </c>
      <c r="H180">
        <v>859</v>
      </c>
      <c r="I180" s="6">
        <v>32775</v>
      </c>
      <c r="J180">
        <v>266</v>
      </c>
      <c r="K180">
        <v>297</v>
      </c>
      <c r="L180" s="6">
        <v>34197</v>
      </c>
      <c r="M180" s="6">
        <v>33427</v>
      </c>
      <c r="N180" s="6">
        <v>770</v>
      </c>
    </row>
    <row r="181" spans="1:14" x14ac:dyDescent="0.25">
      <c r="A181">
        <v>2027</v>
      </c>
      <c r="B181" s="1" t="s">
        <v>9</v>
      </c>
      <c r="C181" s="1" t="s">
        <v>37</v>
      </c>
      <c r="D181" s="1" t="s">
        <v>568</v>
      </c>
      <c r="E181" t="s">
        <v>243</v>
      </c>
      <c r="F181">
        <v>393</v>
      </c>
      <c r="G181">
        <v>104</v>
      </c>
      <c r="H181">
        <v>497</v>
      </c>
      <c r="I181" s="6">
        <v>43196</v>
      </c>
      <c r="J181" s="6">
        <v>12461</v>
      </c>
      <c r="K181" s="6">
        <v>13705</v>
      </c>
      <c r="L181" s="6">
        <v>69859</v>
      </c>
      <c r="M181" s="6">
        <v>43589</v>
      </c>
      <c r="N181" s="6">
        <v>26270</v>
      </c>
    </row>
    <row r="182" spans="1:14" x14ac:dyDescent="0.25">
      <c r="A182">
        <v>2027</v>
      </c>
      <c r="B182" s="1" t="s">
        <v>9</v>
      </c>
      <c r="C182" s="1" t="s">
        <v>37</v>
      </c>
      <c r="D182" s="1" t="s">
        <v>569</v>
      </c>
      <c r="E182" t="s">
        <v>244</v>
      </c>
      <c r="F182">
        <v>169</v>
      </c>
      <c r="G182">
        <v>44</v>
      </c>
      <c r="H182">
        <v>213</v>
      </c>
      <c r="I182" s="6">
        <v>18824</v>
      </c>
      <c r="J182">
        <v>464</v>
      </c>
      <c r="K182">
        <v>510</v>
      </c>
      <c r="L182" s="6">
        <v>20011</v>
      </c>
      <c r="M182" s="6">
        <v>18993</v>
      </c>
      <c r="N182" s="6">
        <v>1018</v>
      </c>
    </row>
    <row r="183" spans="1:14" x14ac:dyDescent="0.25">
      <c r="A183">
        <v>2027</v>
      </c>
      <c r="B183" s="1" t="s">
        <v>12</v>
      </c>
      <c r="C183" s="1" t="s">
        <v>40</v>
      </c>
      <c r="D183" s="1" t="s">
        <v>570</v>
      </c>
      <c r="E183" t="s">
        <v>245</v>
      </c>
      <c r="F183">
        <v>481</v>
      </c>
      <c r="G183">
        <v>128</v>
      </c>
      <c r="H183">
        <v>609</v>
      </c>
      <c r="I183" s="6">
        <v>30659</v>
      </c>
      <c r="J183">
        <v>597</v>
      </c>
      <c r="K183">
        <v>660</v>
      </c>
      <c r="L183" s="6">
        <v>32525</v>
      </c>
      <c r="M183" s="6">
        <v>31140</v>
      </c>
      <c r="N183" s="6">
        <v>1385</v>
      </c>
    </row>
    <row r="184" spans="1:14" x14ac:dyDescent="0.25">
      <c r="A184">
        <v>2027</v>
      </c>
      <c r="B184" s="1" t="s">
        <v>11</v>
      </c>
      <c r="C184" s="1" t="s">
        <v>39</v>
      </c>
      <c r="D184" s="1" t="s">
        <v>571</v>
      </c>
      <c r="E184" t="s">
        <v>246</v>
      </c>
      <c r="F184">
        <v>896</v>
      </c>
      <c r="G184">
        <v>261</v>
      </c>
      <c r="H184" s="6">
        <v>1157</v>
      </c>
      <c r="I184" s="6">
        <v>62534</v>
      </c>
      <c r="J184" s="6">
        <v>36614</v>
      </c>
      <c r="K184" s="6">
        <v>40975</v>
      </c>
      <c r="L184" s="6">
        <v>141280</v>
      </c>
      <c r="M184" s="6">
        <v>63430</v>
      </c>
      <c r="N184" s="6">
        <v>77850</v>
      </c>
    </row>
    <row r="185" spans="1:14" x14ac:dyDescent="0.25">
      <c r="A185">
        <v>2027</v>
      </c>
      <c r="B185" s="63" t="s">
        <v>7</v>
      </c>
      <c r="C185" s="1" t="s">
        <v>35</v>
      </c>
      <c r="D185" s="1" t="s">
        <v>572</v>
      </c>
      <c r="E185" t="s">
        <v>247</v>
      </c>
      <c r="F185">
        <v>171</v>
      </c>
      <c r="G185">
        <v>48</v>
      </c>
      <c r="H185">
        <v>219</v>
      </c>
      <c r="I185" s="6">
        <v>21785</v>
      </c>
      <c r="J185">
        <v>533</v>
      </c>
      <c r="K185">
        <v>594</v>
      </c>
      <c r="L185" s="6">
        <v>23131</v>
      </c>
      <c r="M185" s="6">
        <v>21956</v>
      </c>
      <c r="N185" s="6">
        <v>1175</v>
      </c>
    </row>
    <row r="186" spans="1:14" x14ac:dyDescent="0.25">
      <c r="A186">
        <v>2027</v>
      </c>
      <c r="B186" s="1" t="s">
        <v>9</v>
      </c>
      <c r="C186" s="1" t="s">
        <v>37</v>
      </c>
      <c r="D186" s="1" t="s">
        <v>573</v>
      </c>
      <c r="E186" t="s">
        <v>248</v>
      </c>
      <c r="F186">
        <v>340</v>
      </c>
      <c r="G186">
        <v>90</v>
      </c>
      <c r="H186">
        <v>430</v>
      </c>
      <c r="I186" s="6">
        <v>37352</v>
      </c>
      <c r="J186" s="6">
        <v>2983</v>
      </c>
      <c r="K186" s="6">
        <v>3281</v>
      </c>
      <c r="L186" s="6">
        <v>44046</v>
      </c>
      <c r="M186" s="6">
        <v>37692</v>
      </c>
      <c r="N186" s="6">
        <v>6354</v>
      </c>
    </row>
    <row r="187" spans="1:14" x14ac:dyDescent="0.25">
      <c r="A187">
        <v>2027</v>
      </c>
      <c r="B187" s="1" t="s">
        <v>13</v>
      </c>
      <c r="C187" s="1" t="s">
        <v>41</v>
      </c>
      <c r="D187" s="1" t="s">
        <v>574</v>
      </c>
      <c r="E187" t="s">
        <v>249</v>
      </c>
      <c r="F187">
        <v>222</v>
      </c>
      <c r="G187">
        <v>57</v>
      </c>
      <c r="H187">
        <v>279</v>
      </c>
      <c r="I187" s="6">
        <v>12368</v>
      </c>
      <c r="J187">
        <v>0</v>
      </c>
      <c r="K187">
        <v>0</v>
      </c>
      <c r="L187" s="6">
        <v>12647</v>
      </c>
      <c r="M187" s="6">
        <v>12590</v>
      </c>
      <c r="N187">
        <v>57</v>
      </c>
    </row>
    <row r="188" spans="1:14" x14ac:dyDescent="0.25">
      <c r="A188">
        <v>2027</v>
      </c>
      <c r="B188" s="1" t="s">
        <v>12</v>
      </c>
      <c r="C188" s="1" t="s">
        <v>40</v>
      </c>
      <c r="D188" s="1" t="s">
        <v>575</v>
      </c>
      <c r="E188" t="s">
        <v>250</v>
      </c>
      <c r="F188">
        <v>149</v>
      </c>
      <c r="G188">
        <v>40</v>
      </c>
      <c r="H188">
        <v>189</v>
      </c>
      <c r="I188" s="6">
        <v>9437</v>
      </c>
      <c r="J188">
        <v>0</v>
      </c>
      <c r="K188">
        <v>0</v>
      </c>
      <c r="L188" s="6">
        <v>9626</v>
      </c>
      <c r="M188" s="6">
        <v>9586</v>
      </c>
      <c r="N188">
        <v>40</v>
      </c>
    </row>
    <row r="189" spans="1:14" x14ac:dyDescent="0.25">
      <c r="A189">
        <v>2027</v>
      </c>
      <c r="B189" s="1" t="s">
        <v>13</v>
      </c>
      <c r="C189" s="1" t="s">
        <v>41</v>
      </c>
      <c r="D189" s="1" t="s">
        <v>576</v>
      </c>
      <c r="E189" t="s">
        <v>251</v>
      </c>
      <c r="F189">
        <v>141</v>
      </c>
      <c r="G189">
        <v>36</v>
      </c>
      <c r="H189">
        <v>177</v>
      </c>
      <c r="I189" s="6">
        <v>7839</v>
      </c>
      <c r="J189">
        <v>66</v>
      </c>
      <c r="K189">
        <v>73</v>
      </c>
      <c r="L189" s="6">
        <v>8155</v>
      </c>
      <c r="M189" s="6">
        <v>7980</v>
      </c>
      <c r="N189">
        <v>175</v>
      </c>
    </row>
    <row r="190" spans="1:14" x14ac:dyDescent="0.25">
      <c r="A190">
        <v>2027</v>
      </c>
      <c r="B190" s="1" t="s">
        <v>13</v>
      </c>
      <c r="C190" s="1" t="s">
        <v>41</v>
      </c>
      <c r="D190" s="1" t="s">
        <v>577</v>
      </c>
      <c r="E190" t="s">
        <v>252</v>
      </c>
      <c r="F190">
        <v>146</v>
      </c>
      <c r="G190">
        <v>38</v>
      </c>
      <c r="H190">
        <v>184</v>
      </c>
      <c r="I190" s="6">
        <v>8160</v>
      </c>
      <c r="J190">
        <v>0</v>
      </c>
      <c r="K190">
        <v>0</v>
      </c>
      <c r="L190" s="6">
        <v>8344</v>
      </c>
      <c r="M190" s="6">
        <v>8306</v>
      </c>
      <c r="N190">
        <v>38</v>
      </c>
    </row>
    <row r="191" spans="1:14" x14ac:dyDescent="0.25">
      <c r="A191">
        <v>2027</v>
      </c>
      <c r="B191" s="1" t="s">
        <v>12</v>
      </c>
      <c r="C191" s="1" t="s">
        <v>40</v>
      </c>
      <c r="D191" s="1" t="s">
        <v>578</v>
      </c>
      <c r="E191" t="s">
        <v>253</v>
      </c>
      <c r="F191">
        <v>374</v>
      </c>
      <c r="G191">
        <v>100</v>
      </c>
      <c r="H191">
        <v>474</v>
      </c>
      <c r="I191" s="6">
        <v>24536</v>
      </c>
      <c r="J191">
        <v>0</v>
      </c>
      <c r="K191">
        <v>0</v>
      </c>
      <c r="L191" s="6">
        <v>25010</v>
      </c>
      <c r="M191" s="6">
        <v>24910</v>
      </c>
      <c r="N191">
        <v>100</v>
      </c>
    </row>
    <row r="192" spans="1:14" x14ac:dyDescent="0.25">
      <c r="A192">
        <v>2027</v>
      </c>
      <c r="B192" s="1" t="s">
        <v>13</v>
      </c>
      <c r="C192" s="1" t="s">
        <v>41</v>
      </c>
      <c r="D192" s="1" t="s">
        <v>579</v>
      </c>
      <c r="E192" t="s">
        <v>254</v>
      </c>
      <c r="F192" s="6">
        <v>1228</v>
      </c>
      <c r="G192">
        <v>317</v>
      </c>
      <c r="H192" s="6">
        <v>1545</v>
      </c>
      <c r="I192" s="6">
        <v>69555</v>
      </c>
      <c r="J192" s="6">
        <v>1657</v>
      </c>
      <c r="K192" s="6">
        <v>1822</v>
      </c>
      <c r="L192" s="6">
        <v>74579</v>
      </c>
      <c r="M192" s="6">
        <v>70783</v>
      </c>
      <c r="N192" s="6">
        <v>3796</v>
      </c>
    </row>
    <row r="193" spans="1:14" x14ac:dyDescent="0.25">
      <c r="A193">
        <v>2027</v>
      </c>
      <c r="B193" s="1" t="s">
        <v>9</v>
      </c>
      <c r="C193" s="1" t="s">
        <v>37</v>
      </c>
      <c r="D193" s="1" t="s">
        <v>580</v>
      </c>
      <c r="E193" t="s">
        <v>255</v>
      </c>
      <c r="F193">
        <v>365</v>
      </c>
      <c r="G193">
        <v>97</v>
      </c>
      <c r="H193">
        <v>462</v>
      </c>
      <c r="I193" s="6">
        <v>39971</v>
      </c>
      <c r="J193" s="6">
        <v>2055</v>
      </c>
      <c r="K193" s="6">
        <v>2260</v>
      </c>
      <c r="L193" s="6">
        <v>44748</v>
      </c>
      <c r="M193" s="6">
        <v>40336</v>
      </c>
      <c r="N193" s="6">
        <v>4412</v>
      </c>
    </row>
    <row r="194" spans="1:14" x14ac:dyDescent="0.25">
      <c r="A194">
        <v>2027</v>
      </c>
      <c r="B194" s="1" t="s">
        <v>12</v>
      </c>
      <c r="C194" s="1" t="s">
        <v>40</v>
      </c>
      <c r="D194" s="1" t="s">
        <v>581</v>
      </c>
      <c r="E194" t="s">
        <v>256</v>
      </c>
      <c r="F194">
        <v>138</v>
      </c>
      <c r="G194">
        <v>36</v>
      </c>
      <c r="H194">
        <v>174</v>
      </c>
      <c r="I194" s="6">
        <v>9088</v>
      </c>
      <c r="J194">
        <v>66</v>
      </c>
      <c r="K194">
        <v>73</v>
      </c>
      <c r="L194" s="6">
        <v>9401</v>
      </c>
      <c r="M194" s="6">
        <v>9226</v>
      </c>
      <c r="N194">
        <v>175</v>
      </c>
    </row>
    <row r="195" spans="1:14" x14ac:dyDescent="0.25">
      <c r="A195">
        <v>2027</v>
      </c>
      <c r="B195" s="63" t="s">
        <v>8</v>
      </c>
      <c r="C195" s="1" t="s">
        <v>36</v>
      </c>
      <c r="D195" s="1" t="s">
        <v>582</v>
      </c>
      <c r="E195" t="s">
        <v>257</v>
      </c>
      <c r="F195" s="6">
        <v>2344</v>
      </c>
      <c r="G195">
        <v>634</v>
      </c>
      <c r="H195" s="6">
        <v>2978</v>
      </c>
      <c r="I195" s="6">
        <v>163170</v>
      </c>
      <c r="J195" s="6">
        <v>19103</v>
      </c>
      <c r="K195" s="6">
        <v>20895</v>
      </c>
      <c r="L195" s="6">
        <v>206146</v>
      </c>
      <c r="M195" s="6">
        <v>165514</v>
      </c>
      <c r="N195" s="6">
        <v>40632</v>
      </c>
    </row>
    <row r="196" spans="1:14" x14ac:dyDescent="0.25">
      <c r="A196">
        <v>2027</v>
      </c>
      <c r="B196" s="63" t="s">
        <v>7</v>
      </c>
      <c r="C196" s="1" t="s">
        <v>35</v>
      </c>
      <c r="D196" s="1" t="s">
        <v>583</v>
      </c>
      <c r="E196" t="s">
        <v>258</v>
      </c>
      <c r="F196">
        <v>225</v>
      </c>
      <c r="G196">
        <v>63</v>
      </c>
      <c r="H196">
        <v>288</v>
      </c>
      <c r="I196" s="6">
        <v>28957</v>
      </c>
      <c r="J196">
        <v>799</v>
      </c>
      <c r="K196" s="6">
        <v>891</v>
      </c>
      <c r="L196" s="6">
        <v>30935</v>
      </c>
      <c r="M196" s="6">
        <v>29182</v>
      </c>
      <c r="N196" s="6">
        <v>1753</v>
      </c>
    </row>
    <row r="197" spans="1:14" x14ac:dyDescent="0.25">
      <c r="A197">
        <v>2027</v>
      </c>
      <c r="B197" s="1" t="s">
        <v>10</v>
      </c>
      <c r="C197" s="1" t="s">
        <v>38</v>
      </c>
      <c r="D197" s="1" t="s">
        <v>584</v>
      </c>
      <c r="E197" t="s">
        <v>259</v>
      </c>
      <c r="F197">
        <v>230</v>
      </c>
      <c r="G197">
        <v>55</v>
      </c>
      <c r="H197">
        <v>285</v>
      </c>
      <c r="I197" s="6">
        <v>46256</v>
      </c>
      <c r="J197" s="6">
        <v>1456</v>
      </c>
      <c r="K197" s="6">
        <v>1600</v>
      </c>
      <c r="L197" s="6">
        <v>49597</v>
      </c>
      <c r="M197" s="6">
        <v>46486</v>
      </c>
      <c r="N197" s="6">
        <v>3111</v>
      </c>
    </row>
    <row r="198" spans="1:14" x14ac:dyDescent="0.25">
      <c r="A198">
        <v>2027</v>
      </c>
      <c r="B198" s="63" t="s">
        <v>5</v>
      </c>
      <c r="C198" s="1" t="s">
        <v>33</v>
      </c>
      <c r="D198" s="1" t="s">
        <v>585</v>
      </c>
      <c r="E198" t="s">
        <v>260</v>
      </c>
      <c r="F198">
        <v>790</v>
      </c>
      <c r="G198">
        <v>251</v>
      </c>
      <c r="H198" s="6">
        <v>1041</v>
      </c>
      <c r="I198" s="6">
        <v>39809</v>
      </c>
      <c r="J198" s="6">
        <v>5192</v>
      </c>
      <c r="K198" s="6">
        <v>5782</v>
      </c>
      <c r="L198" s="6">
        <v>51824</v>
      </c>
      <c r="M198" s="6">
        <v>40599</v>
      </c>
      <c r="N198" s="6">
        <v>11225</v>
      </c>
    </row>
    <row r="199" spans="1:14" x14ac:dyDescent="0.25">
      <c r="A199">
        <v>2027</v>
      </c>
      <c r="B199" s="1" t="s">
        <v>13</v>
      </c>
      <c r="C199" s="1" t="s">
        <v>41</v>
      </c>
      <c r="D199" s="1" t="s">
        <v>586</v>
      </c>
      <c r="E199" t="s">
        <v>261</v>
      </c>
      <c r="F199">
        <v>374</v>
      </c>
      <c r="G199">
        <v>96</v>
      </c>
      <c r="H199">
        <v>470</v>
      </c>
      <c r="I199" s="6">
        <v>21362</v>
      </c>
      <c r="J199" s="6">
        <v>1259</v>
      </c>
      <c r="K199" s="6">
        <v>1385</v>
      </c>
      <c r="L199" s="6">
        <v>24476</v>
      </c>
      <c r="M199" s="6">
        <v>21736</v>
      </c>
      <c r="N199" s="6">
        <v>2740</v>
      </c>
    </row>
    <row r="200" spans="1:14" x14ac:dyDescent="0.25">
      <c r="A200">
        <v>2027</v>
      </c>
      <c r="B200" s="63" t="s">
        <v>6</v>
      </c>
      <c r="C200" s="1" t="s">
        <v>34</v>
      </c>
      <c r="D200" s="1" t="s">
        <v>587</v>
      </c>
      <c r="E200" t="s">
        <v>262</v>
      </c>
      <c r="F200">
        <v>0</v>
      </c>
      <c r="G200">
        <v>0</v>
      </c>
      <c r="H200">
        <v>0</v>
      </c>
      <c r="I200" s="6">
        <v>19066</v>
      </c>
      <c r="J200" s="6">
        <v>800</v>
      </c>
      <c r="K200" s="6">
        <v>895</v>
      </c>
      <c r="L200" s="6">
        <v>20761</v>
      </c>
      <c r="M200" s="6">
        <v>19066</v>
      </c>
      <c r="N200" s="6">
        <v>1695</v>
      </c>
    </row>
    <row r="201" spans="1:14" x14ac:dyDescent="0.25">
      <c r="A201">
        <v>2027</v>
      </c>
      <c r="B201" s="1" t="s">
        <v>10</v>
      </c>
      <c r="C201" s="1" t="s">
        <v>38</v>
      </c>
      <c r="D201" s="1" t="s">
        <v>588</v>
      </c>
      <c r="E201" t="s">
        <v>263</v>
      </c>
      <c r="F201">
        <v>506</v>
      </c>
      <c r="G201">
        <v>120</v>
      </c>
      <c r="H201">
        <v>626</v>
      </c>
      <c r="I201" s="6">
        <v>100583</v>
      </c>
      <c r="J201" s="6">
        <v>7211</v>
      </c>
      <c r="K201" s="6">
        <v>7926</v>
      </c>
      <c r="L201" s="6">
        <v>116346</v>
      </c>
      <c r="M201" s="6">
        <v>101089</v>
      </c>
      <c r="N201" s="6">
        <v>15257</v>
      </c>
    </row>
    <row r="202" spans="1:14" x14ac:dyDescent="0.25">
      <c r="A202">
        <v>2027</v>
      </c>
      <c r="B202" s="1" t="s">
        <v>12</v>
      </c>
      <c r="C202" s="1" t="s">
        <v>40</v>
      </c>
      <c r="D202" s="1" t="s">
        <v>589</v>
      </c>
      <c r="E202" t="s">
        <v>264</v>
      </c>
      <c r="F202">
        <v>500</v>
      </c>
      <c r="G202">
        <v>134</v>
      </c>
      <c r="H202">
        <v>634</v>
      </c>
      <c r="I202" s="6">
        <v>31829</v>
      </c>
      <c r="J202" s="6">
        <v>1790</v>
      </c>
      <c r="K202" s="6">
        <v>1979</v>
      </c>
      <c r="L202" s="6">
        <v>36232</v>
      </c>
      <c r="M202" s="6">
        <v>32329</v>
      </c>
      <c r="N202" s="6">
        <v>3903</v>
      </c>
    </row>
    <row r="203" spans="1:14" x14ac:dyDescent="0.25">
      <c r="A203">
        <v>2027</v>
      </c>
      <c r="B203" s="63" t="s">
        <v>7</v>
      </c>
      <c r="C203" s="1" t="s">
        <v>35</v>
      </c>
      <c r="D203" s="63" t="s">
        <v>590</v>
      </c>
      <c r="E203" t="s">
        <v>265</v>
      </c>
      <c r="F203">
        <v>200</v>
      </c>
      <c r="G203">
        <v>55</v>
      </c>
      <c r="H203">
        <v>255</v>
      </c>
      <c r="I203" s="6">
        <v>26333</v>
      </c>
      <c r="J203">
        <v>200</v>
      </c>
      <c r="K203">
        <v>223</v>
      </c>
      <c r="L203" s="6">
        <v>27011</v>
      </c>
      <c r="M203" s="6">
        <v>26533</v>
      </c>
      <c r="N203">
        <v>478</v>
      </c>
    </row>
    <row r="204" spans="1:14" x14ac:dyDescent="0.25">
      <c r="A204">
        <v>2027</v>
      </c>
      <c r="B204" s="1" t="s">
        <v>9</v>
      </c>
      <c r="C204" s="1" t="s">
        <v>37</v>
      </c>
      <c r="D204" s="1" t="s">
        <v>591</v>
      </c>
      <c r="E204" t="s">
        <v>266</v>
      </c>
      <c r="F204">
        <v>242</v>
      </c>
      <c r="G204">
        <v>63</v>
      </c>
      <c r="H204">
        <v>305</v>
      </c>
      <c r="I204" s="6">
        <v>26999</v>
      </c>
      <c r="J204">
        <v>66</v>
      </c>
      <c r="K204">
        <v>73</v>
      </c>
      <c r="L204" s="6">
        <v>27443</v>
      </c>
      <c r="M204" s="6">
        <v>27241</v>
      </c>
      <c r="N204">
        <v>202</v>
      </c>
    </row>
    <row r="205" spans="1:14" x14ac:dyDescent="0.25">
      <c r="A205">
        <v>2027</v>
      </c>
      <c r="B205" s="63" t="s">
        <v>5</v>
      </c>
      <c r="C205" s="1" t="s">
        <v>33</v>
      </c>
      <c r="D205" s="1" t="s">
        <v>592</v>
      </c>
      <c r="E205" t="s">
        <v>267</v>
      </c>
      <c r="F205">
        <v>947</v>
      </c>
      <c r="G205">
        <v>301</v>
      </c>
      <c r="H205" s="6">
        <v>1248</v>
      </c>
      <c r="I205" s="6">
        <v>47681</v>
      </c>
      <c r="J205">
        <v>200</v>
      </c>
      <c r="K205">
        <v>222</v>
      </c>
      <c r="L205" s="6">
        <v>49351</v>
      </c>
      <c r="M205" s="6">
        <v>48628</v>
      </c>
      <c r="N205">
        <v>723</v>
      </c>
    </row>
    <row r="206" spans="1:14" x14ac:dyDescent="0.25">
      <c r="A206">
        <v>2027</v>
      </c>
      <c r="B206" s="63" t="s">
        <v>7</v>
      </c>
      <c r="C206" s="1" t="s">
        <v>35</v>
      </c>
      <c r="D206" s="63" t="s">
        <v>593</v>
      </c>
      <c r="E206" t="s">
        <v>268</v>
      </c>
      <c r="F206">
        <v>177</v>
      </c>
      <c r="G206">
        <v>49</v>
      </c>
      <c r="H206">
        <v>226</v>
      </c>
      <c r="I206" s="6">
        <v>22715</v>
      </c>
      <c r="J206">
        <v>67</v>
      </c>
      <c r="K206">
        <v>74</v>
      </c>
      <c r="L206" s="6">
        <v>23082</v>
      </c>
      <c r="M206" s="6">
        <v>22892</v>
      </c>
      <c r="N206">
        <v>190</v>
      </c>
    </row>
    <row r="207" spans="1:14" x14ac:dyDescent="0.25">
      <c r="A207">
        <v>2027</v>
      </c>
      <c r="B207" s="63" t="s">
        <v>6</v>
      </c>
      <c r="C207" s="1" t="s">
        <v>34</v>
      </c>
      <c r="D207" s="1" t="s">
        <v>594</v>
      </c>
      <c r="E207" t="s">
        <v>269</v>
      </c>
      <c r="F207">
        <v>0</v>
      </c>
      <c r="G207">
        <v>0</v>
      </c>
      <c r="H207">
        <v>0</v>
      </c>
      <c r="I207" s="6">
        <v>10470</v>
      </c>
      <c r="J207" s="6">
        <v>1599</v>
      </c>
      <c r="K207" s="6">
        <v>1790</v>
      </c>
      <c r="L207" s="6">
        <v>13859</v>
      </c>
      <c r="M207" s="6">
        <v>10470</v>
      </c>
      <c r="N207" s="6">
        <v>3389</v>
      </c>
    </row>
    <row r="208" spans="1:14" x14ac:dyDescent="0.25">
      <c r="A208">
        <v>2027</v>
      </c>
      <c r="B208" s="1" t="s">
        <v>9</v>
      </c>
      <c r="C208" s="1" t="s">
        <v>37</v>
      </c>
      <c r="D208" s="1" t="s">
        <v>595</v>
      </c>
      <c r="E208" t="s">
        <v>270</v>
      </c>
      <c r="F208">
        <v>188</v>
      </c>
      <c r="G208">
        <v>50</v>
      </c>
      <c r="H208">
        <v>238</v>
      </c>
      <c r="I208" s="6">
        <v>20644</v>
      </c>
      <c r="J208">
        <v>398</v>
      </c>
      <c r="K208">
        <v>437</v>
      </c>
      <c r="L208" s="6">
        <v>21717</v>
      </c>
      <c r="M208" s="6">
        <v>20832</v>
      </c>
      <c r="N208">
        <v>885</v>
      </c>
    </row>
    <row r="209" spans="1:14" x14ac:dyDescent="0.25">
      <c r="A209">
        <v>2027</v>
      </c>
      <c r="B209" s="1" t="s">
        <v>13</v>
      </c>
      <c r="C209" s="1" t="s">
        <v>41</v>
      </c>
      <c r="D209" s="1" t="s">
        <v>596</v>
      </c>
      <c r="E209" t="s">
        <v>271</v>
      </c>
      <c r="F209">
        <v>318</v>
      </c>
      <c r="G209">
        <v>81</v>
      </c>
      <c r="H209">
        <v>399</v>
      </c>
      <c r="I209" s="6">
        <v>18299</v>
      </c>
      <c r="J209" s="6">
        <v>2518</v>
      </c>
      <c r="K209" s="6">
        <v>2769</v>
      </c>
      <c r="L209" s="6">
        <v>23985</v>
      </c>
      <c r="M209" s="6">
        <v>18617</v>
      </c>
      <c r="N209" s="6">
        <v>5368</v>
      </c>
    </row>
    <row r="210" spans="1:14" x14ac:dyDescent="0.25">
      <c r="A210">
        <v>2027</v>
      </c>
      <c r="B210" s="1" t="s">
        <v>10</v>
      </c>
      <c r="C210" s="1" t="s">
        <v>38</v>
      </c>
      <c r="D210" s="1" t="s">
        <v>597</v>
      </c>
      <c r="E210" t="s">
        <v>272</v>
      </c>
      <c r="F210">
        <v>354</v>
      </c>
      <c r="G210">
        <v>85</v>
      </c>
      <c r="H210">
        <v>439</v>
      </c>
      <c r="I210" s="6">
        <v>70760</v>
      </c>
      <c r="J210" s="6">
        <v>4631</v>
      </c>
      <c r="K210" s="6">
        <v>5090</v>
      </c>
      <c r="L210" s="6">
        <v>80920</v>
      </c>
      <c r="M210" s="6">
        <v>71114</v>
      </c>
      <c r="N210" s="6">
        <v>9806</v>
      </c>
    </row>
    <row r="211" spans="1:14" x14ac:dyDescent="0.25">
      <c r="A211">
        <v>2027</v>
      </c>
      <c r="B211" s="63" t="s">
        <v>8</v>
      </c>
      <c r="C211" s="1" t="s">
        <v>36</v>
      </c>
      <c r="D211" s="1" t="s">
        <v>598</v>
      </c>
      <c r="E211" t="s">
        <v>273</v>
      </c>
      <c r="F211" s="6">
        <v>1506</v>
      </c>
      <c r="G211">
        <v>408</v>
      </c>
      <c r="H211" s="6">
        <v>1914</v>
      </c>
      <c r="I211" s="6">
        <v>105215</v>
      </c>
      <c r="J211" s="6">
        <v>6346</v>
      </c>
      <c r="K211" s="6">
        <v>6941</v>
      </c>
      <c r="L211" s="6">
        <v>120416</v>
      </c>
      <c r="M211" s="6">
        <v>106721</v>
      </c>
      <c r="N211" s="6">
        <v>13695</v>
      </c>
    </row>
    <row r="212" spans="1:14" x14ac:dyDescent="0.25">
      <c r="A212">
        <v>2027</v>
      </c>
      <c r="B212" s="63" t="s">
        <v>7</v>
      </c>
      <c r="C212" s="1" t="s">
        <v>35</v>
      </c>
      <c r="D212" s="1" t="s">
        <v>599</v>
      </c>
      <c r="E212" t="s">
        <v>274</v>
      </c>
      <c r="F212">
        <v>180</v>
      </c>
      <c r="G212">
        <v>50</v>
      </c>
      <c r="H212">
        <v>230</v>
      </c>
      <c r="I212" s="6">
        <v>23070</v>
      </c>
      <c r="J212">
        <v>666</v>
      </c>
      <c r="K212">
        <v>742</v>
      </c>
      <c r="L212" s="6">
        <v>24708</v>
      </c>
      <c r="M212" s="6">
        <v>23250</v>
      </c>
      <c r="N212" s="6">
        <v>1458</v>
      </c>
    </row>
    <row r="213" spans="1:14" x14ac:dyDescent="0.25">
      <c r="A213">
        <v>2027</v>
      </c>
      <c r="B213" s="63" t="s">
        <v>6</v>
      </c>
      <c r="C213" s="1" t="s">
        <v>34</v>
      </c>
      <c r="D213" s="63" t="s">
        <v>600</v>
      </c>
      <c r="E213" t="s">
        <v>275</v>
      </c>
      <c r="F213">
        <v>0</v>
      </c>
      <c r="G213">
        <v>0</v>
      </c>
      <c r="H213">
        <v>0</v>
      </c>
      <c r="I213" s="6">
        <v>16658</v>
      </c>
      <c r="J213" s="6">
        <v>1133</v>
      </c>
      <c r="K213" s="6">
        <v>1268</v>
      </c>
      <c r="L213" s="6">
        <v>19059</v>
      </c>
      <c r="M213" s="6">
        <v>16658</v>
      </c>
      <c r="N213" s="6">
        <v>2401</v>
      </c>
    </row>
    <row r="214" spans="1:14" x14ac:dyDescent="0.25">
      <c r="A214">
        <v>2027</v>
      </c>
      <c r="B214" s="63" t="s">
        <v>8</v>
      </c>
      <c r="C214" s="1" t="s">
        <v>36</v>
      </c>
      <c r="D214" s="1" t="s">
        <v>601</v>
      </c>
      <c r="E214" t="s">
        <v>276</v>
      </c>
      <c r="F214">
        <v>250</v>
      </c>
      <c r="G214">
        <v>68</v>
      </c>
      <c r="H214">
        <v>318</v>
      </c>
      <c r="I214" s="6">
        <v>17891</v>
      </c>
      <c r="J214">
        <v>397</v>
      </c>
      <c r="K214">
        <v>434</v>
      </c>
      <c r="L214" s="6">
        <v>19040</v>
      </c>
      <c r="M214" s="6">
        <v>18141</v>
      </c>
      <c r="N214">
        <v>899</v>
      </c>
    </row>
    <row r="215" spans="1:14" x14ac:dyDescent="0.25">
      <c r="A215">
        <v>2027</v>
      </c>
      <c r="B215" s="63" t="s">
        <v>7</v>
      </c>
      <c r="C215" s="1" t="s">
        <v>35</v>
      </c>
      <c r="D215" s="1" t="s">
        <v>602</v>
      </c>
      <c r="E215" t="s">
        <v>277</v>
      </c>
      <c r="F215">
        <v>200</v>
      </c>
      <c r="G215">
        <v>55</v>
      </c>
      <c r="H215">
        <v>255</v>
      </c>
      <c r="I215" s="6">
        <v>25402</v>
      </c>
      <c r="J215">
        <v>0</v>
      </c>
      <c r="K215">
        <v>0</v>
      </c>
      <c r="L215" s="6">
        <v>25657</v>
      </c>
      <c r="M215" s="6">
        <v>25602</v>
      </c>
      <c r="N215">
        <v>55</v>
      </c>
    </row>
    <row r="216" spans="1:14" x14ac:dyDescent="0.25">
      <c r="A216">
        <v>2027</v>
      </c>
      <c r="B216" s="1" t="s">
        <v>10</v>
      </c>
      <c r="C216" s="1" t="s">
        <v>38</v>
      </c>
      <c r="D216" s="1" t="s">
        <v>603</v>
      </c>
      <c r="E216" t="s">
        <v>278</v>
      </c>
      <c r="F216">
        <v>584</v>
      </c>
      <c r="G216">
        <v>140</v>
      </c>
      <c r="H216">
        <v>724</v>
      </c>
      <c r="I216" s="6">
        <v>116661</v>
      </c>
      <c r="J216" s="6">
        <v>14224</v>
      </c>
      <c r="K216" s="6">
        <v>15635</v>
      </c>
      <c r="L216" s="6">
        <v>147244</v>
      </c>
      <c r="M216" s="6">
        <v>117245</v>
      </c>
      <c r="N216" s="6">
        <v>29999</v>
      </c>
    </row>
    <row r="217" spans="1:14" x14ac:dyDescent="0.25">
      <c r="A217">
        <v>2027</v>
      </c>
      <c r="B217" s="1" t="s">
        <v>11</v>
      </c>
      <c r="C217" s="1" t="s">
        <v>39</v>
      </c>
      <c r="D217" s="1" t="s">
        <v>604</v>
      </c>
      <c r="E217" t="s">
        <v>279</v>
      </c>
      <c r="F217">
        <v>531</v>
      </c>
      <c r="G217">
        <v>154</v>
      </c>
      <c r="H217">
        <v>685</v>
      </c>
      <c r="I217" s="6">
        <v>37449</v>
      </c>
      <c r="J217" s="6">
        <v>1598</v>
      </c>
      <c r="K217" s="6">
        <v>1788</v>
      </c>
      <c r="L217" s="6">
        <v>41520</v>
      </c>
      <c r="M217" s="6">
        <v>37980</v>
      </c>
      <c r="N217" s="6">
        <v>3540</v>
      </c>
    </row>
    <row r="218" spans="1:14" x14ac:dyDescent="0.25">
      <c r="A218">
        <v>2027</v>
      </c>
      <c r="B218" s="63" t="s">
        <v>5</v>
      </c>
      <c r="C218" s="1" t="s">
        <v>33</v>
      </c>
      <c r="D218" s="1" t="s">
        <v>605</v>
      </c>
      <c r="E218" t="s">
        <v>280</v>
      </c>
      <c r="F218" s="6">
        <v>1079</v>
      </c>
      <c r="G218">
        <v>343</v>
      </c>
      <c r="H218" s="6">
        <v>1422</v>
      </c>
      <c r="I218" s="6">
        <v>54726</v>
      </c>
      <c r="J218">
        <v>599</v>
      </c>
      <c r="K218">
        <v>667</v>
      </c>
      <c r="L218" s="6">
        <v>57414</v>
      </c>
      <c r="M218" s="6">
        <v>55805</v>
      </c>
      <c r="N218" s="6">
        <v>1609</v>
      </c>
    </row>
    <row r="219" spans="1:14" x14ac:dyDescent="0.25">
      <c r="A219">
        <v>2027</v>
      </c>
      <c r="B219" s="1" t="s">
        <v>10</v>
      </c>
      <c r="C219" s="1" t="s">
        <v>38</v>
      </c>
      <c r="D219" s="1" t="s">
        <v>606</v>
      </c>
      <c r="E219" t="s">
        <v>281</v>
      </c>
      <c r="F219">
        <v>84</v>
      </c>
      <c r="G219">
        <v>20</v>
      </c>
      <c r="H219">
        <v>104</v>
      </c>
      <c r="I219" s="6">
        <v>17098</v>
      </c>
      <c r="J219" s="6">
        <v>1588</v>
      </c>
      <c r="K219" s="6">
        <v>1745</v>
      </c>
      <c r="L219" s="6">
        <v>20535</v>
      </c>
      <c r="M219" s="6">
        <v>17182</v>
      </c>
      <c r="N219" s="6">
        <v>3353</v>
      </c>
    </row>
    <row r="220" spans="1:14" x14ac:dyDescent="0.25">
      <c r="A220">
        <v>2027</v>
      </c>
      <c r="B220" s="63" t="s">
        <v>6</v>
      </c>
      <c r="C220" s="1" t="s">
        <v>34</v>
      </c>
      <c r="D220" s="1" t="s">
        <v>607</v>
      </c>
      <c r="E220" t="s">
        <v>282</v>
      </c>
      <c r="F220">
        <v>0</v>
      </c>
      <c r="G220">
        <v>0</v>
      </c>
      <c r="H220">
        <v>0</v>
      </c>
      <c r="I220" s="6">
        <v>43600</v>
      </c>
      <c r="J220">
        <v>933</v>
      </c>
      <c r="K220" s="6">
        <v>1044</v>
      </c>
      <c r="L220" s="6">
        <v>45577</v>
      </c>
      <c r="M220" s="6">
        <v>43600</v>
      </c>
      <c r="N220" s="6">
        <v>1977</v>
      </c>
    </row>
    <row r="221" spans="1:14" x14ac:dyDescent="0.25">
      <c r="A221">
        <v>2027</v>
      </c>
      <c r="B221" s="1" t="s">
        <v>9</v>
      </c>
      <c r="C221" s="1" t="s">
        <v>37</v>
      </c>
      <c r="D221" s="1" t="s">
        <v>608</v>
      </c>
      <c r="E221" t="s">
        <v>283</v>
      </c>
      <c r="F221">
        <v>65</v>
      </c>
      <c r="G221">
        <v>17</v>
      </c>
      <c r="H221">
        <v>82</v>
      </c>
      <c r="I221" s="6">
        <v>7370</v>
      </c>
      <c r="J221">
        <v>530</v>
      </c>
      <c r="K221">
        <v>583</v>
      </c>
      <c r="L221" s="6">
        <v>8565</v>
      </c>
      <c r="M221" s="6">
        <v>7435</v>
      </c>
      <c r="N221" s="6">
        <v>1130</v>
      </c>
    </row>
    <row r="222" spans="1:14" x14ac:dyDescent="0.25">
      <c r="A222">
        <v>2027</v>
      </c>
      <c r="B222" s="1" t="s">
        <v>7</v>
      </c>
      <c r="C222" s="1" t="s">
        <v>35</v>
      </c>
      <c r="D222" s="1" t="s">
        <v>610</v>
      </c>
      <c r="E222" t="s">
        <v>285</v>
      </c>
      <c r="F222">
        <v>329</v>
      </c>
      <c r="G222">
        <v>92</v>
      </c>
      <c r="H222">
        <v>421</v>
      </c>
      <c r="I222" s="6">
        <v>42045</v>
      </c>
      <c r="J222">
        <v>200</v>
      </c>
      <c r="K222">
        <v>223</v>
      </c>
      <c r="L222" s="6">
        <v>42889</v>
      </c>
      <c r="M222" s="6">
        <v>42374</v>
      </c>
      <c r="N222">
        <v>515</v>
      </c>
    </row>
    <row r="223" spans="1:14" x14ac:dyDescent="0.25">
      <c r="A223">
        <v>2027</v>
      </c>
      <c r="B223" s="63" t="s">
        <v>13</v>
      </c>
      <c r="C223" s="1" t="s">
        <v>41</v>
      </c>
      <c r="D223" s="1" t="s">
        <v>611</v>
      </c>
      <c r="E223" t="s">
        <v>286</v>
      </c>
      <c r="F223" s="6">
        <v>1565</v>
      </c>
      <c r="G223">
        <v>404</v>
      </c>
      <c r="H223" s="6">
        <v>1969</v>
      </c>
      <c r="I223" s="6">
        <v>87497</v>
      </c>
      <c r="J223" s="6">
        <v>13451</v>
      </c>
      <c r="K223" s="6">
        <v>14793</v>
      </c>
      <c r="L223" s="6">
        <v>117710</v>
      </c>
      <c r="M223" s="6">
        <v>89062</v>
      </c>
      <c r="N223" s="6">
        <v>28648</v>
      </c>
    </row>
    <row r="224" spans="1:14" x14ac:dyDescent="0.25">
      <c r="A224">
        <v>2027</v>
      </c>
      <c r="B224" s="1" t="s">
        <v>13</v>
      </c>
      <c r="C224" s="1" t="s">
        <v>41</v>
      </c>
      <c r="D224" s="1" t="s">
        <v>612</v>
      </c>
      <c r="E224" t="s">
        <v>287</v>
      </c>
      <c r="F224" s="6">
        <v>3667</v>
      </c>
      <c r="G224">
        <v>946</v>
      </c>
      <c r="H224" s="6">
        <v>4613</v>
      </c>
      <c r="I224" s="6">
        <v>205435</v>
      </c>
      <c r="J224" s="6">
        <v>12788</v>
      </c>
      <c r="K224" s="6">
        <v>14064</v>
      </c>
      <c r="L224" s="6">
        <v>236900</v>
      </c>
      <c r="M224" s="6">
        <v>209102</v>
      </c>
      <c r="N224" s="6">
        <v>27798</v>
      </c>
    </row>
    <row r="225" spans="1:14" x14ac:dyDescent="0.25">
      <c r="A225">
        <v>2027</v>
      </c>
      <c r="B225" s="1" t="s">
        <v>10</v>
      </c>
      <c r="C225" s="1" t="s">
        <v>38</v>
      </c>
      <c r="D225" s="1" t="s">
        <v>613</v>
      </c>
      <c r="E225" t="s">
        <v>288</v>
      </c>
      <c r="F225" s="6">
        <v>110</v>
      </c>
      <c r="G225">
        <v>26</v>
      </c>
      <c r="H225" s="6">
        <v>136</v>
      </c>
      <c r="I225" s="6">
        <v>21870</v>
      </c>
      <c r="J225" s="6">
        <v>265</v>
      </c>
      <c r="K225" s="6">
        <v>291</v>
      </c>
      <c r="L225" s="6">
        <v>22562</v>
      </c>
      <c r="M225" s="6">
        <v>21980</v>
      </c>
      <c r="N225" s="6">
        <v>582</v>
      </c>
    </row>
    <row r="226" spans="1:14" x14ac:dyDescent="0.25">
      <c r="A226">
        <v>2027</v>
      </c>
      <c r="B226" s="1" t="s">
        <v>6</v>
      </c>
      <c r="C226" s="1" t="s">
        <v>34</v>
      </c>
      <c r="D226" s="1" t="s">
        <v>614</v>
      </c>
      <c r="E226" t="s">
        <v>289</v>
      </c>
      <c r="F226">
        <v>0</v>
      </c>
      <c r="G226">
        <v>0</v>
      </c>
      <c r="H226">
        <v>0</v>
      </c>
      <c r="I226" s="6">
        <v>7700</v>
      </c>
      <c r="J226">
        <v>267</v>
      </c>
      <c r="K226">
        <v>298</v>
      </c>
      <c r="L226" s="6">
        <v>8265</v>
      </c>
      <c r="M226" s="6">
        <v>7700</v>
      </c>
      <c r="N226">
        <v>565</v>
      </c>
    </row>
    <row r="227" spans="1:14" x14ac:dyDescent="0.25">
      <c r="A227">
        <v>2027</v>
      </c>
      <c r="B227" s="63" t="s">
        <v>10</v>
      </c>
      <c r="C227" s="1" t="s">
        <v>38</v>
      </c>
      <c r="D227" s="1" t="s">
        <v>615</v>
      </c>
      <c r="E227" t="s">
        <v>290</v>
      </c>
      <c r="F227">
        <v>157</v>
      </c>
      <c r="G227">
        <v>38</v>
      </c>
      <c r="H227">
        <v>195</v>
      </c>
      <c r="I227" s="6">
        <v>32085</v>
      </c>
      <c r="J227" s="6">
        <v>1588</v>
      </c>
      <c r="K227" s="6">
        <v>1745</v>
      </c>
      <c r="L227" s="6">
        <v>35613</v>
      </c>
      <c r="M227" s="6">
        <v>32242</v>
      </c>
      <c r="N227" s="6">
        <v>3371</v>
      </c>
    </row>
    <row r="228" spans="1:14" x14ac:dyDescent="0.25">
      <c r="A228">
        <v>2027</v>
      </c>
      <c r="B228" s="1" t="s">
        <v>13</v>
      </c>
      <c r="C228" s="1" t="s">
        <v>41</v>
      </c>
      <c r="D228" s="1" t="s">
        <v>616</v>
      </c>
      <c r="E228" t="s">
        <v>291</v>
      </c>
      <c r="F228">
        <v>377</v>
      </c>
      <c r="G228">
        <v>97</v>
      </c>
      <c r="H228">
        <v>474</v>
      </c>
      <c r="I228" s="6">
        <v>20985</v>
      </c>
      <c r="J228" s="6">
        <v>1723</v>
      </c>
      <c r="K228" s="6">
        <v>1895</v>
      </c>
      <c r="L228" s="6">
        <v>25077</v>
      </c>
      <c r="M228" s="6">
        <v>21362</v>
      </c>
      <c r="N228" s="6">
        <v>3715</v>
      </c>
    </row>
    <row r="229" spans="1:14" x14ac:dyDescent="0.25">
      <c r="A229">
        <v>2027</v>
      </c>
      <c r="B229" s="1" t="s">
        <v>10</v>
      </c>
      <c r="C229" s="1" t="s">
        <v>38</v>
      </c>
      <c r="D229" s="1" t="s">
        <v>617</v>
      </c>
      <c r="E229" t="s">
        <v>292</v>
      </c>
      <c r="F229">
        <v>354</v>
      </c>
      <c r="G229">
        <v>85</v>
      </c>
      <c r="H229">
        <v>439</v>
      </c>
      <c r="I229" s="6">
        <v>70538</v>
      </c>
      <c r="J229" s="6">
        <v>42806</v>
      </c>
      <c r="K229" s="6">
        <v>47050</v>
      </c>
      <c r="L229" s="6">
        <v>160833</v>
      </c>
      <c r="M229" s="6">
        <v>70892</v>
      </c>
      <c r="N229" s="6">
        <v>89941</v>
      </c>
    </row>
    <row r="230" spans="1:14" x14ac:dyDescent="0.25">
      <c r="A230">
        <v>2027</v>
      </c>
      <c r="B230" s="1" t="s">
        <v>10</v>
      </c>
      <c r="C230" s="1" t="s">
        <v>38</v>
      </c>
      <c r="D230" s="1" t="s">
        <v>618</v>
      </c>
      <c r="E230" t="s">
        <v>293</v>
      </c>
      <c r="F230">
        <v>306</v>
      </c>
      <c r="G230">
        <v>73</v>
      </c>
      <c r="H230">
        <v>379</v>
      </c>
      <c r="I230" s="6">
        <v>62200</v>
      </c>
      <c r="J230" s="6">
        <v>6351</v>
      </c>
      <c r="K230" s="6">
        <v>6981</v>
      </c>
      <c r="L230" s="6">
        <v>75911</v>
      </c>
      <c r="M230" s="6">
        <v>62506</v>
      </c>
      <c r="N230" s="6">
        <v>13405</v>
      </c>
    </row>
    <row r="231" spans="1:14" x14ac:dyDescent="0.25">
      <c r="A231">
        <v>2027</v>
      </c>
      <c r="B231" s="1" t="s">
        <v>8</v>
      </c>
      <c r="C231" s="1" t="s">
        <v>36</v>
      </c>
      <c r="D231" s="1" t="s">
        <v>619</v>
      </c>
      <c r="E231" t="s">
        <v>294</v>
      </c>
      <c r="F231" s="6">
        <v>2802</v>
      </c>
      <c r="G231">
        <v>758</v>
      </c>
      <c r="H231" s="6">
        <v>3560</v>
      </c>
      <c r="I231" s="6">
        <v>195062</v>
      </c>
      <c r="J231" s="6">
        <v>18640</v>
      </c>
      <c r="K231" s="6">
        <v>20389</v>
      </c>
      <c r="L231" s="6">
        <v>237651</v>
      </c>
      <c r="M231" s="6">
        <v>197864</v>
      </c>
      <c r="N231" s="6">
        <v>39787</v>
      </c>
    </row>
    <row r="232" spans="1:14" x14ac:dyDescent="0.25">
      <c r="A232">
        <v>2027</v>
      </c>
      <c r="B232" s="63" t="s">
        <v>10</v>
      </c>
      <c r="C232" s="1" t="s">
        <v>38</v>
      </c>
      <c r="D232" s="1" t="s">
        <v>620</v>
      </c>
      <c r="E232" t="s">
        <v>295</v>
      </c>
      <c r="F232" s="6">
        <v>115</v>
      </c>
      <c r="G232">
        <v>28</v>
      </c>
      <c r="H232" s="6">
        <v>143</v>
      </c>
      <c r="I232" s="6">
        <v>23232</v>
      </c>
      <c r="J232" s="6">
        <v>198</v>
      </c>
      <c r="K232" s="6">
        <v>218</v>
      </c>
      <c r="L232" s="6">
        <v>23791</v>
      </c>
      <c r="M232" s="6">
        <v>23347</v>
      </c>
      <c r="N232" s="6">
        <v>444</v>
      </c>
    </row>
    <row r="233" spans="1:14" x14ac:dyDescent="0.25">
      <c r="A233">
        <v>2027</v>
      </c>
      <c r="B233" s="1" t="s">
        <v>6</v>
      </c>
      <c r="C233" s="1" t="s">
        <v>34</v>
      </c>
      <c r="D233" s="1" t="s">
        <v>621</v>
      </c>
      <c r="E233" t="s">
        <v>296</v>
      </c>
      <c r="F233">
        <v>0</v>
      </c>
      <c r="G233">
        <v>0</v>
      </c>
      <c r="H233">
        <v>0</v>
      </c>
      <c r="I233" s="6">
        <v>28705</v>
      </c>
      <c r="J233" s="6">
        <v>6531</v>
      </c>
      <c r="K233" s="6">
        <v>7311</v>
      </c>
      <c r="L233" s="6">
        <v>42547</v>
      </c>
      <c r="M233" s="6">
        <v>28705</v>
      </c>
      <c r="N233" s="6">
        <v>13842</v>
      </c>
    </row>
    <row r="234" spans="1:14" x14ac:dyDescent="0.25">
      <c r="A234">
        <v>2027</v>
      </c>
      <c r="B234" s="63" t="s">
        <v>5</v>
      </c>
      <c r="C234" s="1" t="s">
        <v>33</v>
      </c>
      <c r="D234" s="1" t="s">
        <v>622</v>
      </c>
      <c r="E234" t="s">
        <v>297</v>
      </c>
      <c r="F234">
        <v>573</v>
      </c>
      <c r="G234">
        <v>182</v>
      </c>
      <c r="H234">
        <v>755</v>
      </c>
      <c r="I234" s="6">
        <v>29773</v>
      </c>
      <c r="J234" s="6">
        <v>6057</v>
      </c>
      <c r="K234" s="6">
        <v>6746</v>
      </c>
      <c r="L234" s="6">
        <v>43331</v>
      </c>
      <c r="M234" s="6">
        <v>30346</v>
      </c>
      <c r="N234" s="6">
        <v>12985</v>
      </c>
    </row>
    <row r="235" spans="1:14" x14ac:dyDescent="0.25">
      <c r="A235">
        <v>2027</v>
      </c>
      <c r="B235" s="63" t="s">
        <v>12</v>
      </c>
      <c r="C235" s="1" t="s">
        <v>40</v>
      </c>
      <c r="D235" s="1" t="s">
        <v>623</v>
      </c>
      <c r="E235" t="s">
        <v>298</v>
      </c>
      <c r="F235">
        <v>618</v>
      </c>
      <c r="G235">
        <v>165</v>
      </c>
      <c r="H235">
        <v>783</v>
      </c>
      <c r="I235" s="6">
        <v>39422</v>
      </c>
      <c r="J235">
        <v>66</v>
      </c>
      <c r="K235">
        <v>73</v>
      </c>
      <c r="L235" s="6">
        <v>40344</v>
      </c>
      <c r="M235" s="6">
        <v>40040</v>
      </c>
      <c r="N235" s="6">
        <v>304</v>
      </c>
    </row>
    <row r="236" spans="1:14" x14ac:dyDescent="0.25">
      <c r="A236">
        <v>2027</v>
      </c>
      <c r="B236" s="1" t="s">
        <v>11</v>
      </c>
      <c r="C236" s="1" t="s">
        <v>39</v>
      </c>
      <c r="D236" s="1" t="s">
        <v>624</v>
      </c>
      <c r="E236" t="s">
        <v>299</v>
      </c>
      <c r="F236">
        <v>200</v>
      </c>
      <c r="G236">
        <v>58</v>
      </c>
      <c r="H236">
        <v>258</v>
      </c>
      <c r="I236" s="6">
        <v>14500</v>
      </c>
      <c r="J236" s="6">
        <v>11983</v>
      </c>
      <c r="K236" s="6">
        <v>13410</v>
      </c>
      <c r="L236" s="6">
        <v>40151</v>
      </c>
      <c r="M236" s="6">
        <v>14700</v>
      </c>
      <c r="N236" s="6">
        <v>25451</v>
      </c>
    </row>
    <row r="237" spans="1:14" x14ac:dyDescent="0.25">
      <c r="A237">
        <v>2027</v>
      </c>
      <c r="B237" s="1" t="s">
        <v>5</v>
      </c>
      <c r="C237" s="1" t="s">
        <v>33</v>
      </c>
      <c r="D237" s="1" t="s">
        <v>625</v>
      </c>
      <c r="E237" t="s">
        <v>300</v>
      </c>
      <c r="F237">
        <v>292</v>
      </c>
      <c r="G237">
        <v>93</v>
      </c>
      <c r="H237">
        <v>385</v>
      </c>
      <c r="I237" s="6">
        <v>14655</v>
      </c>
      <c r="J237" s="6">
        <v>200</v>
      </c>
      <c r="K237" s="6">
        <v>222</v>
      </c>
      <c r="L237" s="6">
        <v>15462</v>
      </c>
      <c r="M237" s="6">
        <v>14947</v>
      </c>
      <c r="N237" s="6">
        <v>515</v>
      </c>
    </row>
    <row r="238" spans="1:14" x14ac:dyDescent="0.25">
      <c r="A238">
        <v>2027</v>
      </c>
      <c r="B238" s="63" t="s">
        <v>11</v>
      </c>
      <c r="C238" s="1" t="s">
        <v>39</v>
      </c>
      <c r="D238" s="1" t="s">
        <v>626</v>
      </c>
      <c r="E238" t="s">
        <v>301</v>
      </c>
      <c r="F238">
        <v>208</v>
      </c>
      <c r="G238">
        <v>60</v>
      </c>
      <c r="H238">
        <v>268</v>
      </c>
      <c r="I238" s="6">
        <v>15687</v>
      </c>
      <c r="J238">
        <v>0</v>
      </c>
      <c r="K238">
        <v>0</v>
      </c>
      <c r="L238" s="6">
        <v>15955</v>
      </c>
      <c r="M238" s="6">
        <v>15895</v>
      </c>
      <c r="N238">
        <v>60</v>
      </c>
    </row>
    <row r="239" spans="1:14" x14ac:dyDescent="0.25">
      <c r="A239">
        <v>2027</v>
      </c>
      <c r="B239" s="1" t="s">
        <v>12</v>
      </c>
      <c r="C239" s="1" t="s">
        <v>40</v>
      </c>
      <c r="D239" s="1" t="s">
        <v>627</v>
      </c>
      <c r="E239" t="s">
        <v>302</v>
      </c>
      <c r="F239">
        <v>478</v>
      </c>
      <c r="G239">
        <v>127</v>
      </c>
      <c r="H239">
        <v>605</v>
      </c>
      <c r="I239" s="6">
        <v>30417</v>
      </c>
      <c r="J239">
        <v>199</v>
      </c>
      <c r="K239">
        <v>220</v>
      </c>
      <c r="L239" s="6">
        <v>31441</v>
      </c>
      <c r="M239" s="6">
        <v>30895</v>
      </c>
      <c r="N239">
        <v>546</v>
      </c>
    </row>
    <row r="240" spans="1:14" x14ac:dyDescent="0.25">
      <c r="A240">
        <v>2027</v>
      </c>
      <c r="B240" s="1" t="s">
        <v>11</v>
      </c>
      <c r="C240" s="1" t="s">
        <v>39</v>
      </c>
      <c r="D240" s="1" t="s">
        <v>628</v>
      </c>
      <c r="E240" t="s">
        <v>303</v>
      </c>
      <c r="F240">
        <v>447</v>
      </c>
      <c r="G240">
        <v>130</v>
      </c>
      <c r="H240">
        <v>577</v>
      </c>
      <c r="I240" s="6">
        <v>31177</v>
      </c>
      <c r="J240" s="6">
        <v>28226</v>
      </c>
      <c r="K240" s="6">
        <v>31588</v>
      </c>
      <c r="L240" s="6">
        <v>91568</v>
      </c>
      <c r="M240" s="6">
        <v>31624</v>
      </c>
      <c r="N240" s="6">
        <v>59944</v>
      </c>
    </row>
    <row r="241" spans="1:14" x14ac:dyDescent="0.25">
      <c r="A241">
        <v>2027</v>
      </c>
      <c r="B241" s="1" t="s">
        <v>10</v>
      </c>
      <c r="C241" s="1" t="s">
        <v>38</v>
      </c>
      <c r="D241" s="1" t="s">
        <v>629</v>
      </c>
      <c r="E241" t="s">
        <v>304</v>
      </c>
      <c r="F241">
        <v>169</v>
      </c>
      <c r="G241">
        <v>40</v>
      </c>
      <c r="H241">
        <v>209</v>
      </c>
      <c r="I241" s="6">
        <v>33598</v>
      </c>
      <c r="J241" s="6">
        <v>529</v>
      </c>
      <c r="K241" s="6">
        <v>582</v>
      </c>
      <c r="L241" s="6">
        <v>34918</v>
      </c>
      <c r="M241" s="6">
        <v>33767</v>
      </c>
      <c r="N241" s="6">
        <v>1151</v>
      </c>
    </row>
    <row r="242" spans="1:14" x14ac:dyDescent="0.25">
      <c r="A242">
        <v>2027</v>
      </c>
      <c r="B242" s="1" t="s">
        <v>7</v>
      </c>
      <c r="C242" s="1" t="s">
        <v>35</v>
      </c>
      <c r="D242" s="1" t="s">
        <v>630</v>
      </c>
      <c r="E242" t="s">
        <v>305</v>
      </c>
      <c r="F242">
        <v>152</v>
      </c>
      <c r="G242">
        <v>42</v>
      </c>
      <c r="H242">
        <v>194</v>
      </c>
      <c r="I242" s="6">
        <v>20391</v>
      </c>
      <c r="J242">
        <v>732</v>
      </c>
      <c r="K242">
        <v>816</v>
      </c>
      <c r="L242" s="6">
        <v>22133</v>
      </c>
      <c r="M242" s="6">
        <v>20543</v>
      </c>
      <c r="N242" s="6">
        <v>1590</v>
      </c>
    </row>
    <row r="243" spans="1:14" x14ac:dyDescent="0.25">
      <c r="A243">
        <v>2027</v>
      </c>
      <c r="B243" s="63" t="s">
        <v>6</v>
      </c>
      <c r="C243" s="1" t="s">
        <v>34</v>
      </c>
      <c r="D243" s="1" t="s">
        <v>631</v>
      </c>
      <c r="E243" t="s">
        <v>306</v>
      </c>
      <c r="F243">
        <v>0</v>
      </c>
      <c r="G243">
        <v>0</v>
      </c>
      <c r="H243">
        <v>0</v>
      </c>
      <c r="I243" s="6">
        <v>8483</v>
      </c>
      <c r="J243">
        <v>800</v>
      </c>
      <c r="K243">
        <v>895</v>
      </c>
      <c r="L243" s="6">
        <v>10178</v>
      </c>
      <c r="M243" s="6">
        <v>8483</v>
      </c>
      <c r="N243" s="6">
        <v>1695</v>
      </c>
    </row>
    <row r="244" spans="1:14" x14ac:dyDescent="0.25">
      <c r="A244">
        <v>2027</v>
      </c>
      <c r="B244" s="63" t="s">
        <v>10</v>
      </c>
      <c r="C244" s="1" t="s">
        <v>38</v>
      </c>
      <c r="D244" s="1" t="s">
        <v>632</v>
      </c>
      <c r="E244" t="s">
        <v>307</v>
      </c>
      <c r="F244">
        <v>171</v>
      </c>
      <c r="G244">
        <v>41</v>
      </c>
      <c r="H244">
        <v>212</v>
      </c>
      <c r="I244" s="6">
        <v>34406</v>
      </c>
      <c r="J244" s="6">
        <v>6682</v>
      </c>
      <c r="K244" s="6">
        <v>7345</v>
      </c>
      <c r="L244" s="6">
        <v>48645</v>
      </c>
      <c r="M244" s="6">
        <v>34577</v>
      </c>
      <c r="N244" s="6">
        <v>14068</v>
      </c>
    </row>
    <row r="245" spans="1:14" x14ac:dyDescent="0.25">
      <c r="A245">
        <v>2027</v>
      </c>
      <c r="B245" s="1" t="s">
        <v>6</v>
      </c>
      <c r="C245" s="1" t="s">
        <v>34</v>
      </c>
      <c r="D245" s="1" t="s">
        <v>633</v>
      </c>
      <c r="E245" t="s">
        <v>308</v>
      </c>
      <c r="F245">
        <v>0</v>
      </c>
      <c r="G245">
        <v>0</v>
      </c>
      <c r="H245">
        <v>0</v>
      </c>
      <c r="I245" s="6">
        <v>16188</v>
      </c>
      <c r="J245" s="6">
        <v>666</v>
      </c>
      <c r="K245" s="6">
        <v>746</v>
      </c>
      <c r="L245" s="6">
        <v>17600</v>
      </c>
      <c r="M245" s="6">
        <v>16188</v>
      </c>
      <c r="N245" s="6">
        <v>1412</v>
      </c>
    </row>
    <row r="246" spans="1:14" x14ac:dyDescent="0.25">
      <c r="A246">
        <v>2027</v>
      </c>
      <c r="B246" s="63" t="s">
        <v>11</v>
      </c>
      <c r="C246" s="1" t="s">
        <v>39</v>
      </c>
      <c r="D246" s="1" t="s">
        <v>634</v>
      </c>
      <c r="E246" t="s">
        <v>309</v>
      </c>
      <c r="F246">
        <v>141</v>
      </c>
      <c r="G246">
        <v>40</v>
      </c>
      <c r="H246">
        <v>181</v>
      </c>
      <c r="I246" s="6">
        <v>9770</v>
      </c>
      <c r="J246" s="6">
        <v>333</v>
      </c>
      <c r="K246" s="6">
        <v>373</v>
      </c>
      <c r="L246" s="6">
        <v>10657</v>
      </c>
      <c r="M246" s="6">
        <v>9911</v>
      </c>
      <c r="N246" s="6">
        <v>746</v>
      </c>
    </row>
    <row r="247" spans="1:14" x14ac:dyDescent="0.25">
      <c r="A247">
        <v>2027</v>
      </c>
      <c r="B247" s="1" t="s">
        <v>11</v>
      </c>
      <c r="C247" s="1" t="s">
        <v>39</v>
      </c>
      <c r="D247" s="1" t="s">
        <v>635</v>
      </c>
      <c r="E247" t="s">
        <v>310</v>
      </c>
      <c r="F247">
        <v>818</v>
      </c>
      <c r="G247">
        <v>237</v>
      </c>
      <c r="H247" s="6">
        <v>1055</v>
      </c>
      <c r="I247" s="6">
        <v>57895</v>
      </c>
      <c r="J247" s="6">
        <v>5059</v>
      </c>
      <c r="K247" s="6">
        <v>5662</v>
      </c>
      <c r="L247" s="6">
        <v>69671</v>
      </c>
      <c r="M247" s="6">
        <v>58713</v>
      </c>
      <c r="N247" s="6">
        <v>10958</v>
      </c>
    </row>
    <row r="248" spans="1:14" x14ac:dyDescent="0.25">
      <c r="A248">
        <v>2027</v>
      </c>
      <c r="B248" s="1" t="s">
        <v>13</v>
      </c>
      <c r="C248" s="1" t="s">
        <v>41</v>
      </c>
      <c r="D248" s="1" t="s">
        <v>636</v>
      </c>
      <c r="E248" t="s">
        <v>311</v>
      </c>
      <c r="F248">
        <v>155</v>
      </c>
      <c r="G248">
        <v>39</v>
      </c>
      <c r="H248" s="6">
        <v>194</v>
      </c>
      <c r="I248" s="6">
        <v>8591</v>
      </c>
      <c r="J248" s="6">
        <v>0</v>
      </c>
      <c r="K248" s="6">
        <v>0</v>
      </c>
      <c r="L248" s="6">
        <v>8785</v>
      </c>
      <c r="M248" s="6">
        <v>8746</v>
      </c>
      <c r="N248" s="6">
        <v>39</v>
      </c>
    </row>
    <row r="249" spans="1:14" x14ac:dyDescent="0.25">
      <c r="A249">
        <v>2027</v>
      </c>
      <c r="B249" s="1" t="s">
        <v>11</v>
      </c>
      <c r="C249" s="1" t="s">
        <v>39</v>
      </c>
      <c r="D249" s="1" t="s">
        <v>637</v>
      </c>
      <c r="E249" t="s">
        <v>312</v>
      </c>
      <c r="F249">
        <v>672</v>
      </c>
      <c r="G249">
        <v>195</v>
      </c>
      <c r="H249">
        <v>867</v>
      </c>
      <c r="I249" s="6">
        <v>46645</v>
      </c>
      <c r="J249" s="6">
        <v>12182</v>
      </c>
      <c r="K249" s="6">
        <v>13634</v>
      </c>
      <c r="L249" s="6">
        <v>73328</v>
      </c>
      <c r="M249" s="6">
        <v>47317</v>
      </c>
      <c r="N249" s="6">
        <v>26011</v>
      </c>
    </row>
    <row r="250" spans="1:14" x14ac:dyDescent="0.25">
      <c r="A250">
        <v>2027</v>
      </c>
      <c r="B250" s="1" t="s">
        <v>12</v>
      </c>
      <c r="C250" s="1" t="s">
        <v>40</v>
      </c>
      <c r="D250" s="1" t="s">
        <v>638</v>
      </c>
      <c r="E250" t="s">
        <v>313</v>
      </c>
      <c r="F250">
        <v>686</v>
      </c>
      <c r="G250">
        <v>183</v>
      </c>
      <c r="H250">
        <v>869</v>
      </c>
      <c r="I250" s="6">
        <v>43672</v>
      </c>
      <c r="J250" s="6">
        <v>530</v>
      </c>
      <c r="K250" s="6">
        <v>586</v>
      </c>
      <c r="L250" s="6">
        <v>45657</v>
      </c>
      <c r="M250" s="6">
        <v>44358</v>
      </c>
      <c r="N250" s="6">
        <v>1299</v>
      </c>
    </row>
    <row r="251" spans="1:14" x14ac:dyDescent="0.25">
      <c r="A251">
        <v>2027</v>
      </c>
      <c r="B251" s="1" t="s">
        <v>11</v>
      </c>
      <c r="C251" s="1" t="s">
        <v>39</v>
      </c>
      <c r="D251" s="1" t="s">
        <v>639</v>
      </c>
      <c r="E251" t="s">
        <v>314</v>
      </c>
      <c r="F251">
        <v>374</v>
      </c>
      <c r="G251">
        <v>108</v>
      </c>
      <c r="H251">
        <v>482</v>
      </c>
      <c r="I251" s="6">
        <v>27008</v>
      </c>
      <c r="J251" s="6">
        <v>1731</v>
      </c>
      <c r="K251" s="6">
        <v>1937</v>
      </c>
      <c r="L251" s="6">
        <v>31158</v>
      </c>
      <c r="M251" s="6">
        <v>27382</v>
      </c>
      <c r="N251" s="6">
        <v>3776</v>
      </c>
    </row>
    <row r="252" spans="1:14" x14ac:dyDescent="0.25">
      <c r="A252">
        <v>2027</v>
      </c>
      <c r="B252" s="1" t="s">
        <v>12</v>
      </c>
      <c r="C252" s="1" t="s">
        <v>40</v>
      </c>
      <c r="D252" s="1" t="s">
        <v>640</v>
      </c>
      <c r="E252" t="s">
        <v>315</v>
      </c>
      <c r="F252">
        <v>219</v>
      </c>
      <c r="G252">
        <v>59</v>
      </c>
      <c r="H252">
        <v>278</v>
      </c>
      <c r="I252" s="6">
        <v>14636</v>
      </c>
      <c r="J252" s="6">
        <v>0</v>
      </c>
      <c r="K252" s="6">
        <v>0</v>
      </c>
      <c r="L252" s="6">
        <v>14914</v>
      </c>
      <c r="M252" s="6">
        <v>14855</v>
      </c>
      <c r="N252" s="6">
        <v>59</v>
      </c>
    </row>
    <row r="253" spans="1:14" x14ac:dyDescent="0.25">
      <c r="A253">
        <v>2027</v>
      </c>
      <c r="B253" s="1" t="s">
        <v>13</v>
      </c>
      <c r="C253" s="1" t="s">
        <v>41</v>
      </c>
      <c r="D253" s="1" t="s">
        <v>641</v>
      </c>
      <c r="E253" t="s">
        <v>316</v>
      </c>
      <c r="F253">
        <v>385</v>
      </c>
      <c r="G253">
        <v>99</v>
      </c>
      <c r="H253">
        <v>484</v>
      </c>
      <c r="I253" s="6">
        <v>21581</v>
      </c>
      <c r="J253">
        <v>265</v>
      </c>
      <c r="K253">
        <v>291</v>
      </c>
      <c r="L253" s="6">
        <v>22621</v>
      </c>
      <c r="M253" s="6">
        <v>21966</v>
      </c>
      <c r="N253">
        <v>655</v>
      </c>
    </row>
    <row r="254" spans="1:14" x14ac:dyDescent="0.25">
      <c r="A254">
        <v>2027</v>
      </c>
      <c r="B254" s="1" t="s">
        <v>11</v>
      </c>
      <c r="C254" s="1" t="s">
        <v>39</v>
      </c>
      <c r="D254" s="1" t="s">
        <v>642</v>
      </c>
      <c r="E254" t="s">
        <v>317</v>
      </c>
      <c r="F254">
        <v>899</v>
      </c>
      <c r="G254">
        <v>262</v>
      </c>
      <c r="H254" s="6">
        <v>1161</v>
      </c>
      <c r="I254" s="6">
        <v>62844</v>
      </c>
      <c r="J254" s="6">
        <v>50194</v>
      </c>
      <c r="K254" s="6">
        <v>56173</v>
      </c>
      <c r="L254" s="6">
        <v>170372</v>
      </c>
      <c r="M254" s="6">
        <v>63743</v>
      </c>
      <c r="N254" s="6">
        <v>106629</v>
      </c>
    </row>
    <row r="255" spans="1:14" x14ac:dyDescent="0.25">
      <c r="A255">
        <v>2027</v>
      </c>
      <c r="B255" s="1" t="s">
        <v>6</v>
      </c>
      <c r="C255" s="1" t="s">
        <v>34</v>
      </c>
      <c r="D255" s="1" t="s">
        <v>643</v>
      </c>
      <c r="E255" t="s">
        <v>318</v>
      </c>
      <c r="F255">
        <v>0</v>
      </c>
      <c r="G255">
        <v>0</v>
      </c>
      <c r="H255" s="6">
        <v>0</v>
      </c>
      <c r="I255" s="6">
        <v>19733</v>
      </c>
      <c r="J255" s="6">
        <v>866</v>
      </c>
      <c r="K255" s="6">
        <v>970</v>
      </c>
      <c r="L255" s="6">
        <v>21569</v>
      </c>
      <c r="M255" s="6">
        <v>19733</v>
      </c>
      <c r="N255" s="6">
        <v>1836</v>
      </c>
    </row>
    <row r="256" spans="1:14" x14ac:dyDescent="0.25">
      <c r="A256">
        <v>2027</v>
      </c>
      <c r="B256" s="63" t="s">
        <v>11</v>
      </c>
      <c r="C256" s="1" t="s">
        <v>39</v>
      </c>
      <c r="D256" s="1" t="s">
        <v>644</v>
      </c>
      <c r="E256" t="s">
        <v>319</v>
      </c>
      <c r="F256" s="6">
        <v>8714</v>
      </c>
      <c r="G256" s="6">
        <v>2533</v>
      </c>
      <c r="H256" s="6">
        <v>11247</v>
      </c>
      <c r="I256" s="6">
        <v>606730</v>
      </c>
      <c r="J256" s="6">
        <v>112304</v>
      </c>
      <c r="K256" s="6">
        <v>125682</v>
      </c>
      <c r="L256" s="6">
        <v>855963</v>
      </c>
      <c r="M256" s="6">
        <v>615444</v>
      </c>
      <c r="N256" s="6">
        <v>240519</v>
      </c>
    </row>
    <row r="257" spans="1:14" x14ac:dyDescent="0.25">
      <c r="A257">
        <v>2027</v>
      </c>
      <c r="B257" s="1" t="s">
        <v>9</v>
      </c>
      <c r="C257" s="1" t="s">
        <v>37</v>
      </c>
      <c r="D257" s="1" t="s">
        <v>645</v>
      </c>
      <c r="E257" t="s">
        <v>320</v>
      </c>
      <c r="F257" s="6">
        <v>489</v>
      </c>
      <c r="G257" s="6">
        <v>129</v>
      </c>
      <c r="H257" s="6">
        <v>618</v>
      </c>
      <c r="I257" s="6">
        <v>53607</v>
      </c>
      <c r="J257" s="6">
        <v>2717</v>
      </c>
      <c r="K257" s="6">
        <v>2989</v>
      </c>
      <c r="L257" s="6">
        <v>59931</v>
      </c>
      <c r="M257" s="6">
        <v>54096</v>
      </c>
      <c r="N257" s="6">
        <v>5835</v>
      </c>
    </row>
    <row r="258" spans="1:14" x14ac:dyDescent="0.25">
      <c r="A258">
        <v>2027</v>
      </c>
      <c r="B258" s="1" t="s">
        <v>6</v>
      </c>
      <c r="C258" s="1" t="s">
        <v>34</v>
      </c>
      <c r="D258" s="1" t="s">
        <v>646</v>
      </c>
      <c r="E258" t="s">
        <v>321</v>
      </c>
      <c r="F258">
        <v>0</v>
      </c>
      <c r="G258">
        <v>0</v>
      </c>
      <c r="H258">
        <v>0</v>
      </c>
      <c r="I258" s="6">
        <v>40659</v>
      </c>
      <c r="J258" s="6">
        <v>3199</v>
      </c>
      <c r="K258" s="6">
        <v>3581</v>
      </c>
      <c r="L258" s="6">
        <v>47439</v>
      </c>
      <c r="M258" s="6">
        <v>40659</v>
      </c>
      <c r="N258" s="6">
        <v>6780</v>
      </c>
    </row>
    <row r="259" spans="1:14" x14ac:dyDescent="0.25">
      <c r="A259">
        <v>2027</v>
      </c>
      <c r="B259" s="63" t="s">
        <v>6</v>
      </c>
      <c r="C259" s="1" t="s">
        <v>34</v>
      </c>
      <c r="D259" s="1" t="s">
        <v>647</v>
      </c>
      <c r="E259" t="s">
        <v>322</v>
      </c>
      <c r="F259">
        <v>0</v>
      </c>
      <c r="G259">
        <v>0</v>
      </c>
      <c r="H259">
        <v>0</v>
      </c>
      <c r="I259" s="6">
        <v>26686</v>
      </c>
      <c r="J259" s="6">
        <v>333</v>
      </c>
      <c r="K259" s="6">
        <v>373</v>
      </c>
      <c r="L259" s="6">
        <v>27392</v>
      </c>
      <c r="M259" s="6">
        <v>26686</v>
      </c>
      <c r="N259" s="6">
        <v>706</v>
      </c>
    </row>
    <row r="260" spans="1:14" x14ac:dyDescent="0.25">
      <c r="A260">
        <v>2027</v>
      </c>
      <c r="B260" s="63" t="s">
        <v>11</v>
      </c>
      <c r="C260" s="1" t="s">
        <v>39</v>
      </c>
      <c r="D260" s="1" t="s">
        <v>648</v>
      </c>
      <c r="E260" t="s">
        <v>323</v>
      </c>
      <c r="F260">
        <v>362</v>
      </c>
      <c r="G260">
        <v>106</v>
      </c>
      <c r="H260">
        <v>468</v>
      </c>
      <c r="I260" s="6">
        <v>25306</v>
      </c>
      <c r="J260" s="6">
        <v>6191</v>
      </c>
      <c r="K260" s="6">
        <v>6929</v>
      </c>
      <c r="L260" s="6">
        <v>38894</v>
      </c>
      <c r="M260" s="6">
        <v>25668</v>
      </c>
      <c r="N260" s="6">
        <v>13226</v>
      </c>
    </row>
    <row r="261" spans="1:14" x14ac:dyDescent="0.25">
      <c r="A261">
        <v>2027</v>
      </c>
      <c r="B261" s="1" t="s">
        <v>12</v>
      </c>
      <c r="C261" s="1" t="s">
        <v>40</v>
      </c>
      <c r="D261" s="1" t="s">
        <v>649</v>
      </c>
      <c r="E261" t="s">
        <v>324</v>
      </c>
      <c r="F261">
        <v>107</v>
      </c>
      <c r="G261">
        <v>28</v>
      </c>
      <c r="H261">
        <v>135</v>
      </c>
      <c r="I261" s="6">
        <v>7611</v>
      </c>
      <c r="J261" s="6">
        <v>199</v>
      </c>
      <c r="K261" s="6">
        <v>220</v>
      </c>
      <c r="L261" s="6">
        <v>8165</v>
      </c>
      <c r="M261" s="6">
        <v>7718</v>
      </c>
      <c r="N261" s="6">
        <v>447</v>
      </c>
    </row>
    <row r="262" spans="1:14" x14ac:dyDescent="0.25">
      <c r="A262">
        <v>2027</v>
      </c>
      <c r="B262" s="1" t="s">
        <v>7</v>
      </c>
      <c r="C262" s="1" t="s">
        <v>35</v>
      </c>
      <c r="D262" s="1" t="s">
        <v>650</v>
      </c>
      <c r="E262" t="s">
        <v>325</v>
      </c>
      <c r="F262">
        <v>528</v>
      </c>
      <c r="G262">
        <v>148</v>
      </c>
      <c r="H262">
        <v>676</v>
      </c>
      <c r="I262" s="6">
        <v>68451</v>
      </c>
      <c r="J262" s="6">
        <v>1998</v>
      </c>
      <c r="K262" s="6">
        <v>2227</v>
      </c>
      <c r="L262" s="6">
        <v>73352</v>
      </c>
      <c r="M262" s="6">
        <v>68979</v>
      </c>
      <c r="N262" s="6">
        <v>4373</v>
      </c>
    </row>
    <row r="263" spans="1:14" x14ac:dyDescent="0.25">
      <c r="A263">
        <v>2027</v>
      </c>
      <c r="B263" s="63" t="s">
        <v>5</v>
      </c>
      <c r="C263" s="1" t="s">
        <v>33</v>
      </c>
      <c r="D263" s="1" t="s">
        <v>651</v>
      </c>
      <c r="E263" t="s">
        <v>326</v>
      </c>
      <c r="F263">
        <v>438</v>
      </c>
      <c r="G263">
        <v>140</v>
      </c>
      <c r="H263">
        <v>578</v>
      </c>
      <c r="I263" s="6">
        <v>23037</v>
      </c>
      <c r="J263" s="6">
        <v>10450</v>
      </c>
      <c r="K263" s="6">
        <v>11638</v>
      </c>
      <c r="L263" s="6">
        <v>45703</v>
      </c>
      <c r="M263" s="6">
        <v>23475</v>
      </c>
      <c r="N263" s="6">
        <v>22228</v>
      </c>
    </row>
    <row r="264" spans="1:14" x14ac:dyDescent="0.25">
      <c r="A264">
        <v>2027</v>
      </c>
      <c r="B264" s="63" t="s">
        <v>10</v>
      </c>
      <c r="C264" s="1" t="s">
        <v>38</v>
      </c>
      <c r="D264" s="1" t="s">
        <v>652</v>
      </c>
      <c r="E264" t="s">
        <v>327</v>
      </c>
      <c r="F264" s="6">
        <v>1267</v>
      </c>
      <c r="G264">
        <v>303</v>
      </c>
      <c r="H264" s="6">
        <v>1570</v>
      </c>
      <c r="I264" s="6">
        <v>252432</v>
      </c>
      <c r="J264" s="6">
        <v>30963</v>
      </c>
      <c r="K264" s="6">
        <v>34033</v>
      </c>
      <c r="L264" s="6">
        <v>318998</v>
      </c>
      <c r="M264" s="6">
        <v>253699</v>
      </c>
      <c r="N264" s="6">
        <v>65299</v>
      </c>
    </row>
    <row r="265" spans="1:14" x14ac:dyDescent="0.25">
      <c r="A265">
        <v>2027</v>
      </c>
      <c r="B265" s="1" t="s">
        <v>6</v>
      </c>
      <c r="C265" s="1" t="s">
        <v>34</v>
      </c>
      <c r="D265" s="1" t="s">
        <v>653</v>
      </c>
      <c r="E265" t="s">
        <v>328</v>
      </c>
      <c r="F265">
        <v>0</v>
      </c>
      <c r="G265">
        <v>0</v>
      </c>
      <c r="H265">
        <v>0</v>
      </c>
      <c r="I265" s="6">
        <v>46669</v>
      </c>
      <c r="J265" s="6">
        <v>2332</v>
      </c>
      <c r="K265" s="6">
        <v>2611</v>
      </c>
      <c r="L265" s="6">
        <v>51612</v>
      </c>
      <c r="M265" s="6">
        <v>46669</v>
      </c>
      <c r="N265" s="6">
        <v>4943</v>
      </c>
    </row>
    <row r="266" spans="1:14" x14ac:dyDescent="0.25">
      <c r="A266">
        <v>2027</v>
      </c>
      <c r="B266" s="63" t="s">
        <v>10</v>
      </c>
      <c r="C266" s="1" t="s">
        <v>38</v>
      </c>
      <c r="D266" s="1" t="s">
        <v>654</v>
      </c>
      <c r="E266" t="s">
        <v>329</v>
      </c>
      <c r="F266">
        <v>81</v>
      </c>
      <c r="G266">
        <v>20</v>
      </c>
      <c r="H266">
        <v>101</v>
      </c>
      <c r="I266" s="6">
        <v>16040</v>
      </c>
      <c r="J266" s="6">
        <v>926</v>
      </c>
      <c r="K266" s="6">
        <v>1018</v>
      </c>
      <c r="L266" s="6">
        <v>18085</v>
      </c>
      <c r="M266" s="6">
        <v>16121</v>
      </c>
      <c r="N266" s="6">
        <v>1964</v>
      </c>
    </row>
    <row r="267" spans="1:14" x14ac:dyDescent="0.25">
      <c r="A267">
        <v>2027</v>
      </c>
      <c r="B267" s="1" t="s">
        <v>6</v>
      </c>
      <c r="C267" s="1" t="s">
        <v>34</v>
      </c>
      <c r="D267" s="1" t="s">
        <v>655</v>
      </c>
      <c r="E267" t="s">
        <v>330</v>
      </c>
      <c r="F267">
        <v>0</v>
      </c>
      <c r="G267">
        <v>0</v>
      </c>
      <c r="H267">
        <v>0</v>
      </c>
      <c r="I267" s="6">
        <v>86563</v>
      </c>
      <c r="J267" s="6">
        <v>16260</v>
      </c>
      <c r="K267" s="6">
        <v>18202</v>
      </c>
      <c r="L267" s="6">
        <v>121025</v>
      </c>
      <c r="M267" s="6">
        <v>86563</v>
      </c>
      <c r="N267" s="6">
        <v>34462</v>
      </c>
    </row>
    <row r="268" spans="1:14" x14ac:dyDescent="0.25">
      <c r="A268">
        <v>2027</v>
      </c>
      <c r="B268" s="63" t="s">
        <v>6</v>
      </c>
      <c r="C268" s="1" t="s">
        <v>34</v>
      </c>
      <c r="D268" s="1" t="s">
        <v>656</v>
      </c>
      <c r="E268" t="s">
        <v>331</v>
      </c>
      <c r="F268">
        <v>0</v>
      </c>
      <c r="G268">
        <v>0</v>
      </c>
      <c r="H268">
        <v>0</v>
      </c>
      <c r="I268" s="6">
        <v>48665</v>
      </c>
      <c r="J268" s="6">
        <v>67</v>
      </c>
      <c r="K268" s="6">
        <v>75</v>
      </c>
      <c r="L268" s="6">
        <v>48807</v>
      </c>
      <c r="M268" s="6">
        <v>48665</v>
      </c>
      <c r="N268" s="6">
        <v>142</v>
      </c>
    </row>
    <row r="269" spans="1:14" x14ac:dyDescent="0.25">
      <c r="A269">
        <v>2027</v>
      </c>
      <c r="B269" s="63" t="s">
        <v>9</v>
      </c>
      <c r="C269" s="1" t="s">
        <v>37</v>
      </c>
      <c r="D269" s="1" t="s">
        <v>657</v>
      </c>
      <c r="E269" t="s">
        <v>332</v>
      </c>
      <c r="F269">
        <v>135</v>
      </c>
      <c r="G269">
        <v>35</v>
      </c>
      <c r="H269">
        <v>170</v>
      </c>
      <c r="I269" s="6">
        <v>14797</v>
      </c>
      <c r="J269">
        <v>795</v>
      </c>
      <c r="K269">
        <v>875</v>
      </c>
      <c r="L269" s="6">
        <v>16637</v>
      </c>
      <c r="M269" s="6">
        <v>14932</v>
      </c>
      <c r="N269" s="6">
        <v>1705</v>
      </c>
    </row>
    <row r="270" spans="1:14" x14ac:dyDescent="0.25">
      <c r="A270">
        <v>2027</v>
      </c>
      <c r="B270" s="1" t="s">
        <v>7</v>
      </c>
      <c r="C270" s="1" t="s">
        <v>35</v>
      </c>
      <c r="D270" s="1" t="s">
        <v>658</v>
      </c>
      <c r="E270" t="s">
        <v>333</v>
      </c>
      <c r="F270">
        <v>230</v>
      </c>
      <c r="G270">
        <v>65</v>
      </c>
      <c r="H270">
        <v>295</v>
      </c>
      <c r="I270" s="6">
        <v>29566</v>
      </c>
      <c r="J270">
        <v>0</v>
      </c>
      <c r="K270">
        <v>0</v>
      </c>
      <c r="L270" s="6">
        <v>29861</v>
      </c>
      <c r="M270" s="6">
        <v>29796</v>
      </c>
      <c r="N270" s="6">
        <v>65</v>
      </c>
    </row>
    <row r="271" spans="1:14" x14ac:dyDescent="0.25">
      <c r="A271">
        <v>2027</v>
      </c>
      <c r="B271" s="63" t="s">
        <v>12</v>
      </c>
      <c r="C271" s="1" t="s">
        <v>40</v>
      </c>
      <c r="D271" s="1" t="s">
        <v>659</v>
      </c>
      <c r="E271" t="s">
        <v>334</v>
      </c>
      <c r="F271">
        <v>121</v>
      </c>
      <c r="G271">
        <v>32</v>
      </c>
      <c r="H271">
        <v>153</v>
      </c>
      <c r="I271" s="6">
        <v>8069</v>
      </c>
      <c r="J271">
        <v>0</v>
      </c>
      <c r="K271">
        <v>0</v>
      </c>
      <c r="L271" s="6">
        <v>8222</v>
      </c>
      <c r="M271" s="6">
        <v>8190</v>
      </c>
      <c r="N271">
        <v>32</v>
      </c>
    </row>
    <row r="272" spans="1:14" x14ac:dyDescent="0.25">
      <c r="A272">
        <v>2027</v>
      </c>
      <c r="B272" s="1" t="s">
        <v>5</v>
      </c>
      <c r="C272" s="1" t="s">
        <v>33</v>
      </c>
      <c r="D272" s="1" t="s">
        <v>660</v>
      </c>
      <c r="E272" t="s">
        <v>335</v>
      </c>
      <c r="F272">
        <v>461</v>
      </c>
      <c r="G272">
        <v>146</v>
      </c>
      <c r="H272">
        <v>607</v>
      </c>
      <c r="I272" s="6">
        <v>23253</v>
      </c>
      <c r="J272">
        <v>399</v>
      </c>
      <c r="K272">
        <v>445</v>
      </c>
      <c r="L272" s="6">
        <v>24704</v>
      </c>
      <c r="M272" s="6">
        <v>23714</v>
      </c>
      <c r="N272">
        <v>990</v>
      </c>
    </row>
    <row r="273" spans="1:14" x14ac:dyDescent="0.25">
      <c r="A273">
        <v>2027</v>
      </c>
      <c r="B273" s="63" t="s">
        <v>6</v>
      </c>
      <c r="C273" s="1" t="s">
        <v>34</v>
      </c>
      <c r="D273" s="1" t="s">
        <v>661</v>
      </c>
      <c r="E273" t="s">
        <v>336</v>
      </c>
      <c r="F273">
        <v>0</v>
      </c>
      <c r="G273">
        <v>0</v>
      </c>
      <c r="H273">
        <v>0</v>
      </c>
      <c r="I273" s="6">
        <v>119146</v>
      </c>
      <c r="J273" s="6">
        <v>13661</v>
      </c>
      <c r="K273" s="6">
        <v>15293</v>
      </c>
      <c r="L273" s="6">
        <v>148100</v>
      </c>
      <c r="M273" s="6">
        <v>119146</v>
      </c>
      <c r="N273" s="6">
        <v>28954</v>
      </c>
    </row>
    <row r="274" spans="1:14" x14ac:dyDescent="0.25">
      <c r="A274">
        <v>2027</v>
      </c>
      <c r="B274" s="63" t="s">
        <v>6</v>
      </c>
      <c r="C274" s="1" t="s">
        <v>34</v>
      </c>
      <c r="D274" s="1" t="s">
        <v>662</v>
      </c>
      <c r="E274" t="s">
        <v>337</v>
      </c>
      <c r="F274">
        <v>0</v>
      </c>
      <c r="G274">
        <v>0</v>
      </c>
      <c r="H274">
        <v>0</v>
      </c>
      <c r="I274" s="6">
        <v>6271</v>
      </c>
      <c r="J274" s="6">
        <v>200</v>
      </c>
      <c r="K274" s="6">
        <v>224</v>
      </c>
      <c r="L274" s="6">
        <v>6695</v>
      </c>
      <c r="M274" s="6">
        <v>6271</v>
      </c>
      <c r="N274" s="6">
        <v>424</v>
      </c>
    </row>
    <row r="275" spans="1:14" x14ac:dyDescent="0.25">
      <c r="A275">
        <v>2027</v>
      </c>
      <c r="B275" s="63" t="s">
        <v>7</v>
      </c>
      <c r="C275" s="1" t="s">
        <v>35</v>
      </c>
      <c r="D275" s="1" t="s">
        <v>663</v>
      </c>
      <c r="E275" t="s">
        <v>338</v>
      </c>
      <c r="F275">
        <v>298</v>
      </c>
      <c r="G275">
        <v>83</v>
      </c>
      <c r="H275">
        <v>381</v>
      </c>
      <c r="I275" s="6">
        <v>38552</v>
      </c>
      <c r="J275">
        <v>266</v>
      </c>
      <c r="K275">
        <v>297</v>
      </c>
      <c r="L275" s="6">
        <v>39496</v>
      </c>
      <c r="M275" s="6">
        <v>38850</v>
      </c>
      <c r="N275">
        <v>646</v>
      </c>
    </row>
    <row r="276" spans="1:14" x14ac:dyDescent="0.25">
      <c r="A276">
        <v>2027</v>
      </c>
      <c r="B276" s="63" t="s">
        <v>9</v>
      </c>
      <c r="C276" s="1" t="s">
        <v>37</v>
      </c>
      <c r="D276" s="1" t="s">
        <v>664</v>
      </c>
      <c r="E276" t="s">
        <v>339</v>
      </c>
      <c r="F276">
        <v>267</v>
      </c>
      <c r="G276">
        <v>70</v>
      </c>
      <c r="H276">
        <v>337</v>
      </c>
      <c r="I276" s="6">
        <v>29335</v>
      </c>
      <c r="J276">
        <v>0</v>
      </c>
      <c r="K276">
        <v>0</v>
      </c>
      <c r="L276" s="6">
        <v>29672</v>
      </c>
      <c r="M276" s="6">
        <v>29602</v>
      </c>
      <c r="N276">
        <v>70</v>
      </c>
    </row>
    <row r="277" spans="1:14" x14ac:dyDescent="0.25">
      <c r="A277">
        <v>2027</v>
      </c>
      <c r="B277" s="1" t="s">
        <v>12</v>
      </c>
      <c r="C277" s="1" t="s">
        <v>40</v>
      </c>
      <c r="D277" s="1" t="s">
        <v>665</v>
      </c>
      <c r="E277" t="s">
        <v>340</v>
      </c>
      <c r="F277">
        <v>362</v>
      </c>
      <c r="G277">
        <v>97</v>
      </c>
      <c r="H277">
        <v>459</v>
      </c>
      <c r="I277" s="6">
        <v>23059</v>
      </c>
      <c r="J277" s="6">
        <v>2453</v>
      </c>
      <c r="K277" s="6">
        <v>2712</v>
      </c>
      <c r="L277" s="6">
        <v>28683</v>
      </c>
      <c r="M277" s="6">
        <v>23421</v>
      </c>
      <c r="N277" s="6">
        <v>5262</v>
      </c>
    </row>
    <row r="278" spans="1:14" x14ac:dyDescent="0.25">
      <c r="A278">
        <v>2027</v>
      </c>
      <c r="B278" s="1" t="s">
        <v>12</v>
      </c>
      <c r="C278" s="1" t="s">
        <v>40</v>
      </c>
      <c r="D278" s="1" t="s">
        <v>666</v>
      </c>
      <c r="E278" t="s">
        <v>341</v>
      </c>
      <c r="F278">
        <v>416</v>
      </c>
      <c r="G278">
        <v>111</v>
      </c>
      <c r="H278">
        <v>527</v>
      </c>
      <c r="I278" s="6">
        <v>26572</v>
      </c>
      <c r="J278" s="6">
        <v>265</v>
      </c>
      <c r="K278" s="6">
        <v>293</v>
      </c>
      <c r="L278" s="6">
        <v>27657</v>
      </c>
      <c r="M278" s="6">
        <v>26988</v>
      </c>
      <c r="N278" s="6">
        <v>669</v>
      </c>
    </row>
    <row r="279" spans="1:14" x14ac:dyDescent="0.25">
      <c r="A279">
        <v>2027</v>
      </c>
      <c r="B279" s="1" t="s">
        <v>13</v>
      </c>
      <c r="C279" s="1" t="s">
        <v>41</v>
      </c>
      <c r="D279" s="1" t="s">
        <v>667</v>
      </c>
      <c r="E279" t="s">
        <v>342</v>
      </c>
      <c r="F279">
        <v>157</v>
      </c>
      <c r="G279">
        <v>41</v>
      </c>
      <c r="H279">
        <v>198</v>
      </c>
      <c r="I279" s="6">
        <v>9273</v>
      </c>
      <c r="J279">
        <v>331</v>
      </c>
      <c r="K279">
        <v>364</v>
      </c>
      <c r="L279" s="6">
        <v>10166</v>
      </c>
      <c r="M279" s="6">
        <v>9430</v>
      </c>
      <c r="N279">
        <v>736</v>
      </c>
    </row>
    <row r="280" spans="1:14" x14ac:dyDescent="0.25">
      <c r="A280">
        <v>2027</v>
      </c>
      <c r="B280" s="1" t="s">
        <v>7</v>
      </c>
      <c r="C280" s="1" t="s">
        <v>35</v>
      </c>
      <c r="D280" s="1" t="s">
        <v>668</v>
      </c>
      <c r="E280" t="s">
        <v>343</v>
      </c>
      <c r="F280">
        <v>149</v>
      </c>
      <c r="G280">
        <v>41</v>
      </c>
      <c r="H280">
        <v>190</v>
      </c>
      <c r="I280" s="6">
        <v>19224</v>
      </c>
      <c r="J280">
        <v>266</v>
      </c>
      <c r="K280">
        <v>297</v>
      </c>
      <c r="L280" s="6">
        <v>19977</v>
      </c>
      <c r="M280" s="6">
        <v>19373</v>
      </c>
      <c r="N280">
        <v>604</v>
      </c>
    </row>
    <row r="281" spans="1:14" x14ac:dyDescent="0.25">
      <c r="A281">
        <v>2027</v>
      </c>
      <c r="B281" s="63" t="s">
        <v>5</v>
      </c>
      <c r="C281" s="1" t="s">
        <v>33</v>
      </c>
      <c r="D281" s="1" t="s">
        <v>669</v>
      </c>
      <c r="E281" t="s">
        <v>344</v>
      </c>
      <c r="F281">
        <v>306</v>
      </c>
      <c r="G281">
        <v>98</v>
      </c>
      <c r="H281">
        <v>404</v>
      </c>
      <c r="I281" s="6">
        <v>15360</v>
      </c>
      <c r="J281" s="6">
        <v>3528</v>
      </c>
      <c r="K281" s="6">
        <v>3929</v>
      </c>
      <c r="L281" s="6">
        <v>23221</v>
      </c>
      <c r="M281" s="6">
        <v>15666</v>
      </c>
      <c r="N281" s="6">
        <v>7555</v>
      </c>
    </row>
    <row r="282" spans="1:14" x14ac:dyDescent="0.25">
      <c r="A282">
        <v>2027</v>
      </c>
      <c r="B282" s="63" t="s">
        <v>10</v>
      </c>
      <c r="C282" s="1" t="s">
        <v>38</v>
      </c>
      <c r="D282" s="1" t="s">
        <v>670</v>
      </c>
      <c r="E282" t="s">
        <v>345</v>
      </c>
      <c r="F282">
        <v>48</v>
      </c>
      <c r="G282">
        <v>11</v>
      </c>
      <c r="H282">
        <v>59</v>
      </c>
      <c r="I282" s="6">
        <v>10135</v>
      </c>
      <c r="J282" s="6">
        <v>992</v>
      </c>
      <c r="K282" s="6">
        <v>1091</v>
      </c>
      <c r="L282" s="6">
        <v>12277</v>
      </c>
      <c r="M282" s="6">
        <v>10183</v>
      </c>
      <c r="N282" s="6">
        <v>2094</v>
      </c>
    </row>
    <row r="283" spans="1:14" x14ac:dyDescent="0.25">
      <c r="A283">
        <v>2027</v>
      </c>
      <c r="B283" s="1" t="s">
        <v>6</v>
      </c>
      <c r="C283" s="1" t="s">
        <v>34</v>
      </c>
      <c r="D283" s="1" t="s">
        <v>671</v>
      </c>
      <c r="E283" t="s">
        <v>346</v>
      </c>
      <c r="F283">
        <v>0</v>
      </c>
      <c r="G283">
        <v>0</v>
      </c>
      <c r="H283">
        <v>0</v>
      </c>
      <c r="I283" s="6">
        <v>7156</v>
      </c>
      <c r="J283" s="6">
        <v>1266</v>
      </c>
      <c r="K283" s="6">
        <v>1417</v>
      </c>
      <c r="L283" s="6">
        <v>9839</v>
      </c>
      <c r="M283" s="6">
        <v>7156</v>
      </c>
      <c r="N283" s="6">
        <v>2683</v>
      </c>
    </row>
    <row r="284" spans="1:14" x14ac:dyDescent="0.25">
      <c r="A284">
        <v>2027</v>
      </c>
      <c r="B284" s="63" t="s">
        <v>12</v>
      </c>
      <c r="C284" s="1" t="s">
        <v>40</v>
      </c>
      <c r="D284" s="1" t="s">
        <v>672</v>
      </c>
      <c r="E284" t="s">
        <v>347</v>
      </c>
      <c r="F284">
        <v>447</v>
      </c>
      <c r="G284">
        <v>119</v>
      </c>
      <c r="H284">
        <v>566</v>
      </c>
      <c r="I284" s="6">
        <v>28901</v>
      </c>
      <c r="J284" s="6">
        <v>2652</v>
      </c>
      <c r="K284" s="6">
        <v>2932</v>
      </c>
      <c r="L284" s="6">
        <v>35051</v>
      </c>
      <c r="M284" s="6">
        <v>29348</v>
      </c>
      <c r="N284" s="6">
        <v>5703</v>
      </c>
    </row>
    <row r="285" spans="1:14" x14ac:dyDescent="0.25">
      <c r="A285">
        <v>2027</v>
      </c>
      <c r="B285" s="1" t="s">
        <v>7</v>
      </c>
      <c r="C285" s="1" t="s">
        <v>35</v>
      </c>
      <c r="D285" s="1" t="s">
        <v>673</v>
      </c>
      <c r="E285" t="s">
        <v>348</v>
      </c>
      <c r="F285">
        <v>362</v>
      </c>
      <c r="G285">
        <v>102</v>
      </c>
      <c r="H285">
        <v>464</v>
      </c>
      <c r="I285" s="6">
        <v>46313</v>
      </c>
      <c r="J285" s="6">
        <v>2264</v>
      </c>
      <c r="K285" s="6">
        <v>2523</v>
      </c>
      <c r="L285" s="6">
        <v>51564</v>
      </c>
      <c r="M285" s="6">
        <v>46675</v>
      </c>
      <c r="N285" s="6">
        <v>4889</v>
      </c>
    </row>
    <row r="286" spans="1:14" x14ac:dyDescent="0.25">
      <c r="A286">
        <v>2027</v>
      </c>
      <c r="B286" s="63" t="s">
        <v>10</v>
      </c>
      <c r="C286" s="1" t="s">
        <v>38</v>
      </c>
      <c r="D286" s="1" t="s">
        <v>674</v>
      </c>
      <c r="E286" t="s">
        <v>349</v>
      </c>
      <c r="F286">
        <v>51</v>
      </c>
      <c r="G286">
        <v>12</v>
      </c>
      <c r="H286">
        <v>63</v>
      </c>
      <c r="I286" s="6">
        <v>11791</v>
      </c>
      <c r="J286" s="6">
        <v>331</v>
      </c>
      <c r="K286" s="6">
        <v>364</v>
      </c>
      <c r="L286" s="6">
        <v>12549</v>
      </c>
      <c r="M286" s="6">
        <v>11842</v>
      </c>
      <c r="N286" s="6">
        <v>707</v>
      </c>
    </row>
    <row r="287" spans="1:14" x14ac:dyDescent="0.25">
      <c r="A287">
        <v>2027</v>
      </c>
      <c r="B287" s="1" t="s">
        <v>10</v>
      </c>
      <c r="C287" s="1" t="s">
        <v>38</v>
      </c>
      <c r="D287" s="1" t="s">
        <v>675</v>
      </c>
      <c r="E287" t="s">
        <v>350</v>
      </c>
      <c r="F287">
        <v>579</v>
      </c>
      <c r="G287">
        <v>138</v>
      </c>
      <c r="H287">
        <v>717</v>
      </c>
      <c r="I287" s="6">
        <v>115847</v>
      </c>
      <c r="J287" s="6">
        <v>32286</v>
      </c>
      <c r="K287" s="6">
        <v>35487</v>
      </c>
      <c r="L287" s="6">
        <v>184337</v>
      </c>
      <c r="M287" s="6">
        <v>116426</v>
      </c>
      <c r="N287" s="6">
        <v>67911</v>
      </c>
    </row>
    <row r="288" spans="1:14" x14ac:dyDescent="0.25">
      <c r="A288">
        <v>2027</v>
      </c>
      <c r="B288" s="1" t="s">
        <v>13</v>
      </c>
      <c r="C288" s="1" t="s">
        <v>41</v>
      </c>
      <c r="D288" s="1" t="s">
        <v>676</v>
      </c>
      <c r="E288" t="s">
        <v>351</v>
      </c>
      <c r="F288">
        <v>691</v>
      </c>
      <c r="G288">
        <v>179</v>
      </c>
      <c r="H288">
        <v>870</v>
      </c>
      <c r="I288" s="6">
        <v>38654</v>
      </c>
      <c r="J288" s="6">
        <v>530</v>
      </c>
      <c r="K288" s="6">
        <v>583</v>
      </c>
      <c r="L288" s="6">
        <v>40637</v>
      </c>
      <c r="M288" s="6">
        <v>39345</v>
      </c>
      <c r="N288" s="6">
        <v>1292</v>
      </c>
    </row>
    <row r="289" spans="1:14" x14ac:dyDescent="0.25">
      <c r="A289">
        <v>2027</v>
      </c>
      <c r="B289" s="1" t="s">
        <v>10</v>
      </c>
      <c r="C289" s="1" t="s">
        <v>38</v>
      </c>
      <c r="D289" s="1" t="s">
        <v>677</v>
      </c>
      <c r="E289" t="s">
        <v>352</v>
      </c>
      <c r="F289">
        <v>160</v>
      </c>
      <c r="G289">
        <v>38</v>
      </c>
      <c r="H289">
        <v>198</v>
      </c>
      <c r="I289" s="6">
        <v>31864</v>
      </c>
      <c r="J289" s="6">
        <v>3573</v>
      </c>
      <c r="K289" s="6">
        <v>3927</v>
      </c>
      <c r="L289" s="6">
        <v>39562</v>
      </c>
      <c r="M289" s="6">
        <v>32024</v>
      </c>
      <c r="N289" s="6">
        <v>7538</v>
      </c>
    </row>
    <row r="290" spans="1:14" x14ac:dyDescent="0.25">
      <c r="A290">
        <v>2027</v>
      </c>
      <c r="B290" s="1" t="s">
        <v>12</v>
      </c>
      <c r="C290" s="1" t="s">
        <v>40</v>
      </c>
      <c r="D290" s="1" t="s">
        <v>678</v>
      </c>
      <c r="E290" t="s">
        <v>353</v>
      </c>
      <c r="F290">
        <v>183</v>
      </c>
      <c r="G290">
        <v>48</v>
      </c>
      <c r="H290">
        <v>231</v>
      </c>
      <c r="I290" s="6">
        <v>11677</v>
      </c>
      <c r="J290" s="6">
        <v>0</v>
      </c>
      <c r="K290" s="6">
        <v>0</v>
      </c>
      <c r="L290" s="6">
        <v>11908</v>
      </c>
      <c r="M290" s="6">
        <v>11860</v>
      </c>
      <c r="N290" s="6">
        <v>48</v>
      </c>
    </row>
    <row r="291" spans="1:14" x14ac:dyDescent="0.25">
      <c r="A291">
        <v>2027</v>
      </c>
      <c r="B291" s="1" t="s">
        <v>9</v>
      </c>
      <c r="C291" s="1" t="s">
        <v>37</v>
      </c>
      <c r="D291" s="1" t="s">
        <v>679</v>
      </c>
      <c r="E291" t="s">
        <v>354</v>
      </c>
      <c r="F291">
        <v>562</v>
      </c>
      <c r="G291">
        <v>148</v>
      </c>
      <c r="H291">
        <v>710</v>
      </c>
      <c r="I291" s="6">
        <v>61644</v>
      </c>
      <c r="J291" s="6">
        <v>1790</v>
      </c>
      <c r="K291" s="6">
        <v>1968</v>
      </c>
      <c r="L291" s="6">
        <v>66112</v>
      </c>
      <c r="M291" s="6">
        <v>62206</v>
      </c>
      <c r="N291" s="6">
        <v>3906</v>
      </c>
    </row>
    <row r="292" spans="1:14" x14ac:dyDescent="0.25">
      <c r="A292">
        <v>2027</v>
      </c>
      <c r="B292" s="1" t="s">
        <v>13</v>
      </c>
      <c r="C292" s="1" t="s">
        <v>41</v>
      </c>
      <c r="D292" s="1" t="s">
        <v>680</v>
      </c>
      <c r="E292" t="s">
        <v>355</v>
      </c>
      <c r="F292">
        <v>354</v>
      </c>
      <c r="G292">
        <v>91</v>
      </c>
      <c r="H292">
        <v>445</v>
      </c>
      <c r="I292" s="6">
        <v>19870</v>
      </c>
      <c r="J292">
        <v>398</v>
      </c>
      <c r="K292">
        <v>437</v>
      </c>
      <c r="L292" s="6">
        <v>21150</v>
      </c>
      <c r="M292" s="6">
        <v>20224</v>
      </c>
      <c r="N292" s="6">
        <v>926</v>
      </c>
    </row>
    <row r="293" spans="1:14" x14ac:dyDescent="0.25">
      <c r="A293">
        <v>2027</v>
      </c>
      <c r="B293" s="1" t="s">
        <v>13</v>
      </c>
      <c r="C293" s="1" t="s">
        <v>41</v>
      </c>
      <c r="D293" s="1" t="s">
        <v>681</v>
      </c>
      <c r="E293" t="s">
        <v>356</v>
      </c>
      <c r="F293">
        <v>377</v>
      </c>
      <c r="G293">
        <v>97</v>
      </c>
      <c r="H293">
        <v>474</v>
      </c>
      <c r="I293" s="6">
        <v>20985</v>
      </c>
      <c r="J293">
        <v>199</v>
      </c>
      <c r="K293">
        <v>219</v>
      </c>
      <c r="L293" s="6">
        <v>21877</v>
      </c>
      <c r="M293" s="6">
        <v>21362</v>
      </c>
      <c r="N293">
        <v>515</v>
      </c>
    </row>
    <row r="294" spans="1:14" x14ac:dyDescent="0.25">
      <c r="A294">
        <v>2027</v>
      </c>
      <c r="B294" s="1" t="s">
        <v>7</v>
      </c>
      <c r="C294" s="1" t="s">
        <v>35</v>
      </c>
      <c r="D294" s="1" t="s">
        <v>682</v>
      </c>
      <c r="E294" t="s">
        <v>357</v>
      </c>
      <c r="F294">
        <v>236</v>
      </c>
      <c r="G294">
        <v>66</v>
      </c>
      <c r="H294">
        <v>302</v>
      </c>
      <c r="I294" s="6">
        <v>30292</v>
      </c>
      <c r="J294" s="6">
        <v>2730</v>
      </c>
      <c r="K294" s="6">
        <v>3043</v>
      </c>
      <c r="L294" s="6">
        <v>36367</v>
      </c>
      <c r="M294" s="6">
        <v>30528</v>
      </c>
      <c r="N294" s="6">
        <v>5839</v>
      </c>
    </row>
    <row r="295" spans="1:14" x14ac:dyDescent="0.25">
      <c r="A295">
        <v>2027</v>
      </c>
      <c r="B295" s="63" t="s">
        <v>9</v>
      </c>
      <c r="C295" s="1" t="s">
        <v>37</v>
      </c>
      <c r="D295" s="1" t="s">
        <v>683</v>
      </c>
      <c r="E295" t="s">
        <v>358</v>
      </c>
      <c r="F295">
        <v>559</v>
      </c>
      <c r="G295">
        <v>148</v>
      </c>
      <c r="H295">
        <v>707</v>
      </c>
      <c r="I295" s="6">
        <v>61406</v>
      </c>
      <c r="J295" s="6">
        <v>7887</v>
      </c>
      <c r="K295" s="6">
        <v>8675</v>
      </c>
      <c r="L295" s="6">
        <v>78675</v>
      </c>
      <c r="M295" s="6">
        <v>61965</v>
      </c>
      <c r="N295" s="6">
        <v>16710</v>
      </c>
    </row>
    <row r="296" spans="1:14" x14ac:dyDescent="0.25">
      <c r="A296">
        <v>2027</v>
      </c>
      <c r="B296" s="1" t="s">
        <v>7</v>
      </c>
      <c r="C296" s="1" t="s">
        <v>35</v>
      </c>
      <c r="D296" s="1" t="s">
        <v>684</v>
      </c>
      <c r="E296" t="s">
        <v>359</v>
      </c>
      <c r="F296" s="6">
        <v>4437</v>
      </c>
      <c r="G296" s="6">
        <v>1238</v>
      </c>
      <c r="H296" s="6">
        <v>5675</v>
      </c>
      <c r="I296" s="6">
        <v>571012</v>
      </c>
      <c r="J296" s="6">
        <v>94425</v>
      </c>
      <c r="K296" s="6">
        <v>105244</v>
      </c>
      <c r="L296" s="6">
        <v>776356</v>
      </c>
      <c r="M296" s="6">
        <v>575449</v>
      </c>
      <c r="N296" s="6">
        <v>200907</v>
      </c>
    </row>
    <row r="297" spans="1:14" x14ac:dyDescent="0.25">
      <c r="A297">
        <v>2027</v>
      </c>
      <c r="B297" s="63" t="s">
        <v>10</v>
      </c>
      <c r="C297" s="1" t="s">
        <v>38</v>
      </c>
      <c r="D297" s="1" t="s">
        <v>685</v>
      </c>
      <c r="E297" t="s">
        <v>360</v>
      </c>
      <c r="F297" s="6">
        <v>2428</v>
      </c>
      <c r="G297" s="6">
        <v>579</v>
      </c>
      <c r="H297" s="6">
        <v>3007</v>
      </c>
      <c r="I297" s="6">
        <v>483848</v>
      </c>
      <c r="J297" s="6">
        <v>100563</v>
      </c>
      <c r="K297" s="6">
        <v>110534</v>
      </c>
      <c r="L297" s="6">
        <v>697952</v>
      </c>
      <c r="M297" s="6">
        <v>486276</v>
      </c>
      <c r="N297" s="6">
        <v>211676</v>
      </c>
    </row>
    <row r="298" spans="1:14" x14ac:dyDescent="0.25">
      <c r="A298">
        <v>2027</v>
      </c>
      <c r="B298" s="1" t="s">
        <v>7</v>
      </c>
      <c r="C298" s="1" t="s">
        <v>35</v>
      </c>
      <c r="D298" s="1" t="s">
        <v>686</v>
      </c>
      <c r="E298" t="s">
        <v>361</v>
      </c>
      <c r="F298">
        <v>790</v>
      </c>
      <c r="G298">
        <v>220</v>
      </c>
      <c r="H298" s="6">
        <v>1010</v>
      </c>
      <c r="I298" s="6">
        <v>105375</v>
      </c>
      <c r="J298" s="6">
        <v>14050</v>
      </c>
      <c r="K298" s="6">
        <v>15660</v>
      </c>
      <c r="L298" s="6">
        <v>136095</v>
      </c>
      <c r="M298" s="6">
        <v>106165</v>
      </c>
      <c r="N298" s="6">
        <v>29930</v>
      </c>
    </row>
    <row r="299" spans="1:14" x14ac:dyDescent="0.25">
      <c r="A299">
        <v>2027</v>
      </c>
      <c r="B299" s="63" t="s">
        <v>13</v>
      </c>
      <c r="C299" s="1" t="s">
        <v>41</v>
      </c>
      <c r="D299" s="1" t="s">
        <v>687</v>
      </c>
      <c r="E299" t="s">
        <v>362</v>
      </c>
      <c r="F299">
        <v>430</v>
      </c>
      <c r="G299">
        <v>111</v>
      </c>
      <c r="H299" s="6">
        <v>541</v>
      </c>
      <c r="I299" s="6">
        <v>24045</v>
      </c>
      <c r="J299" s="6">
        <v>0</v>
      </c>
      <c r="K299" s="6">
        <v>0</v>
      </c>
      <c r="L299" s="6">
        <v>24586</v>
      </c>
      <c r="M299" s="6">
        <v>24475</v>
      </c>
      <c r="N299" s="6">
        <v>111</v>
      </c>
    </row>
    <row r="300" spans="1:14" x14ac:dyDescent="0.25">
      <c r="A300">
        <v>2027</v>
      </c>
      <c r="B300" s="1" t="s">
        <v>6</v>
      </c>
      <c r="C300" s="1" t="s">
        <v>34</v>
      </c>
      <c r="D300" s="1" t="s">
        <v>688</v>
      </c>
      <c r="E300" t="s">
        <v>363</v>
      </c>
      <c r="F300">
        <v>0</v>
      </c>
      <c r="G300">
        <v>0</v>
      </c>
      <c r="H300">
        <v>0</v>
      </c>
      <c r="I300" s="6">
        <v>74440</v>
      </c>
      <c r="J300" s="6">
        <v>6464</v>
      </c>
      <c r="K300" s="6">
        <v>7236</v>
      </c>
      <c r="L300" s="6">
        <v>88140</v>
      </c>
      <c r="M300" s="6">
        <v>74440</v>
      </c>
      <c r="N300" s="6">
        <v>13700</v>
      </c>
    </row>
    <row r="301" spans="1:14" x14ac:dyDescent="0.25">
      <c r="A301">
        <v>2027</v>
      </c>
      <c r="B301" s="63" t="s">
        <v>6</v>
      </c>
      <c r="C301" s="1" t="s">
        <v>34</v>
      </c>
      <c r="D301" s="1" t="s">
        <v>689</v>
      </c>
      <c r="E301" t="s">
        <v>364</v>
      </c>
      <c r="F301">
        <v>0</v>
      </c>
      <c r="G301">
        <v>0</v>
      </c>
      <c r="H301">
        <v>0</v>
      </c>
      <c r="I301" s="6">
        <v>13893</v>
      </c>
      <c r="J301" s="6">
        <v>2266</v>
      </c>
      <c r="K301" s="6">
        <v>2536</v>
      </c>
      <c r="L301" s="6">
        <v>18695</v>
      </c>
      <c r="M301" s="6">
        <v>13893</v>
      </c>
      <c r="N301" s="6">
        <v>4802</v>
      </c>
    </row>
    <row r="302" spans="1:14" x14ac:dyDescent="0.25">
      <c r="A302">
        <v>2027</v>
      </c>
      <c r="B302" s="63" t="s">
        <v>9</v>
      </c>
      <c r="C302" s="1" t="s">
        <v>37</v>
      </c>
      <c r="D302" s="1" t="s">
        <v>690</v>
      </c>
      <c r="E302" t="s">
        <v>365</v>
      </c>
      <c r="F302">
        <v>284</v>
      </c>
      <c r="G302">
        <v>75</v>
      </c>
      <c r="H302">
        <v>359</v>
      </c>
      <c r="I302" s="6">
        <v>31132</v>
      </c>
      <c r="J302" s="6">
        <v>795</v>
      </c>
      <c r="K302" s="6">
        <v>875</v>
      </c>
      <c r="L302" s="6">
        <v>33161</v>
      </c>
      <c r="M302" s="6">
        <v>31416</v>
      </c>
      <c r="N302" s="6">
        <v>1745</v>
      </c>
    </row>
    <row r="303" spans="1:14" x14ac:dyDescent="0.25">
      <c r="A303">
        <v>2027</v>
      </c>
      <c r="B303" s="1" t="s">
        <v>13</v>
      </c>
      <c r="C303" s="1" t="s">
        <v>41</v>
      </c>
      <c r="D303" s="1" t="s">
        <v>691</v>
      </c>
      <c r="E303" t="s">
        <v>366</v>
      </c>
      <c r="F303">
        <v>289</v>
      </c>
      <c r="G303">
        <v>75</v>
      </c>
      <c r="H303">
        <v>364</v>
      </c>
      <c r="I303" s="6">
        <v>16122</v>
      </c>
      <c r="J303">
        <v>994</v>
      </c>
      <c r="K303" s="6">
        <v>1093</v>
      </c>
      <c r="L303" s="6">
        <v>18573</v>
      </c>
      <c r="M303" s="6">
        <v>16411</v>
      </c>
      <c r="N303" s="6">
        <v>2162</v>
      </c>
    </row>
    <row r="304" spans="1:14" x14ac:dyDescent="0.25">
      <c r="A304">
        <v>2027</v>
      </c>
      <c r="B304" s="1" t="s">
        <v>5</v>
      </c>
      <c r="C304" s="1" t="s">
        <v>33</v>
      </c>
      <c r="D304" s="1" t="s">
        <v>692</v>
      </c>
      <c r="E304" t="s">
        <v>367</v>
      </c>
      <c r="F304">
        <v>214</v>
      </c>
      <c r="G304">
        <v>67</v>
      </c>
      <c r="H304">
        <v>281</v>
      </c>
      <c r="I304" s="6">
        <v>11250</v>
      </c>
      <c r="J304" s="6">
        <v>133</v>
      </c>
      <c r="K304" s="6">
        <v>148</v>
      </c>
      <c r="L304" s="6">
        <v>11812</v>
      </c>
      <c r="M304" s="6">
        <v>11464</v>
      </c>
      <c r="N304" s="6">
        <v>348</v>
      </c>
    </row>
    <row r="305" spans="1:14" x14ac:dyDescent="0.25">
      <c r="A305">
        <v>2027</v>
      </c>
      <c r="B305" s="63" t="s">
        <v>10</v>
      </c>
      <c r="C305" s="1" t="s">
        <v>38</v>
      </c>
      <c r="D305" s="1" t="s">
        <v>693</v>
      </c>
      <c r="E305" t="s">
        <v>368</v>
      </c>
      <c r="F305">
        <v>160</v>
      </c>
      <c r="G305">
        <v>38</v>
      </c>
      <c r="H305">
        <v>198</v>
      </c>
      <c r="I305" s="6">
        <v>32241</v>
      </c>
      <c r="J305">
        <v>331</v>
      </c>
      <c r="K305">
        <v>364</v>
      </c>
      <c r="L305" s="6">
        <v>33134</v>
      </c>
      <c r="M305" s="6">
        <v>32401</v>
      </c>
      <c r="N305">
        <v>733</v>
      </c>
    </row>
    <row r="306" spans="1:14" x14ac:dyDescent="0.25">
      <c r="A306">
        <v>2027</v>
      </c>
      <c r="B306" s="1" t="s">
        <v>5</v>
      </c>
      <c r="C306" s="1" t="s">
        <v>33</v>
      </c>
      <c r="D306" s="1" t="s">
        <v>694</v>
      </c>
      <c r="E306" t="s">
        <v>369</v>
      </c>
      <c r="F306" s="6">
        <v>1062</v>
      </c>
      <c r="G306">
        <v>338</v>
      </c>
      <c r="H306" s="6">
        <v>1400</v>
      </c>
      <c r="I306" s="6">
        <v>53863</v>
      </c>
      <c r="J306" s="6">
        <v>15309</v>
      </c>
      <c r="K306" s="6">
        <v>17050</v>
      </c>
      <c r="L306" s="6">
        <v>87622</v>
      </c>
      <c r="M306" s="6">
        <v>54925</v>
      </c>
      <c r="N306" s="6">
        <v>32697</v>
      </c>
    </row>
    <row r="307" spans="1:14" x14ac:dyDescent="0.25">
      <c r="A307">
        <v>2027</v>
      </c>
      <c r="B307" s="63" t="s">
        <v>10</v>
      </c>
      <c r="C307" s="1" t="s">
        <v>38</v>
      </c>
      <c r="D307" s="1" t="s">
        <v>695</v>
      </c>
      <c r="E307" t="s">
        <v>370</v>
      </c>
      <c r="F307" s="6">
        <v>1416</v>
      </c>
      <c r="G307">
        <v>338</v>
      </c>
      <c r="H307" s="6">
        <v>1754</v>
      </c>
      <c r="I307" s="6">
        <v>283763</v>
      </c>
      <c r="J307" s="6">
        <v>91433</v>
      </c>
      <c r="K307" s="6">
        <v>100499</v>
      </c>
      <c r="L307" s="6">
        <v>477449</v>
      </c>
      <c r="M307" s="6">
        <v>285179</v>
      </c>
      <c r="N307" s="6">
        <v>192270</v>
      </c>
    </row>
    <row r="308" spans="1:14" x14ac:dyDescent="0.25">
      <c r="A308">
        <v>2027</v>
      </c>
      <c r="B308" s="1" t="s">
        <v>7</v>
      </c>
      <c r="C308" s="1" t="s">
        <v>35</v>
      </c>
      <c r="D308" s="1" t="s">
        <v>696</v>
      </c>
      <c r="E308" t="s">
        <v>371</v>
      </c>
      <c r="F308">
        <v>289</v>
      </c>
      <c r="G308">
        <v>81</v>
      </c>
      <c r="H308">
        <v>370</v>
      </c>
      <c r="I308" s="6">
        <v>37192</v>
      </c>
      <c r="J308" s="6">
        <v>3862</v>
      </c>
      <c r="K308" s="6">
        <v>4305</v>
      </c>
      <c r="L308" s="6">
        <v>45729</v>
      </c>
      <c r="M308" s="6">
        <v>37481</v>
      </c>
      <c r="N308" s="6">
        <v>8248</v>
      </c>
    </row>
    <row r="309" spans="1:14" x14ac:dyDescent="0.25">
      <c r="A309">
        <v>2027</v>
      </c>
      <c r="B309" s="63" t="s">
        <v>7</v>
      </c>
      <c r="C309" s="1" t="s">
        <v>35</v>
      </c>
      <c r="D309" s="1" t="s">
        <v>697</v>
      </c>
      <c r="E309" t="s">
        <v>372</v>
      </c>
      <c r="F309">
        <v>219</v>
      </c>
      <c r="G309">
        <v>61</v>
      </c>
      <c r="H309">
        <v>280</v>
      </c>
      <c r="I309" s="6">
        <v>28099</v>
      </c>
      <c r="J309" s="6">
        <v>599</v>
      </c>
      <c r="K309" s="6">
        <v>668</v>
      </c>
      <c r="L309" s="6">
        <v>29646</v>
      </c>
      <c r="M309" s="6">
        <v>28318</v>
      </c>
      <c r="N309" s="6">
        <v>1328</v>
      </c>
    </row>
    <row r="310" spans="1:14" x14ac:dyDescent="0.25">
      <c r="A310">
        <v>2027</v>
      </c>
      <c r="B310" s="63" t="s">
        <v>12</v>
      </c>
      <c r="C310" s="1" t="s">
        <v>40</v>
      </c>
      <c r="D310" s="63" t="s">
        <v>698</v>
      </c>
      <c r="E310" t="s">
        <v>373</v>
      </c>
      <c r="F310">
        <v>228</v>
      </c>
      <c r="G310">
        <v>60</v>
      </c>
      <c r="H310">
        <v>288</v>
      </c>
      <c r="I310" s="6">
        <v>14496</v>
      </c>
      <c r="J310">
        <v>0</v>
      </c>
      <c r="K310">
        <v>0</v>
      </c>
      <c r="L310" s="6">
        <v>14784</v>
      </c>
      <c r="M310" s="6">
        <v>14724</v>
      </c>
      <c r="N310" s="6">
        <v>60</v>
      </c>
    </row>
    <row r="311" spans="1:14" x14ac:dyDescent="0.25">
      <c r="A311">
        <v>2027</v>
      </c>
      <c r="B311" s="1" t="s">
        <v>8</v>
      </c>
      <c r="C311" s="1" t="s">
        <v>36</v>
      </c>
      <c r="D311" s="1" t="s">
        <v>699</v>
      </c>
      <c r="E311" t="s">
        <v>374</v>
      </c>
      <c r="F311">
        <v>666</v>
      </c>
      <c r="G311">
        <v>180</v>
      </c>
      <c r="H311">
        <v>846</v>
      </c>
      <c r="I311" s="6">
        <v>46293</v>
      </c>
      <c r="J311">
        <v>463</v>
      </c>
      <c r="K311">
        <v>506</v>
      </c>
      <c r="L311" s="6">
        <v>48108</v>
      </c>
      <c r="M311" s="6">
        <v>46959</v>
      </c>
      <c r="N311" s="6">
        <v>1149</v>
      </c>
    </row>
    <row r="312" spans="1:14" x14ac:dyDescent="0.25">
      <c r="A312">
        <v>2027</v>
      </c>
      <c r="B312" s="63" t="s">
        <v>11</v>
      </c>
      <c r="C312" s="1" t="s">
        <v>39</v>
      </c>
      <c r="D312" s="1" t="s">
        <v>700</v>
      </c>
      <c r="E312" t="s">
        <v>375</v>
      </c>
      <c r="F312">
        <v>525</v>
      </c>
      <c r="G312">
        <v>153</v>
      </c>
      <c r="H312">
        <v>678</v>
      </c>
      <c r="I312" s="6">
        <v>37083</v>
      </c>
      <c r="J312" s="6">
        <v>11916</v>
      </c>
      <c r="K312" s="6">
        <v>13336</v>
      </c>
      <c r="L312" s="6">
        <v>63013</v>
      </c>
      <c r="M312" s="6">
        <v>37608</v>
      </c>
      <c r="N312" s="6">
        <v>25405</v>
      </c>
    </row>
    <row r="313" spans="1:14" x14ac:dyDescent="0.25">
      <c r="A313">
        <v>2027</v>
      </c>
      <c r="B313" s="1" t="s">
        <v>7</v>
      </c>
      <c r="C313" s="1" t="s">
        <v>35</v>
      </c>
      <c r="D313" s="1" t="s">
        <v>701</v>
      </c>
      <c r="E313" t="s">
        <v>376</v>
      </c>
      <c r="F313">
        <v>267</v>
      </c>
      <c r="G313">
        <v>74</v>
      </c>
      <c r="H313">
        <v>341</v>
      </c>
      <c r="I313" s="6">
        <v>34371</v>
      </c>
      <c r="J313" s="6">
        <v>466</v>
      </c>
      <c r="K313" s="6">
        <v>520</v>
      </c>
      <c r="L313" s="6">
        <v>35698</v>
      </c>
      <c r="M313" s="6">
        <v>34638</v>
      </c>
      <c r="N313" s="6">
        <v>1060</v>
      </c>
    </row>
    <row r="314" spans="1:14" x14ac:dyDescent="0.25">
      <c r="A314">
        <v>2027</v>
      </c>
      <c r="B314" s="63" t="s">
        <v>11</v>
      </c>
      <c r="C314" s="1" t="s">
        <v>39</v>
      </c>
      <c r="D314" s="1" t="s">
        <v>702</v>
      </c>
      <c r="E314" t="s">
        <v>377</v>
      </c>
      <c r="F314">
        <v>351</v>
      </c>
      <c r="G314">
        <v>102</v>
      </c>
      <c r="H314">
        <v>453</v>
      </c>
      <c r="I314" s="6">
        <v>24354</v>
      </c>
      <c r="J314">
        <v>133</v>
      </c>
      <c r="K314">
        <v>149</v>
      </c>
      <c r="L314" s="6">
        <v>25089</v>
      </c>
      <c r="M314" s="6">
        <v>24705</v>
      </c>
      <c r="N314" s="6">
        <v>384</v>
      </c>
    </row>
    <row r="315" spans="1:14" x14ac:dyDescent="0.25">
      <c r="A315">
        <v>2027</v>
      </c>
      <c r="B315" s="1" t="s">
        <v>11</v>
      </c>
      <c r="C315" s="1" t="s">
        <v>39</v>
      </c>
      <c r="D315" s="1" t="s">
        <v>703</v>
      </c>
      <c r="E315" t="s">
        <v>378</v>
      </c>
      <c r="F315">
        <v>444</v>
      </c>
      <c r="G315">
        <v>129</v>
      </c>
      <c r="H315">
        <v>573</v>
      </c>
      <c r="I315" s="6">
        <v>30935</v>
      </c>
      <c r="J315" s="6">
        <v>6457</v>
      </c>
      <c r="K315" s="6">
        <v>7227</v>
      </c>
      <c r="L315" s="6">
        <v>45192</v>
      </c>
      <c r="M315" s="6">
        <v>31379</v>
      </c>
      <c r="N315" s="6">
        <v>13813</v>
      </c>
    </row>
    <row r="316" spans="1:14" x14ac:dyDescent="0.25">
      <c r="A316">
        <v>2027</v>
      </c>
      <c r="B316" s="1" t="s">
        <v>5</v>
      </c>
      <c r="C316" s="1" t="s">
        <v>33</v>
      </c>
      <c r="D316" s="1" t="s">
        <v>704</v>
      </c>
      <c r="E316" t="s">
        <v>379</v>
      </c>
      <c r="F316" s="6">
        <v>2549</v>
      </c>
      <c r="G316">
        <v>810</v>
      </c>
      <c r="H316" s="6">
        <v>3359</v>
      </c>
      <c r="I316" s="6">
        <v>129361</v>
      </c>
      <c r="J316" s="6">
        <v>69821</v>
      </c>
      <c r="K316" s="6">
        <v>77762</v>
      </c>
      <c r="L316" s="6">
        <v>280303</v>
      </c>
      <c r="M316" s="6">
        <v>131910</v>
      </c>
      <c r="N316" s="6">
        <v>148393</v>
      </c>
    </row>
    <row r="317" spans="1:14" x14ac:dyDescent="0.25">
      <c r="A317">
        <v>2027</v>
      </c>
      <c r="B317" s="63" t="s">
        <v>11</v>
      </c>
      <c r="C317" s="1" t="s">
        <v>39</v>
      </c>
      <c r="D317" s="1" t="s">
        <v>705</v>
      </c>
      <c r="E317" t="s">
        <v>380</v>
      </c>
      <c r="F317" s="6">
        <v>295</v>
      </c>
      <c r="G317">
        <v>86</v>
      </c>
      <c r="H317" s="6">
        <v>381</v>
      </c>
      <c r="I317" s="6">
        <v>20799</v>
      </c>
      <c r="J317" s="6">
        <v>999</v>
      </c>
      <c r="K317" s="6">
        <v>1118</v>
      </c>
      <c r="L317" s="6">
        <v>23297</v>
      </c>
      <c r="M317" s="6">
        <v>21094</v>
      </c>
      <c r="N317" s="6">
        <v>2203</v>
      </c>
    </row>
    <row r="318" spans="1:14" x14ac:dyDescent="0.25">
      <c r="A318">
        <v>2027</v>
      </c>
      <c r="B318" s="1" t="s">
        <v>11</v>
      </c>
      <c r="C318" s="1" t="s">
        <v>39</v>
      </c>
      <c r="D318" s="1" t="s">
        <v>706</v>
      </c>
      <c r="E318" t="s">
        <v>381</v>
      </c>
      <c r="F318">
        <v>93</v>
      </c>
      <c r="G318">
        <v>27</v>
      </c>
      <c r="H318">
        <v>120</v>
      </c>
      <c r="I318" s="6">
        <v>6909</v>
      </c>
      <c r="J318">
        <v>133</v>
      </c>
      <c r="K318">
        <v>149</v>
      </c>
      <c r="L318" s="6">
        <v>7311</v>
      </c>
      <c r="M318" s="6">
        <v>7002</v>
      </c>
      <c r="N318" s="6">
        <v>309</v>
      </c>
    </row>
    <row r="319" spans="1:14" x14ac:dyDescent="0.25">
      <c r="A319">
        <v>2027</v>
      </c>
      <c r="B319" s="1" t="s">
        <v>9</v>
      </c>
      <c r="C319" s="1" t="s">
        <v>37</v>
      </c>
      <c r="D319" s="1" t="s">
        <v>707</v>
      </c>
      <c r="E319" t="s">
        <v>382</v>
      </c>
      <c r="F319">
        <v>374</v>
      </c>
      <c r="G319">
        <v>98</v>
      </c>
      <c r="H319">
        <v>472</v>
      </c>
      <c r="I319" s="6">
        <v>40937</v>
      </c>
      <c r="J319" s="6">
        <v>6495</v>
      </c>
      <c r="K319" s="6">
        <v>7144</v>
      </c>
      <c r="L319" s="6">
        <v>55048</v>
      </c>
      <c r="M319" s="6">
        <v>41311</v>
      </c>
      <c r="N319" s="6">
        <v>13737</v>
      </c>
    </row>
    <row r="320" spans="1:14" x14ac:dyDescent="0.25">
      <c r="A320">
        <v>2027</v>
      </c>
      <c r="B320" s="1" t="s">
        <v>8</v>
      </c>
      <c r="C320" s="1" t="s">
        <v>36</v>
      </c>
      <c r="D320" s="1" t="s">
        <v>708</v>
      </c>
      <c r="E320" t="s">
        <v>383</v>
      </c>
      <c r="F320">
        <v>402</v>
      </c>
      <c r="G320">
        <v>109</v>
      </c>
      <c r="H320">
        <v>511</v>
      </c>
      <c r="I320" s="6">
        <v>28999</v>
      </c>
      <c r="J320" s="6">
        <v>397</v>
      </c>
      <c r="K320" s="6">
        <v>434</v>
      </c>
      <c r="L320" s="6">
        <v>30341</v>
      </c>
      <c r="M320" s="6">
        <v>29401</v>
      </c>
      <c r="N320" s="6">
        <v>940</v>
      </c>
    </row>
    <row r="321" spans="1:14" x14ac:dyDescent="0.25">
      <c r="A321">
        <v>2027</v>
      </c>
      <c r="B321" s="63" t="s">
        <v>13</v>
      </c>
      <c r="C321" s="1" t="s">
        <v>41</v>
      </c>
      <c r="D321" s="1" t="s">
        <v>709</v>
      </c>
      <c r="E321" t="s">
        <v>384</v>
      </c>
      <c r="F321">
        <v>219</v>
      </c>
      <c r="G321">
        <v>57</v>
      </c>
      <c r="H321">
        <v>276</v>
      </c>
      <c r="I321" s="6">
        <v>12199</v>
      </c>
      <c r="J321">
        <v>66</v>
      </c>
      <c r="K321">
        <v>73</v>
      </c>
      <c r="L321" s="6">
        <v>12614</v>
      </c>
      <c r="M321" s="6">
        <v>12418</v>
      </c>
      <c r="N321">
        <v>196</v>
      </c>
    </row>
    <row r="322" spans="1:14" x14ac:dyDescent="0.25">
      <c r="A322">
        <v>2027</v>
      </c>
      <c r="B322" s="1" t="s">
        <v>10</v>
      </c>
      <c r="C322" s="1" t="s">
        <v>38</v>
      </c>
      <c r="D322" s="1" t="s">
        <v>710</v>
      </c>
      <c r="E322" t="s">
        <v>385</v>
      </c>
      <c r="F322">
        <v>284</v>
      </c>
      <c r="G322">
        <v>68</v>
      </c>
      <c r="H322">
        <v>352</v>
      </c>
      <c r="I322" s="6">
        <v>56410</v>
      </c>
      <c r="J322" s="6">
        <v>1985</v>
      </c>
      <c r="K322" s="6">
        <v>2182</v>
      </c>
      <c r="L322" s="6">
        <v>60929</v>
      </c>
      <c r="M322" s="6">
        <v>56694</v>
      </c>
      <c r="N322" s="6">
        <v>4235</v>
      </c>
    </row>
    <row r="323" spans="1:14" x14ac:dyDescent="0.25">
      <c r="A323">
        <v>2027</v>
      </c>
      <c r="B323" s="1" t="s">
        <v>12</v>
      </c>
      <c r="C323" s="1" t="s">
        <v>40</v>
      </c>
      <c r="D323" s="1" t="s">
        <v>711</v>
      </c>
      <c r="E323" t="s">
        <v>386</v>
      </c>
      <c r="F323">
        <v>343</v>
      </c>
      <c r="G323">
        <v>91</v>
      </c>
      <c r="H323">
        <v>434</v>
      </c>
      <c r="I323" s="6">
        <v>21789</v>
      </c>
      <c r="J323" s="6">
        <v>66</v>
      </c>
      <c r="K323" s="6">
        <v>73</v>
      </c>
      <c r="L323" s="6">
        <v>22362</v>
      </c>
      <c r="M323" s="6">
        <v>22132</v>
      </c>
      <c r="N323" s="6">
        <v>230</v>
      </c>
    </row>
    <row r="324" spans="1:14" x14ac:dyDescent="0.25">
      <c r="A324">
        <v>2027</v>
      </c>
      <c r="B324" s="1" t="s">
        <v>11</v>
      </c>
      <c r="C324" s="1" t="s">
        <v>39</v>
      </c>
      <c r="D324" s="1" t="s">
        <v>712</v>
      </c>
      <c r="E324" t="s">
        <v>387</v>
      </c>
      <c r="F324">
        <v>318</v>
      </c>
      <c r="G324">
        <v>92</v>
      </c>
      <c r="H324">
        <v>410</v>
      </c>
      <c r="I324" s="6">
        <v>22090</v>
      </c>
      <c r="J324">
        <v>399</v>
      </c>
      <c r="K324">
        <v>447</v>
      </c>
      <c r="L324" s="6">
        <v>23346</v>
      </c>
      <c r="M324" s="6">
        <v>22408</v>
      </c>
      <c r="N324">
        <v>938</v>
      </c>
    </row>
    <row r="325" spans="1:14" x14ac:dyDescent="0.25">
      <c r="A325">
        <v>2027</v>
      </c>
      <c r="B325" s="1" t="s">
        <v>10</v>
      </c>
      <c r="C325" s="1" t="s">
        <v>38</v>
      </c>
      <c r="D325" s="1" t="s">
        <v>713</v>
      </c>
      <c r="E325" t="s">
        <v>388</v>
      </c>
      <c r="F325">
        <v>185</v>
      </c>
      <c r="G325">
        <v>45</v>
      </c>
      <c r="H325">
        <v>230</v>
      </c>
      <c r="I325" s="6">
        <v>37022</v>
      </c>
      <c r="J325" s="6">
        <v>2316</v>
      </c>
      <c r="K325" s="6">
        <v>2545</v>
      </c>
      <c r="L325" s="6">
        <v>42113</v>
      </c>
      <c r="M325" s="6">
        <v>37207</v>
      </c>
      <c r="N325" s="6">
        <v>4906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tabColor rgb="FF92D050"/>
    <pageSetUpPr fitToPage="1"/>
  </sheetPr>
  <dimension ref="A1:M39"/>
  <sheetViews>
    <sheetView topLeftCell="A2" zoomScale="90" zoomScaleNormal="90" workbookViewId="0">
      <selection activeCell="C4" sqref="C4"/>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11" hidden="1" customWidth="1"/>
    <col min="13" max="13" width="12.140625" hidden="1" customWidth="1"/>
  </cols>
  <sheetData>
    <row r="1" spans="1:11" ht="45" customHeight="1" x14ac:dyDescent="0.25">
      <c r="A1" s="83" t="str">
        <f>_xlfn.CONCAT("FY ",K2," AEA Enrollments and Cost - Final - State Aid and Property Tax Breakdown - June Payment")</f>
        <v>FY 2027 AEA Enrollments and Cost - Final - State Aid and Property Tax Breakdown - June Payment</v>
      </c>
      <c r="B1" s="83"/>
      <c r="C1" s="83"/>
      <c r="D1" s="83"/>
      <c r="E1" s="83"/>
      <c r="F1" s="83"/>
      <c r="G1" s="83"/>
      <c r="H1" s="83"/>
      <c r="I1" s="83"/>
    </row>
    <row r="2" spans="1:11" s="10" customFormat="1" ht="45" x14ac:dyDescent="0.25">
      <c r="A2" s="7" t="s">
        <v>31</v>
      </c>
      <c r="B2" s="7" t="s">
        <v>32</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2027</v>
      </c>
    </row>
    <row r="3" spans="1:11" x14ac:dyDescent="0.25">
      <c r="A3" s="18" t="str">
        <f>Data!A2</f>
        <v>01</v>
      </c>
      <c r="B3" s="11" t="str">
        <f>INDEX(Data_Detail_OLD[],MATCH('PaymentCodingDetail_June-old'!$A3,Data_Detail_OLD[AEA],0),3)</f>
        <v>Keystone AEA 1</v>
      </c>
      <c r="C3" s="12" t="e">
        <f>'PaymentCodingTotal-old'!C3-('PaymentCodingDetai_Sept-May-old'!C3*9)</f>
        <v>#DIV/0!</v>
      </c>
      <c r="D3" s="12" t="e">
        <f>'PaymentCodingTotal-old'!D3-('PaymentCodingDetai_Sept-May-old'!D3*9)</f>
        <v>#DIV/0!</v>
      </c>
      <c r="E3" s="12" t="e">
        <f>'PaymentCodingTotal-old'!E3-('PaymentCodingDetai_Sept-May-old'!E3*9)</f>
        <v>#DIV/0!</v>
      </c>
      <c r="F3" s="48" t="e">
        <f>D3-E3</f>
        <v>#DIV/0!</v>
      </c>
      <c r="G3" s="19" t="e">
        <f>'PaymentCodingTotal-old'!G3-('PaymentCodingDetai_Sept-May-old'!G3*9)</f>
        <v>#DIV/0!</v>
      </c>
      <c r="H3" s="19" t="e">
        <f>'PaymentCodingTotal-old'!H3-('PaymentCodingDetai_Sept-May-old'!H3*9)</f>
        <v>#DIV/0!</v>
      </c>
      <c r="I3" s="47" t="e">
        <f>SUM(F3:H3)</f>
        <v>#DIV/0!</v>
      </c>
      <c r="K3" s="6" t="e">
        <f>G12+D24+H12+C36+D36-G36</f>
        <v>#DIV/0!</v>
      </c>
    </row>
    <row r="4" spans="1:11" x14ac:dyDescent="0.25">
      <c r="A4" s="18" t="str">
        <f>Data!A3</f>
        <v>05</v>
      </c>
      <c r="B4" s="11" t="str">
        <f>INDEX(Data_Detail_OLD[],MATCH('PaymentCodingDetail_June-old'!$A4,Data_Detail_OLD[AEA],0),3)</f>
        <v>Prairie Lakes AEA 8</v>
      </c>
      <c r="C4" s="12" t="e">
        <f>'PaymentCodingTotal-old'!C4-('PaymentCodingDetai_Sept-May-old'!C4*9)</f>
        <v>#DIV/0!</v>
      </c>
      <c r="D4" s="12" t="e">
        <f>'PaymentCodingTotal-old'!D4-('PaymentCodingDetai_Sept-May-old'!D4*9)</f>
        <v>#DIV/0!</v>
      </c>
      <c r="E4" s="12" t="e">
        <f>'PaymentCodingTotal-old'!E4-('PaymentCodingDetai_Sept-May-old'!E4*9)</f>
        <v>#DIV/0!</v>
      </c>
      <c r="F4" s="48" t="e">
        <f t="shared" ref="F4:F11" si="0">D4-E4</f>
        <v>#DIV/0!</v>
      </c>
      <c r="G4" s="19" t="e">
        <f>'PaymentCodingTotal-old'!G4-('PaymentCodingDetai_Sept-May-old'!G4*9)</f>
        <v>#DIV/0!</v>
      </c>
      <c r="H4" s="19" t="e">
        <f>'PaymentCodingTotal-old'!H4-('PaymentCodingDetai_Sept-May-old'!H4*9)</f>
        <v>#DIV/0!</v>
      </c>
      <c r="I4" s="47" t="e">
        <f t="shared" ref="I4:I11" si="1">SUM(F4:H4)</f>
        <v>#DIV/0!</v>
      </c>
      <c r="K4" s="6" t="e">
        <f>F12+C24+F24+G24-F36</f>
        <v>#DIV/0!</v>
      </c>
    </row>
    <row r="5" spans="1:11" x14ac:dyDescent="0.25">
      <c r="A5" s="18" t="str">
        <f>Data!A4</f>
        <v>07</v>
      </c>
      <c r="B5" s="11" t="str">
        <f>INDEX(Data_Detail_OLD[],MATCH('PaymentCodingDetail_June-old'!$A5,Data_Detail_OLD[AEA],0),3)</f>
        <v>Central Rivers</v>
      </c>
      <c r="C5" s="12" t="e">
        <f>'PaymentCodingTotal-old'!C5-('PaymentCodingDetai_Sept-May-old'!C5*9)</f>
        <v>#DIV/0!</v>
      </c>
      <c r="D5" s="12" t="e">
        <f>'PaymentCodingTotal-old'!D5-('PaymentCodingDetai_Sept-May-old'!D5*9)</f>
        <v>#DIV/0!</v>
      </c>
      <c r="E5" s="12" t="e">
        <f>'PaymentCodingTotal-old'!E5-('PaymentCodingDetai_Sept-May-old'!E5*9)</f>
        <v>#DIV/0!</v>
      </c>
      <c r="F5" s="48" t="e">
        <f t="shared" si="0"/>
        <v>#DIV/0!</v>
      </c>
      <c r="G5" s="19" t="e">
        <f>'PaymentCodingTotal-old'!G5-('PaymentCodingDetai_Sept-May-old'!G5*9)</f>
        <v>#DIV/0!</v>
      </c>
      <c r="H5" s="19" t="e">
        <f>'PaymentCodingTotal-old'!H5-('PaymentCodingDetai_Sept-May-old'!H5*9)</f>
        <v>#DIV/0!</v>
      </c>
      <c r="I5" s="47" t="e">
        <f t="shared" si="1"/>
        <v>#DIV/0!</v>
      </c>
      <c r="K5" s="6" t="e">
        <f>F12+E12-D12</f>
        <v>#DIV/0!</v>
      </c>
    </row>
    <row r="6" spans="1:11" x14ac:dyDescent="0.25">
      <c r="A6" s="18" t="str">
        <f>Data!A5</f>
        <v>09</v>
      </c>
      <c r="B6" s="11" t="str">
        <f>INDEX(Data_Detail_OLD[],MATCH('PaymentCodingDetail_June-old'!$A6,Data_Detail_OLD[AEA],0),3)</f>
        <v>Mississippi Bend AEA 9</v>
      </c>
      <c r="C6" s="12" t="e">
        <f>'PaymentCodingTotal-old'!C6-('PaymentCodingDetai_Sept-May-old'!C6*9)</f>
        <v>#DIV/0!</v>
      </c>
      <c r="D6" s="12" t="e">
        <f>'PaymentCodingTotal-old'!D6-('PaymentCodingDetai_Sept-May-old'!D6*9)</f>
        <v>#DIV/0!</v>
      </c>
      <c r="E6" s="12" t="e">
        <f>'PaymentCodingTotal-old'!E6-('PaymentCodingDetai_Sept-May-old'!E6*9)</f>
        <v>#DIV/0!</v>
      </c>
      <c r="F6" s="48" t="e">
        <f t="shared" si="0"/>
        <v>#DIV/0!</v>
      </c>
      <c r="G6" s="19" t="e">
        <f>'PaymentCodingTotal-old'!G6-('PaymentCodingDetai_Sept-May-old'!G6*9)</f>
        <v>#DIV/0!</v>
      </c>
      <c r="H6" s="19" t="e">
        <f>'PaymentCodingTotal-old'!H6-('PaymentCodingDetai_Sept-May-old'!H6*9)</f>
        <v>#DIV/0!</v>
      </c>
      <c r="I6" s="47" t="e">
        <f t="shared" si="1"/>
        <v>#DIV/0!</v>
      </c>
      <c r="K6" s="6" t="e">
        <f>H12+G12+F12-I12</f>
        <v>#DIV/0!</v>
      </c>
    </row>
    <row r="7" spans="1:11" x14ac:dyDescent="0.25">
      <c r="A7" s="18" t="str">
        <f>Data!A6</f>
        <v>10</v>
      </c>
      <c r="B7" s="11" t="str">
        <f>INDEX(Data_Detail_OLD[],MATCH('PaymentCodingDetail_June-old'!$A7,Data_Detail_OLD[AEA],0),3)</f>
        <v>Grant Wood AEA 10</v>
      </c>
      <c r="C7" s="12" t="e">
        <f>'PaymentCodingTotal-old'!C7-('PaymentCodingDetai_Sept-May-old'!C7*9)</f>
        <v>#DIV/0!</v>
      </c>
      <c r="D7" s="12" t="e">
        <f>'PaymentCodingTotal-old'!D7-('PaymentCodingDetai_Sept-May-old'!D7*9)</f>
        <v>#DIV/0!</v>
      </c>
      <c r="E7" s="12" t="e">
        <f>'PaymentCodingTotal-old'!E7-('PaymentCodingDetai_Sept-May-old'!E7*9)</f>
        <v>#DIV/0!</v>
      </c>
      <c r="F7" s="48" t="e">
        <f t="shared" si="0"/>
        <v>#DIV/0!</v>
      </c>
      <c r="G7" s="19" t="e">
        <f>'PaymentCodingTotal-old'!G7-('PaymentCodingDetai_Sept-May-old'!G7*9)</f>
        <v>#DIV/0!</v>
      </c>
      <c r="H7" s="19" t="e">
        <f>'PaymentCodingTotal-old'!H7-('PaymentCodingDetai_Sept-May-old'!H7*9)</f>
        <v>#DIV/0!</v>
      </c>
      <c r="I7" s="47" t="e">
        <f t="shared" si="1"/>
        <v>#DIV/0!</v>
      </c>
      <c r="K7" s="6" t="e">
        <f>C24+D24-E24</f>
        <v>#DIV/0!</v>
      </c>
    </row>
    <row r="8" spans="1:11" x14ac:dyDescent="0.25">
      <c r="A8" s="18" t="str">
        <f>Data!A7</f>
        <v>11</v>
      </c>
      <c r="B8" s="11" t="str">
        <f>INDEX(Data_Detail_OLD[],MATCH('PaymentCodingDetail_June-old'!$A8,Data_Detail_OLD[AEA],0),3)</f>
        <v>Heartland AEA 11</v>
      </c>
      <c r="C8" s="12" t="e">
        <f>'PaymentCodingTotal-old'!C8-('PaymentCodingDetai_Sept-May-old'!C8*9)</f>
        <v>#DIV/0!</v>
      </c>
      <c r="D8" s="12" t="e">
        <f>'PaymentCodingTotal-old'!D8-('PaymentCodingDetai_Sept-May-old'!D8*9)</f>
        <v>#DIV/0!</v>
      </c>
      <c r="E8" s="12" t="e">
        <f>'PaymentCodingTotal-old'!E8-('PaymentCodingDetai_Sept-May-old'!E8*9)</f>
        <v>#DIV/0!</v>
      </c>
      <c r="F8" s="48" t="e">
        <f t="shared" si="0"/>
        <v>#DIV/0!</v>
      </c>
      <c r="G8" s="19" t="e">
        <f>'PaymentCodingTotal-old'!G8-('PaymentCodingDetai_Sept-May-old'!G8*9)</f>
        <v>#DIV/0!</v>
      </c>
      <c r="H8" s="19" t="e">
        <f>'PaymentCodingTotal-old'!H8-('PaymentCodingDetai_Sept-May-old'!H8*9)</f>
        <v>#DIV/0!</v>
      </c>
      <c r="I8" s="47" t="e">
        <f t="shared" si="1"/>
        <v>#DIV/0!</v>
      </c>
    </row>
    <row r="9" spans="1:11" x14ac:dyDescent="0.25">
      <c r="A9" s="18" t="str">
        <f>Data!A8</f>
        <v>12</v>
      </c>
      <c r="B9" s="11" t="str">
        <f>INDEX(Data_Detail_OLD[],MATCH('PaymentCodingDetail_June-old'!$A9,Data_Detail_OLD[AEA],0),3)</f>
        <v>Northwest AEA</v>
      </c>
      <c r="C9" s="12" t="e">
        <f>'PaymentCodingTotal-old'!C9-('PaymentCodingDetai_Sept-May-old'!C9*9)</f>
        <v>#DIV/0!</v>
      </c>
      <c r="D9" s="12" t="e">
        <f>'PaymentCodingTotal-old'!D9-('PaymentCodingDetai_Sept-May-old'!D9*9)</f>
        <v>#DIV/0!</v>
      </c>
      <c r="E9" s="12" t="e">
        <f>'PaymentCodingTotal-old'!E9-('PaymentCodingDetai_Sept-May-old'!E9*9)</f>
        <v>#DIV/0!</v>
      </c>
      <c r="F9" s="48" t="e">
        <f t="shared" si="0"/>
        <v>#DIV/0!</v>
      </c>
      <c r="G9" s="19" t="e">
        <f>'PaymentCodingTotal-old'!G9-('PaymentCodingDetai_Sept-May-old'!G9*9)</f>
        <v>#DIV/0!</v>
      </c>
      <c r="H9" s="19" t="e">
        <f>'PaymentCodingTotal-old'!H9-('PaymentCodingDetai_Sept-May-old'!H9*9)</f>
        <v>#DIV/0!</v>
      </c>
      <c r="I9" s="47" t="e">
        <f t="shared" si="1"/>
        <v>#DIV/0!</v>
      </c>
    </row>
    <row r="10" spans="1:11" x14ac:dyDescent="0.25">
      <c r="A10" s="18" t="str">
        <f>Data!A9</f>
        <v>13</v>
      </c>
      <c r="B10" s="11" t="str">
        <f>INDEX(Data_Detail_OLD[],MATCH('PaymentCodingDetail_June-old'!$A10,Data_Detail_OLD[AEA],0),3)</f>
        <v>Green Hills AEA 13</v>
      </c>
      <c r="C10" s="12" t="e">
        <f>'PaymentCodingTotal-old'!C10-('PaymentCodingDetai_Sept-May-old'!C10*9)</f>
        <v>#DIV/0!</v>
      </c>
      <c r="D10" s="12" t="e">
        <f>'PaymentCodingTotal-old'!D10-('PaymentCodingDetai_Sept-May-old'!D10*9)</f>
        <v>#DIV/0!</v>
      </c>
      <c r="E10" s="12" t="e">
        <f>'PaymentCodingTotal-old'!E10-('PaymentCodingDetai_Sept-May-old'!E10*9)</f>
        <v>#DIV/0!</v>
      </c>
      <c r="F10" s="48" t="e">
        <f t="shared" si="0"/>
        <v>#DIV/0!</v>
      </c>
      <c r="G10" s="19" t="e">
        <f>'PaymentCodingTotal-old'!G10-('PaymentCodingDetai_Sept-May-old'!G10*9)</f>
        <v>#DIV/0!</v>
      </c>
      <c r="H10" s="19" t="e">
        <f>'PaymentCodingTotal-old'!H10-('PaymentCodingDetai_Sept-May-old'!H10*9)</f>
        <v>#DIV/0!</v>
      </c>
      <c r="I10" s="47" t="e">
        <f t="shared" si="1"/>
        <v>#DIV/0!</v>
      </c>
    </row>
    <row r="11" spans="1:11" x14ac:dyDescent="0.25">
      <c r="A11" s="18" t="str">
        <f>Data!A10</f>
        <v>15</v>
      </c>
      <c r="B11" s="11" t="str">
        <f>INDEX(Data_Detail_OLD[],MATCH('PaymentCodingDetail_June-old'!$A11,Data_Detail_OLD[AEA],0),3)</f>
        <v>Great Prairie AEA 15</v>
      </c>
      <c r="C11" s="12" t="e">
        <f>'PaymentCodingTotal-old'!C11-('PaymentCodingDetai_Sept-May-old'!C11*9)</f>
        <v>#DIV/0!</v>
      </c>
      <c r="D11" s="12" t="e">
        <f>'PaymentCodingTotal-old'!D11-('PaymentCodingDetai_Sept-May-old'!D11*9)</f>
        <v>#DIV/0!</v>
      </c>
      <c r="E11" s="12" t="e">
        <f>'PaymentCodingTotal-old'!E11-('PaymentCodingDetai_Sept-May-old'!E11*9)</f>
        <v>#DIV/0!</v>
      </c>
      <c r="F11" s="48" t="e">
        <f t="shared" si="0"/>
        <v>#DIV/0!</v>
      </c>
      <c r="G11" s="19" t="e">
        <f>'PaymentCodingTotal-old'!G11-('PaymentCodingDetai_Sept-May-old'!G11*9)</f>
        <v>#DIV/0!</v>
      </c>
      <c r="H11" s="19" t="e">
        <f>'PaymentCodingTotal-old'!H11-('PaymentCodingDetai_Sept-May-old'!H11*9)</f>
        <v>#DIV/0!</v>
      </c>
      <c r="I11" s="47" t="e">
        <f t="shared" si="1"/>
        <v>#DIV/0!</v>
      </c>
    </row>
    <row r="12" spans="1:11" ht="15.75" thickBot="1" x14ac:dyDescent="0.3">
      <c r="C12" s="16" t="e">
        <f>SUM(C3:C11)</f>
        <v>#DIV/0!</v>
      </c>
      <c r="D12" s="16" t="e">
        <f t="shared" ref="D12:I12" si="2">SUM(D3:D11)</f>
        <v>#DIV/0!</v>
      </c>
      <c r="E12" s="16" t="e">
        <f t="shared" si="2"/>
        <v>#DIV/0!</v>
      </c>
      <c r="F12" s="37" t="e">
        <f t="shared" si="2"/>
        <v>#DIV/0!</v>
      </c>
      <c r="G12" s="20" t="e">
        <f t="shared" si="2"/>
        <v>#DIV/0!</v>
      </c>
      <c r="H12" s="20" t="e">
        <f>SUM(H3:H11)</f>
        <v>#DIV/0!</v>
      </c>
      <c r="I12" s="16" t="e">
        <f t="shared" si="2"/>
        <v>#DIV/0!</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21" t="str">
        <f>Data_Detail_OLD[[#Headers],[AEA Professional Development Supplement District Cost]]</f>
        <v>AEA Professional Development Supplement District Cost</v>
      </c>
    </row>
    <row r="15" spans="1:11" x14ac:dyDescent="0.25">
      <c r="A15" s="11" t="str">
        <f t="shared" si="3"/>
        <v>01</v>
      </c>
      <c r="B15" s="11" t="str">
        <f t="shared" si="3"/>
        <v>Keystone AEA 1</v>
      </c>
      <c r="C15" s="22" t="e">
        <f>'PaymentCodingTotal-old'!C15-('PaymentCodingDetai_Sept-May-old'!C15*9)</f>
        <v>#DIV/0!</v>
      </c>
      <c r="D15" s="19" t="e">
        <f>'PaymentCodingTotal-old'!D15-('PaymentCodingDetai_Sept-May-old'!D15*9)</f>
        <v>#DIV/0!</v>
      </c>
      <c r="E15" s="50" t="e">
        <f>SUM(C15:D15)</f>
        <v>#DIV/0!</v>
      </c>
      <c r="F15" s="22" t="e">
        <f>'PaymentCodingTotal-old'!F15-('PaymentCodingDetai_Sept-May-old'!F15*9)</f>
        <v>#DIV/0!</v>
      </c>
      <c r="G15" s="22">
        <f>'PaymentCodingTotal-old'!G15-('PaymentCodingDetai_Sept-May-old'!G15*9)</f>
        <v>0</v>
      </c>
    </row>
    <row r="16" spans="1:11" x14ac:dyDescent="0.25">
      <c r="A16" s="11" t="str">
        <f t="shared" si="3"/>
        <v>05</v>
      </c>
      <c r="B16" s="11" t="str">
        <f t="shared" si="3"/>
        <v>Prairie Lakes AEA 8</v>
      </c>
      <c r="C16" s="22" t="e">
        <f>'PaymentCodingTotal-old'!C16-('PaymentCodingDetai_Sept-May-old'!C16*9)</f>
        <v>#DIV/0!</v>
      </c>
      <c r="D16" s="19" t="e">
        <f>'PaymentCodingTotal-old'!D16-('PaymentCodingDetai_Sept-May-old'!D16*9)</f>
        <v>#DIV/0!</v>
      </c>
      <c r="E16" s="50" t="e">
        <f t="shared" ref="E16:E23" si="4">SUM(C16:D16)</f>
        <v>#DIV/0!</v>
      </c>
      <c r="F16" s="22" t="e">
        <f>'PaymentCodingTotal-old'!F16-('PaymentCodingDetai_Sept-May-old'!F16*9)</f>
        <v>#DIV/0!</v>
      </c>
      <c r="G16" s="22">
        <f>'PaymentCodingTotal-old'!G16-('PaymentCodingDetai_Sept-May-old'!G16*9)</f>
        <v>0</v>
      </c>
      <c r="H16" s="84" t="s">
        <v>62</v>
      </c>
    </row>
    <row r="17" spans="1:13" x14ac:dyDescent="0.25">
      <c r="A17" s="11" t="str">
        <f t="shared" si="3"/>
        <v>07</v>
      </c>
      <c r="B17" s="11" t="str">
        <f t="shared" si="3"/>
        <v>Central Rivers</v>
      </c>
      <c r="C17" s="22" t="e">
        <f>'PaymentCodingTotal-old'!C17-('PaymentCodingDetai_Sept-May-old'!C17*9)</f>
        <v>#DIV/0!</v>
      </c>
      <c r="D17" s="19" t="e">
        <f>'PaymentCodingTotal-old'!D17-('PaymentCodingDetai_Sept-May-old'!D17*9)</f>
        <v>#DIV/0!</v>
      </c>
      <c r="E17" s="50" t="e">
        <f t="shared" si="4"/>
        <v>#DIV/0!</v>
      </c>
      <c r="F17" s="22" t="e">
        <f>'PaymentCodingTotal-old'!F17-('PaymentCodingDetai_Sept-May-old'!F17*9)</f>
        <v>#DIV/0!</v>
      </c>
      <c r="G17" s="22">
        <f>'PaymentCodingTotal-old'!G17-('PaymentCodingDetai_Sept-May-old'!G17*9)</f>
        <v>0</v>
      </c>
      <c r="H17" s="84"/>
    </row>
    <row r="18" spans="1:13" x14ac:dyDescent="0.25">
      <c r="A18" s="11" t="str">
        <f t="shared" si="3"/>
        <v>09</v>
      </c>
      <c r="B18" s="11" t="str">
        <f t="shared" si="3"/>
        <v>Mississippi Bend AEA 9</v>
      </c>
      <c r="C18" s="22" t="e">
        <f>'PaymentCodingTotal-old'!C18-('PaymentCodingDetai_Sept-May-old'!C18*9)</f>
        <v>#DIV/0!</v>
      </c>
      <c r="D18" s="19" t="e">
        <f>'PaymentCodingTotal-old'!D18-('PaymentCodingDetai_Sept-May-old'!D18*9)</f>
        <v>#DIV/0!</v>
      </c>
      <c r="E18" s="50" t="e">
        <f t="shared" si="4"/>
        <v>#DIV/0!</v>
      </c>
      <c r="F18" s="22" t="e">
        <f>'PaymentCodingTotal-old'!F18-('PaymentCodingDetai_Sept-May-old'!F18*9)</f>
        <v>#DIV/0!</v>
      </c>
      <c r="G18" s="22">
        <f>'PaymentCodingTotal-old'!G18-('PaymentCodingDetai_Sept-May-old'!G18*9)</f>
        <v>0</v>
      </c>
      <c r="H18" s="85" t="s">
        <v>714</v>
      </c>
    </row>
    <row r="19" spans="1:13" x14ac:dyDescent="0.25">
      <c r="A19" s="11" t="str">
        <f t="shared" si="3"/>
        <v>10</v>
      </c>
      <c r="B19" s="11" t="str">
        <f t="shared" si="3"/>
        <v>Grant Wood AEA 10</v>
      </c>
      <c r="C19" s="22" t="e">
        <f>'PaymentCodingTotal-old'!C19-('PaymentCodingDetai_Sept-May-old'!C19*9)</f>
        <v>#DIV/0!</v>
      </c>
      <c r="D19" s="19" t="e">
        <f>'PaymentCodingTotal-old'!D19-('PaymentCodingDetai_Sept-May-old'!D19*9)</f>
        <v>#DIV/0!</v>
      </c>
      <c r="E19" s="50" t="e">
        <f t="shared" si="4"/>
        <v>#DIV/0!</v>
      </c>
      <c r="F19" s="22" t="e">
        <f>'PaymentCodingTotal-old'!F19-('PaymentCodingDetai_Sept-May-old'!F19*9)</f>
        <v>#DIV/0!</v>
      </c>
      <c r="G19" s="22">
        <f>'PaymentCodingTotal-old'!G19-('PaymentCodingDetai_Sept-May-old'!G19*9)</f>
        <v>0</v>
      </c>
      <c r="H19" s="85"/>
    </row>
    <row r="20" spans="1:13" x14ac:dyDescent="0.25">
      <c r="A20" s="11" t="str">
        <f t="shared" si="3"/>
        <v>11</v>
      </c>
      <c r="B20" s="11" t="str">
        <f t="shared" si="3"/>
        <v>Heartland AEA 11</v>
      </c>
      <c r="C20" s="22" t="e">
        <f>'PaymentCodingTotal-old'!C20-('PaymentCodingDetai_Sept-May-old'!C20*9)</f>
        <v>#DIV/0!</v>
      </c>
      <c r="D20" s="19" t="e">
        <f>'PaymentCodingTotal-old'!D20-('PaymentCodingDetai_Sept-May-old'!D20*9)</f>
        <v>#DIV/0!</v>
      </c>
      <c r="E20" s="50" t="e">
        <f t="shared" si="4"/>
        <v>#DIV/0!</v>
      </c>
      <c r="F20" s="22" t="e">
        <f>'PaymentCodingTotal-old'!F20-('PaymentCodingDetai_Sept-May-old'!F20*9)</f>
        <v>#DIV/0!</v>
      </c>
      <c r="G20" s="22">
        <f>'PaymentCodingTotal-old'!G20-('PaymentCodingDetai_Sept-May-old'!G20*9)</f>
        <v>0</v>
      </c>
    </row>
    <row r="21" spans="1:13" x14ac:dyDescent="0.25">
      <c r="A21" s="11" t="str">
        <f t="shared" si="3"/>
        <v>12</v>
      </c>
      <c r="B21" s="11" t="str">
        <f t="shared" si="3"/>
        <v>Northwest AEA</v>
      </c>
      <c r="C21" s="22" t="e">
        <f>'PaymentCodingTotal-old'!C21-('PaymentCodingDetai_Sept-May-old'!C21*9)</f>
        <v>#DIV/0!</v>
      </c>
      <c r="D21" s="19" t="e">
        <f>'PaymentCodingTotal-old'!D21-('PaymentCodingDetai_Sept-May-old'!D21*9)</f>
        <v>#DIV/0!</v>
      </c>
      <c r="E21" s="50" t="e">
        <f t="shared" si="4"/>
        <v>#DIV/0!</v>
      </c>
      <c r="F21" s="22" t="e">
        <f>'PaymentCodingTotal-old'!F21-('PaymentCodingDetai_Sept-May-old'!F21*9)</f>
        <v>#DIV/0!</v>
      </c>
      <c r="G21" s="22">
        <f>'PaymentCodingTotal-old'!G21-('PaymentCodingDetai_Sept-May-old'!G21*9)</f>
        <v>0</v>
      </c>
    </row>
    <row r="22" spans="1:13" x14ac:dyDescent="0.25">
      <c r="A22" s="11" t="str">
        <f t="shared" si="3"/>
        <v>13</v>
      </c>
      <c r="B22" s="11" t="str">
        <f t="shared" si="3"/>
        <v>Green Hills AEA 13</v>
      </c>
      <c r="C22" s="22" t="e">
        <f>'PaymentCodingTotal-old'!C22-('PaymentCodingDetai_Sept-May-old'!C22*9)</f>
        <v>#DIV/0!</v>
      </c>
      <c r="D22" s="19" t="e">
        <f>'PaymentCodingTotal-old'!D22-('PaymentCodingDetai_Sept-May-old'!D22*9)</f>
        <v>#DIV/0!</v>
      </c>
      <c r="E22" s="50" t="e">
        <f t="shared" si="4"/>
        <v>#DIV/0!</v>
      </c>
      <c r="F22" s="22" t="e">
        <f>'PaymentCodingTotal-old'!F22-('PaymentCodingDetai_Sept-May-old'!F22*9)</f>
        <v>#DIV/0!</v>
      </c>
      <c r="G22" s="22">
        <f>'PaymentCodingTotal-old'!G22-('PaymentCodingDetai_Sept-May-old'!G22*9)</f>
        <v>0</v>
      </c>
    </row>
    <row r="23" spans="1:13" x14ac:dyDescent="0.25">
      <c r="A23" s="11" t="str">
        <f t="shared" si="3"/>
        <v>15</v>
      </c>
      <c r="B23" s="11" t="str">
        <f t="shared" si="3"/>
        <v>Great Prairie AEA 15</v>
      </c>
      <c r="C23" s="22" t="e">
        <f>'PaymentCodingTotal-old'!C23-('PaymentCodingDetai_Sept-May-old'!C23*9)</f>
        <v>#DIV/0!</v>
      </c>
      <c r="D23" s="19" t="e">
        <f>'PaymentCodingTotal-old'!D23-('PaymentCodingDetai_Sept-May-old'!D23*9)</f>
        <v>#DIV/0!</v>
      </c>
      <c r="E23" s="50" t="e">
        <f t="shared" si="4"/>
        <v>#DIV/0!</v>
      </c>
      <c r="F23" s="22" t="e">
        <f>'PaymentCodingTotal-old'!F23-('PaymentCodingDetai_Sept-May-old'!F23*9)</f>
        <v>#DIV/0!</v>
      </c>
      <c r="G23" s="22">
        <f>'PaymentCodingTotal-old'!G23-('PaymentCodingDetai_Sept-May-old'!G23*9)</f>
        <v>0</v>
      </c>
    </row>
    <row r="24" spans="1:13" ht="15.75" thickBot="1" x14ac:dyDescent="0.3">
      <c r="C24" s="46" t="e">
        <f>SUM(C15:C23)</f>
        <v>#DIV/0!</v>
      </c>
      <c r="D24" s="20" t="e">
        <f>SUM(D15:D23)</f>
        <v>#DIV/0!</v>
      </c>
      <c r="E24" s="20" t="e">
        <f>SUM(E15:E23)</f>
        <v>#DIV/0!</v>
      </c>
      <c r="F24" s="37" t="e">
        <f>SUM(F15:F23)</f>
        <v>#DIV/0!</v>
      </c>
      <c r="G24" s="37">
        <f>SUM(G15:G23)</f>
        <v>0</v>
      </c>
    </row>
    <row r="25" spans="1:13" ht="7.5" customHeight="1" thickTop="1" x14ac:dyDescent="0.25">
      <c r="F25" s="6"/>
      <c r="G25" s="6"/>
      <c r="H25" s="6"/>
    </row>
    <row r="26" spans="1:13" ht="30"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t="s">
        <v>61</v>
      </c>
      <c r="L26" t="s">
        <v>62</v>
      </c>
      <c r="M26" t="s">
        <v>63</v>
      </c>
    </row>
    <row r="27" spans="1:13" x14ac:dyDescent="0.25">
      <c r="A27" s="11" t="str">
        <f t="shared" si="5"/>
        <v>01</v>
      </c>
      <c r="B27" s="11" t="str">
        <f t="shared" si="5"/>
        <v>Keystone AEA 1</v>
      </c>
      <c r="C27" s="19" t="e">
        <f>'PaymentCodingTotal-old'!C27-('PaymentCodingDetai_Sept-May-old'!C27*9)</f>
        <v>#DIV/0!</v>
      </c>
      <c r="D27" s="19" t="e">
        <f>'PaymentCodingTotal-old'!D27-('PaymentCodingDetai_Sept-May-old'!D27*9)</f>
        <v>#DIV/0!</v>
      </c>
      <c r="E27" s="49">
        <f>INDEX(Data[],MATCH($A27,Data[AEA],0),MATCH("Pay 2 Final",Data[#Headers],0))</f>
        <v>443713</v>
      </c>
      <c r="F27" s="48" t="e">
        <f>F3+C15+F15+G15</f>
        <v>#DIV/0!</v>
      </c>
      <c r="G27" s="50" t="e">
        <f>G3+H3+D15+C27+D27</f>
        <v>#DIV/0!</v>
      </c>
      <c r="K27" s="6" t="e">
        <f>E27-D27-C27-G15-F15-E15-H3-G3-F3</f>
        <v>#DIV/0!</v>
      </c>
      <c r="L27" s="6" t="e">
        <f t="shared" ref="L27:L36" si="6">F27-G15-F15-C15-F3</f>
        <v>#DIV/0!</v>
      </c>
      <c r="M27" s="6" t="e">
        <f t="shared" ref="M27:M36" si="7">G27-D27-C27-D15-H3-G3</f>
        <v>#DIV/0!</v>
      </c>
    </row>
    <row r="28" spans="1:13" x14ac:dyDescent="0.25">
      <c r="A28" s="11" t="str">
        <f t="shared" si="5"/>
        <v>05</v>
      </c>
      <c r="B28" s="11" t="str">
        <f t="shared" si="5"/>
        <v>Prairie Lakes AEA 8</v>
      </c>
      <c r="C28" s="19" t="e">
        <f>'PaymentCodingTotal-old'!C28-('PaymentCodingDetai_Sept-May-old'!C28*9)</f>
        <v>#DIV/0!</v>
      </c>
      <c r="D28" s="19" t="e">
        <f>'PaymentCodingTotal-old'!D28-('PaymentCodingDetai_Sept-May-old'!D28*9)</f>
        <v>#DIV/0!</v>
      </c>
      <c r="E28" s="49">
        <f>INDEX(Data[],MATCH($A28,Data[AEA],0),MATCH("Pay 2 Final",Data[#Headers],0))</f>
        <v>407998</v>
      </c>
      <c r="F28" s="48" t="e">
        <f t="shared" ref="F28:F35" si="8">F4+C16+F16+G16</f>
        <v>#DIV/0!</v>
      </c>
      <c r="G28" s="50" t="e">
        <f t="shared" ref="G28:G35" si="9">G4+H4+D16+C28+D28</f>
        <v>#DIV/0!</v>
      </c>
      <c r="K28" s="6" t="e">
        <f t="shared" ref="K28:K36" si="10">E28-D28-C28-G16-F16-E16-H4-G4-F4</f>
        <v>#DIV/0!</v>
      </c>
      <c r="L28" s="6" t="e">
        <f t="shared" si="6"/>
        <v>#DIV/0!</v>
      </c>
      <c r="M28" s="6" t="e">
        <f t="shared" si="7"/>
        <v>#DIV/0!</v>
      </c>
    </row>
    <row r="29" spans="1:13" x14ac:dyDescent="0.25">
      <c r="A29" s="11" t="str">
        <f t="shared" si="5"/>
        <v>07</v>
      </c>
      <c r="B29" s="11" t="str">
        <f t="shared" si="5"/>
        <v>Central Rivers</v>
      </c>
      <c r="C29" s="19" t="e">
        <f>'PaymentCodingTotal-old'!C29-('PaymentCodingDetai_Sept-May-old'!C29*9)</f>
        <v>#DIV/0!</v>
      </c>
      <c r="D29" s="19" t="e">
        <f>'PaymentCodingTotal-old'!D29-('PaymentCodingDetai_Sept-May-old'!D29*9)</f>
        <v>#DIV/0!</v>
      </c>
      <c r="E29" s="49">
        <f>INDEX(Data[],MATCH($A29,Data[AEA],0),MATCH("Pay 2 Final",Data[#Headers],0))</f>
        <v>914643</v>
      </c>
      <c r="F29" s="48" t="e">
        <f t="shared" si="8"/>
        <v>#DIV/0!</v>
      </c>
      <c r="G29" s="50" t="e">
        <f t="shared" si="9"/>
        <v>#DIV/0!</v>
      </c>
      <c r="K29" s="6" t="e">
        <f t="shared" si="10"/>
        <v>#DIV/0!</v>
      </c>
      <c r="L29" s="6" t="e">
        <f t="shared" si="6"/>
        <v>#DIV/0!</v>
      </c>
      <c r="M29" s="6" t="e">
        <f t="shared" si="7"/>
        <v>#DIV/0!</v>
      </c>
    </row>
    <row r="30" spans="1:13" x14ac:dyDescent="0.25">
      <c r="A30" s="11" t="str">
        <f t="shared" si="5"/>
        <v>09</v>
      </c>
      <c r="B30" s="11" t="str">
        <f t="shared" si="5"/>
        <v>Mississippi Bend AEA 9</v>
      </c>
      <c r="C30" s="19" t="e">
        <f>'PaymentCodingTotal-old'!C30-('PaymentCodingDetai_Sept-May-old'!C30*9)</f>
        <v>#DIV/0!</v>
      </c>
      <c r="D30" s="19" t="e">
        <f>'PaymentCodingTotal-old'!D30-('PaymentCodingDetai_Sept-May-old'!D30*9)</f>
        <v>#DIV/0!</v>
      </c>
      <c r="E30" s="49">
        <f>INDEX(Data[],MATCH($A30,Data[AEA],0),MATCH("Pay 2 Final",Data[#Headers],0))</f>
        <v>563179</v>
      </c>
      <c r="F30" s="48" t="e">
        <f t="shared" si="8"/>
        <v>#DIV/0!</v>
      </c>
      <c r="G30" s="50" t="e">
        <f t="shared" si="9"/>
        <v>#DIV/0!</v>
      </c>
      <c r="K30" s="6" t="e">
        <f t="shared" si="10"/>
        <v>#DIV/0!</v>
      </c>
      <c r="L30" s="6" t="e">
        <f t="shared" si="6"/>
        <v>#DIV/0!</v>
      </c>
      <c r="M30" s="6" t="e">
        <f t="shared" si="7"/>
        <v>#DIV/0!</v>
      </c>
    </row>
    <row r="31" spans="1:13" x14ac:dyDescent="0.25">
      <c r="A31" s="11" t="str">
        <f t="shared" si="5"/>
        <v>10</v>
      </c>
      <c r="B31" s="11" t="str">
        <f t="shared" si="5"/>
        <v>Grant Wood AEA 10</v>
      </c>
      <c r="C31" s="19" t="e">
        <f>'PaymentCodingTotal-old'!C31-('PaymentCodingDetai_Sept-May-old'!C31*9)</f>
        <v>#DIV/0!</v>
      </c>
      <c r="D31" s="19" t="e">
        <f>'PaymentCodingTotal-old'!D31-('PaymentCodingDetai_Sept-May-old'!D31*9)</f>
        <v>#DIV/0!</v>
      </c>
      <c r="E31" s="49">
        <f>INDEX(Data[],MATCH($A31,Data[AEA],0),MATCH("Pay 2 Final",Data[#Headers],0))</f>
        <v>875372</v>
      </c>
      <c r="F31" s="48" t="e">
        <f t="shared" si="8"/>
        <v>#DIV/0!</v>
      </c>
      <c r="G31" s="50" t="e">
        <f t="shared" si="9"/>
        <v>#DIV/0!</v>
      </c>
      <c r="K31" s="6" t="e">
        <f t="shared" si="10"/>
        <v>#DIV/0!</v>
      </c>
      <c r="L31" s="6" t="e">
        <f t="shared" si="6"/>
        <v>#DIV/0!</v>
      </c>
      <c r="M31" s="6" t="e">
        <f t="shared" si="7"/>
        <v>#DIV/0!</v>
      </c>
    </row>
    <row r="32" spans="1:13" x14ac:dyDescent="0.25">
      <c r="A32" s="11" t="str">
        <f t="shared" si="5"/>
        <v>11</v>
      </c>
      <c r="B32" s="11" t="str">
        <f t="shared" si="5"/>
        <v>Heartland AEA 11</v>
      </c>
      <c r="C32" s="19" t="e">
        <f>'PaymentCodingTotal-old'!C32-('PaymentCodingDetai_Sept-May-old'!C32*9)</f>
        <v>#DIV/0!</v>
      </c>
      <c r="D32" s="19" t="e">
        <f>'PaymentCodingTotal-old'!D32-('PaymentCodingDetai_Sept-May-old'!D32*9)</f>
        <v>#DIV/0!</v>
      </c>
      <c r="E32" s="49">
        <f>INDEX(Data[],MATCH($A32,Data[AEA],0),MATCH("Pay 2 Final",Data[#Headers],0))</f>
        <v>1676362</v>
      </c>
      <c r="F32" s="48" t="e">
        <f t="shared" si="8"/>
        <v>#DIV/0!</v>
      </c>
      <c r="G32" s="50" t="e">
        <f t="shared" si="9"/>
        <v>#DIV/0!</v>
      </c>
      <c r="K32" s="6" t="e">
        <f t="shared" si="10"/>
        <v>#DIV/0!</v>
      </c>
      <c r="L32" s="6" t="e">
        <f t="shared" si="6"/>
        <v>#DIV/0!</v>
      </c>
      <c r="M32" s="6" t="e">
        <f t="shared" si="7"/>
        <v>#DIV/0!</v>
      </c>
    </row>
    <row r="33" spans="1:13" x14ac:dyDescent="0.25">
      <c r="A33" s="11" t="str">
        <f t="shared" si="5"/>
        <v>12</v>
      </c>
      <c r="B33" s="11" t="str">
        <f t="shared" si="5"/>
        <v>Northwest AEA</v>
      </c>
      <c r="C33" s="19" t="e">
        <f>'PaymentCodingTotal-old'!C33-('PaymentCodingDetai_Sept-May-old'!C33*9)</f>
        <v>#DIV/0!</v>
      </c>
      <c r="D33" s="19" t="e">
        <f>'PaymentCodingTotal-old'!D33-('PaymentCodingDetai_Sept-May-old'!D33*9)</f>
        <v>#DIV/0!</v>
      </c>
      <c r="E33" s="49">
        <f>INDEX(Data[],MATCH($A33,Data[AEA],0),MATCH("Pay 2 Final",Data[#Headers],0))</f>
        <v>619793</v>
      </c>
      <c r="F33" s="48" t="e">
        <f t="shared" si="8"/>
        <v>#DIV/0!</v>
      </c>
      <c r="G33" s="50" t="e">
        <f t="shared" si="9"/>
        <v>#DIV/0!</v>
      </c>
      <c r="K33" s="6" t="e">
        <f t="shared" si="10"/>
        <v>#DIV/0!</v>
      </c>
      <c r="L33" s="6" t="e">
        <f t="shared" si="6"/>
        <v>#DIV/0!</v>
      </c>
      <c r="M33" s="6" t="e">
        <f t="shared" si="7"/>
        <v>#DIV/0!</v>
      </c>
    </row>
    <row r="34" spans="1:13" x14ac:dyDescent="0.25">
      <c r="A34" s="11" t="str">
        <f t="shared" si="5"/>
        <v>13</v>
      </c>
      <c r="B34" s="11" t="str">
        <f t="shared" si="5"/>
        <v>Green Hills AEA 13</v>
      </c>
      <c r="C34" s="19" t="e">
        <f>'PaymentCodingTotal-old'!C34-('PaymentCodingDetai_Sept-May-old'!C34*9)</f>
        <v>#DIV/0!</v>
      </c>
      <c r="D34" s="19" t="e">
        <f>'PaymentCodingTotal-old'!D34-('PaymentCodingDetai_Sept-May-old'!D34*9)</f>
        <v>#DIV/0!</v>
      </c>
      <c r="E34" s="49">
        <f>INDEX(Data[],MATCH($A34,Data[AEA],0),MATCH("Pay 2 Final",Data[#Headers],0))</f>
        <v>435610</v>
      </c>
      <c r="F34" s="48" t="e">
        <f t="shared" si="8"/>
        <v>#DIV/0!</v>
      </c>
      <c r="G34" s="50" t="e">
        <f t="shared" si="9"/>
        <v>#DIV/0!</v>
      </c>
      <c r="K34" s="6" t="e">
        <f t="shared" si="10"/>
        <v>#DIV/0!</v>
      </c>
      <c r="L34" s="6" t="e">
        <f t="shared" si="6"/>
        <v>#DIV/0!</v>
      </c>
      <c r="M34" s="6" t="e">
        <f t="shared" si="7"/>
        <v>#DIV/0!</v>
      </c>
    </row>
    <row r="35" spans="1:13" x14ac:dyDescent="0.25">
      <c r="A35" s="11" t="str">
        <f t="shared" si="5"/>
        <v>15</v>
      </c>
      <c r="B35" s="11" t="str">
        <f t="shared" si="5"/>
        <v>Great Prairie AEA 15</v>
      </c>
      <c r="C35" s="19" t="e">
        <f>'PaymentCodingTotal-old'!C35-('PaymentCodingDetai_Sept-May-old'!C35*9)</f>
        <v>#DIV/0!</v>
      </c>
      <c r="D35" s="19" t="e">
        <f>'PaymentCodingTotal-old'!D35-('PaymentCodingDetai_Sept-May-old'!D35*9)</f>
        <v>#DIV/0!</v>
      </c>
      <c r="E35" s="49">
        <f>INDEX(Data[],MATCH($A35,Data[AEA],0),MATCH("Pay 2 Final",Data[#Headers],0))</f>
        <v>398535</v>
      </c>
      <c r="F35" s="56" t="e">
        <f t="shared" si="8"/>
        <v>#DIV/0!</v>
      </c>
      <c r="G35" s="54" t="e">
        <f t="shared" si="9"/>
        <v>#DIV/0!</v>
      </c>
      <c r="K35" s="6" t="e">
        <f t="shared" si="10"/>
        <v>#DIV/0!</v>
      </c>
      <c r="L35" s="6" t="e">
        <f t="shared" si="6"/>
        <v>#DIV/0!</v>
      </c>
      <c r="M35" s="6" t="e">
        <f t="shared" si="7"/>
        <v>#DIV/0!</v>
      </c>
    </row>
    <row r="36" spans="1:13" ht="15.75" thickBot="1" x14ac:dyDescent="0.3">
      <c r="C36" s="20" t="e">
        <f t="shared" ref="C36:E36" si="11">SUM(C27:C35)</f>
        <v>#DIV/0!</v>
      </c>
      <c r="D36" s="20" t="e">
        <f t="shared" si="11"/>
        <v>#DIV/0!</v>
      </c>
      <c r="E36" s="16">
        <f t="shared" si="11"/>
        <v>6335205</v>
      </c>
      <c r="F36" s="57" t="e">
        <f>SUM(F27:F35)</f>
        <v>#DIV/0!</v>
      </c>
      <c r="G36" s="55" t="e">
        <f>SUM(G27:G35)</f>
        <v>#DIV/0!</v>
      </c>
      <c r="K36" s="6" t="e">
        <f t="shared" si="10"/>
        <v>#DIV/0!</v>
      </c>
      <c r="L36" s="6" t="e">
        <f t="shared" si="6"/>
        <v>#DIV/0!</v>
      </c>
      <c r="M36" s="6" t="e">
        <f t="shared" si="7"/>
        <v>#DIV/0!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activeCell="E7" sqref="E7"/>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83" t="str">
        <f>_xlfn.CONCAT("FY ",K2," AEA Enrollments and Cost - Final - State Aid and Property Tax Breakdown")</f>
        <v>FY 2027 AEA Enrollments and Cost - Final - State Aid and Property Tax Breakdown</v>
      </c>
      <c r="B1" s="83"/>
      <c r="C1" s="83"/>
      <c r="D1" s="83"/>
      <c r="E1" s="83"/>
      <c r="F1" s="83"/>
      <c r="G1" s="83"/>
      <c r="H1" s="83"/>
      <c r="I1" s="83"/>
    </row>
    <row r="2" spans="1:11" s="10" customFormat="1" ht="45" x14ac:dyDescent="0.25">
      <c r="A2" s="7" t="s">
        <v>31</v>
      </c>
      <c r="B2" s="7" t="s">
        <v>32</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2027</v>
      </c>
    </row>
    <row r="3" spans="1:11" x14ac:dyDescent="0.25">
      <c r="A3" s="18" t="str">
        <f>Data!A2</f>
        <v>01</v>
      </c>
      <c r="B3" s="11" t="str">
        <f>INDEX(Data_Detail_OLD[],MATCH('PaymentCodingTotal-old'!$A3,Data_Detail_OLD[AEA],0),3)</f>
        <v>Keystone AEA 1</v>
      </c>
      <c r="C3" s="12">
        <f>SUMIFS(INDEX(Data_Detail_OLD[],0,MATCH(C$2,Data_Detail_OLD[#Headers],0)),Data_Detail_OLD[AEA],$A3,Data_Detail_OLD[FiscalYear],$K$2)</f>
        <v>0</v>
      </c>
      <c r="D3" s="12">
        <f>SUMIFS(INDEX(Data_Detail_OLD[],0,MATCH(D$2,Data_Detail_OLD[#Headers],0)),Data_Detail_OLD[AEA],$A3,Data_Detail_OLD[FiscalYear],$K$2)</f>
        <v>0</v>
      </c>
      <c r="E3" s="12">
        <f>SUMIFS(INDEX(Data_Detail_OLD[],0,MATCH(E$2,Data_Detail_OLD[#Headers],0)),Data_Detail_OLD[AEA],$A3,Data_Detail_OLD[FiscalYear],$K$2)</f>
        <v>0</v>
      </c>
      <c r="F3" s="48">
        <f t="shared" ref="F3:F11" si="0">D3-E3</f>
        <v>0</v>
      </c>
      <c r="G3" s="19">
        <f>SUMIFS(INDEX(Data_Detail_OLD[],0,MATCH(G$2,Data_Detail_OLD[#Headers],0)),Data_Detail_OLD[AEA],$A3,Data_Detail_OLD[FiscalYear],$K$2)</f>
        <v>0</v>
      </c>
      <c r="H3" s="19">
        <f>SUMIFS(INDEX(Data_Detail_OLD[],0,MATCH(H$2,Data_Detail_OLD[#Headers],0)),Data_Detail_OLD[AEA],$A3,Data_Detail_OLD[FiscalYear],$K$2)</f>
        <v>0</v>
      </c>
      <c r="I3" s="47">
        <f>SUM(F3:H3)</f>
        <v>0</v>
      </c>
      <c r="K3" s="6">
        <f>G12+D24+H12+C36+D36-G36</f>
        <v>0</v>
      </c>
    </row>
    <row r="4" spans="1:11" x14ac:dyDescent="0.25">
      <c r="A4" s="18" t="str">
        <f>Data!A3</f>
        <v>05</v>
      </c>
      <c r="B4" s="11" t="str">
        <f>INDEX(Data_Detail_OLD[],MATCH('PaymentCodingTotal-old'!$A4,Data_Detail_OLD[AEA],0),3)</f>
        <v>Prairie Lakes AEA 8</v>
      </c>
      <c r="C4" s="12">
        <f>SUMIFS(INDEX(Data_Detail_OLD[],0,MATCH(C$2,Data_Detail_OLD[#Headers],0)),Data_Detail_OLD[AEA],$A4,Data_Detail_OLD[FiscalYear],$K$2)</f>
        <v>0</v>
      </c>
      <c r="D4" s="12">
        <f>SUMIFS(INDEX(Data_Detail_OLD[],0,MATCH(D$2,Data_Detail_OLD[#Headers],0)),Data_Detail_OLD[AEA],$A4,Data_Detail_OLD[FiscalYear],$K$2)</f>
        <v>0</v>
      </c>
      <c r="E4" s="12">
        <f>SUMIFS(INDEX(Data_Detail_OLD[],0,MATCH(E$2,Data_Detail_OLD[#Headers],0)),Data_Detail_OLD[AEA],$A4,Data_Detail_OLD[FiscalYear],$K$2)</f>
        <v>0</v>
      </c>
      <c r="F4" s="48">
        <f t="shared" si="0"/>
        <v>0</v>
      </c>
      <c r="G4" s="19">
        <f>SUMIFS(INDEX(Data_Detail_OLD[],0,MATCH(G$2,Data_Detail_OLD[#Headers],0)),Data_Detail_OLD[AEA],$A4,Data_Detail_OLD[FiscalYear],$K$2)</f>
        <v>0</v>
      </c>
      <c r="H4" s="19">
        <f>SUMIFS(INDEX(Data_Detail_OLD[],0,MATCH(H$2,Data_Detail_OLD[#Headers],0)),Data_Detail_OLD[AEA],$A4,Data_Detail_OLD[FiscalYear],$K$2)</f>
        <v>0</v>
      </c>
      <c r="I4" s="47">
        <f t="shared" ref="I4:I11" si="1">SUM(F4:H4)</f>
        <v>0</v>
      </c>
      <c r="K4" s="6">
        <f>F12+C24+F24+G24-F36</f>
        <v>0</v>
      </c>
    </row>
    <row r="5" spans="1:11" x14ac:dyDescent="0.25">
      <c r="A5" s="18" t="str">
        <f>Data!A4</f>
        <v>07</v>
      </c>
      <c r="B5" s="11" t="str">
        <f>INDEX(Data_Detail_OLD[],MATCH('PaymentCodingTotal-old'!$A5,Data_Detail_OLD[AEA],0),3)</f>
        <v>Central Rivers</v>
      </c>
      <c r="C5" s="12">
        <f>SUMIFS(INDEX(Data_Detail_OLD[],0,MATCH(C$2,Data_Detail_OLD[#Headers],0)),Data_Detail_OLD[AEA],$A5,Data_Detail_OLD[FiscalYear],$K$2)</f>
        <v>0</v>
      </c>
      <c r="D5" s="12">
        <f>SUMIFS(INDEX(Data_Detail_OLD[],0,MATCH(D$2,Data_Detail_OLD[#Headers],0)),Data_Detail_OLD[AEA],$A5,Data_Detail_OLD[FiscalYear],$K$2)</f>
        <v>0</v>
      </c>
      <c r="E5" s="12">
        <f>SUMIFS(INDEX(Data_Detail_OLD[],0,MATCH(E$2,Data_Detail_OLD[#Headers],0)),Data_Detail_OLD[AEA],$A5,Data_Detail_OLD[FiscalYear],$K$2)</f>
        <v>0</v>
      </c>
      <c r="F5" s="48">
        <f t="shared" si="0"/>
        <v>0</v>
      </c>
      <c r="G5" s="19">
        <f>SUMIFS(INDEX(Data_Detail_OLD[],0,MATCH(G$2,Data_Detail_OLD[#Headers],0)),Data_Detail_OLD[AEA],$A5,Data_Detail_OLD[FiscalYear],$K$2)</f>
        <v>0</v>
      </c>
      <c r="H5" s="19">
        <f>SUMIFS(INDEX(Data_Detail_OLD[],0,MATCH(H$2,Data_Detail_OLD[#Headers],0)),Data_Detail_OLD[AEA],$A5,Data_Detail_OLD[FiscalYear],$K$2)</f>
        <v>0</v>
      </c>
      <c r="I5" s="47">
        <f t="shared" si="1"/>
        <v>0</v>
      </c>
      <c r="K5" s="6">
        <f>F12+E12-D12</f>
        <v>0</v>
      </c>
    </row>
    <row r="6" spans="1:11" x14ac:dyDescent="0.25">
      <c r="A6" s="18" t="str">
        <f>Data!A5</f>
        <v>09</v>
      </c>
      <c r="B6" s="11" t="str">
        <f>INDEX(Data_Detail_OLD[],MATCH('PaymentCodingTotal-old'!$A6,Data_Detail_OLD[AEA],0),3)</f>
        <v>Mississippi Bend AEA 9</v>
      </c>
      <c r="C6" s="12">
        <f>SUMIFS(INDEX(Data_Detail_OLD[],0,MATCH(C$2,Data_Detail_OLD[#Headers],0)),Data_Detail_OLD[AEA],$A6,Data_Detail_OLD[FiscalYear],$K$2)</f>
        <v>0</v>
      </c>
      <c r="D6" s="12">
        <f>SUMIFS(INDEX(Data_Detail_OLD[],0,MATCH(D$2,Data_Detail_OLD[#Headers],0)),Data_Detail_OLD[AEA],$A6,Data_Detail_OLD[FiscalYear],$K$2)-2</f>
        <v>-2</v>
      </c>
      <c r="E6" s="12">
        <f>SUMIFS(INDEX(Data_Detail_OLD[],0,MATCH(E$2,Data_Detail_OLD[#Headers],0)),Data_Detail_OLD[AEA],$A6,Data_Detail_OLD[FiscalYear],$K$2)</f>
        <v>0</v>
      </c>
      <c r="F6" s="48">
        <f t="shared" si="0"/>
        <v>-2</v>
      </c>
      <c r="G6" s="19">
        <f>SUMIFS(INDEX(Data_Detail_OLD[],0,MATCH(G$2,Data_Detail_OLD[#Headers],0)),Data_Detail_OLD[AEA],$A6,Data_Detail_OLD[FiscalYear],$K$2)+2</f>
        <v>2</v>
      </c>
      <c r="H6" s="19">
        <f>SUMIFS(INDEX(Data_Detail_OLD[],0,MATCH(H$2,Data_Detail_OLD[#Headers],0)),Data_Detail_OLD[AEA],$A6,Data_Detail_OLD[FiscalYear],$K$2)</f>
        <v>0</v>
      </c>
      <c r="I6" s="47">
        <f t="shared" si="1"/>
        <v>0</v>
      </c>
      <c r="K6" s="6">
        <f>H12+G12+F12-I12</f>
        <v>0</v>
      </c>
    </row>
    <row r="7" spans="1:11" x14ac:dyDescent="0.25">
      <c r="A7" s="18" t="str">
        <f>Data!A6</f>
        <v>10</v>
      </c>
      <c r="B7" s="11" t="str">
        <f>INDEX(Data_Detail_OLD[],MATCH('PaymentCodingTotal-old'!$A7,Data_Detail_OLD[AEA],0),3)</f>
        <v>Grant Wood AEA 10</v>
      </c>
      <c r="C7" s="12">
        <f>SUMIFS(INDEX(Data_Detail_OLD[],0,MATCH(C$2,Data_Detail_OLD[#Headers],0)),Data_Detail_OLD[AEA],$A7,Data_Detail_OLD[FiscalYear],$K$2)</f>
        <v>0</v>
      </c>
      <c r="D7" s="12">
        <f>SUMIFS(INDEX(Data_Detail_OLD[],0,MATCH(D$2,Data_Detail_OLD[#Headers],0)),Data_Detail_OLD[AEA],$A7,Data_Detail_OLD[FiscalYear],$K$2)-3</f>
        <v>-3</v>
      </c>
      <c r="E7" s="12">
        <f>SUMIFS(INDEX(Data_Detail_OLD[],0,MATCH(E$2,Data_Detail_OLD[#Headers],0)),Data_Detail_OLD[AEA],$A7,Data_Detail_OLD[FiscalYear],$K$2)</f>
        <v>0</v>
      </c>
      <c r="F7" s="48">
        <f t="shared" si="0"/>
        <v>-3</v>
      </c>
      <c r="G7" s="19">
        <f>SUMIFS(INDEX(Data_Detail_OLD[],0,MATCH(G$2,Data_Detail_OLD[#Headers],0)),Data_Detail_OLD[AEA],$A7,Data_Detail_OLD[FiscalYear],$K$2)+3</f>
        <v>3</v>
      </c>
      <c r="H7" s="19">
        <f>SUMIFS(INDEX(Data_Detail_OLD[],0,MATCH(H$2,Data_Detail_OLD[#Headers],0)),Data_Detail_OLD[AEA],$A7,Data_Detail_OLD[FiscalYear],$K$2)</f>
        <v>0</v>
      </c>
      <c r="I7" s="47">
        <f t="shared" si="1"/>
        <v>0</v>
      </c>
      <c r="K7" s="6">
        <f>C24+D24-E24</f>
        <v>0</v>
      </c>
    </row>
    <row r="8" spans="1:11" x14ac:dyDescent="0.25">
      <c r="A8" s="18" t="str">
        <f>Data!A7</f>
        <v>11</v>
      </c>
      <c r="B8" s="11" t="str">
        <f>INDEX(Data_Detail_OLD[],MATCH('PaymentCodingTotal-old'!$A8,Data_Detail_OLD[AEA],0),3)</f>
        <v>Heartland AEA 11</v>
      </c>
      <c r="C8" s="12">
        <f>SUMIFS(INDEX(Data_Detail_OLD[],0,MATCH(C$2,Data_Detail_OLD[#Headers],0)),Data_Detail_OLD[AEA],$A8,Data_Detail_OLD[FiscalYear],$K$2)</f>
        <v>0</v>
      </c>
      <c r="D8" s="12">
        <f>SUMIFS(INDEX(Data_Detail_OLD[],0,MATCH(D$2,Data_Detail_OLD[#Headers],0)),Data_Detail_OLD[AEA],$A8,Data_Detail_OLD[FiscalYear],$K$2)</f>
        <v>0</v>
      </c>
      <c r="E8" s="12">
        <f>SUMIFS(INDEX(Data_Detail_OLD[],0,MATCH(E$2,Data_Detail_OLD[#Headers],0)),Data_Detail_OLD[AEA],$A8,Data_Detail_OLD[FiscalYear],$K$2)</f>
        <v>0</v>
      </c>
      <c r="F8" s="48">
        <f t="shared" si="0"/>
        <v>0</v>
      </c>
      <c r="G8" s="19">
        <f>SUMIFS(INDEX(Data_Detail_OLD[],0,MATCH(G$2,Data_Detail_OLD[#Headers],0)),Data_Detail_OLD[AEA],$A8,Data_Detail_OLD[FiscalYear],$K$2)</f>
        <v>0</v>
      </c>
      <c r="H8" s="19">
        <f>SUMIFS(INDEX(Data_Detail_OLD[],0,MATCH(H$2,Data_Detail_OLD[#Headers],0)),Data_Detail_OLD[AEA],$A8,Data_Detail_OLD[FiscalYear],$K$2)</f>
        <v>0</v>
      </c>
      <c r="I8" s="47">
        <f t="shared" si="1"/>
        <v>0</v>
      </c>
    </row>
    <row r="9" spans="1:11" x14ac:dyDescent="0.25">
      <c r="A9" s="18" t="str">
        <f>Data!A8</f>
        <v>12</v>
      </c>
      <c r="B9" s="11" t="str">
        <f>INDEX(Data_Detail_OLD[],MATCH('PaymentCodingTotal-old'!$A9,Data_Detail_OLD[AEA],0),3)</f>
        <v>Northwest AEA</v>
      </c>
      <c r="C9" s="12">
        <f>SUMIFS(INDEX(Data_Detail_OLD[],0,MATCH(C$2,Data_Detail_OLD[#Headers],0)),Data_Detail_OLD[AEA],$A9,Data_Detail_OLD[FiscalYear],$K$2)</f>
        <v>0</v>
      </c>
      <c r="D9" s="12">
        <f>SUMIFS(INDEX(Data_Detail_OLD[],0,MATCH(D$2,Data_Detail_OLD[#Headers],0)),Data_Detail_OLD[AEA],$A9,Data_Detail_OLD[FiscalYear],$K$2)+2</f>
        <v>2</v>
      </c>
      <c r="E9" s="12">
        <f>SUMIFS(INDEX(Data_Detail_OLD[],0,MATCH(E$2,Data_Detail_OLD[#Headers],0)),Data_Detail_OLD[AEA],$A9,Data_Detail_OLD[FiscalYear],$K$2)</f>
        <v>0</v>
      </c>
      <c r="F9" s="48">
        <f t="shared" si="0"/>
        <v>2</v>
      </c>
      <c r="G9" s="19">
        <f>SUMIFS(INDEX(Data_Detail_OLD[],0,MATCH(G$2,Data_Detail_OLD[#Headers],0)),Data_Detail_OLD[AEA],$A9,Data_Detail_OLD[FiscalYear],$K$2)-2</f>
        <v>-2</v>
      </c>
      <c r="H9" s="19">
        <f>SUMIFS(INDEX(Data_Detail_OLD[],0,MATCH(H$2,Data_Detail_OLD[#Headers],0)),Data_Detail_OLD[AEA],$A9,Data_Detail_OLD[FiscalYear],$K$2)</f>
        <v>0</v>
      </c>
      <c r="I9" s="47">
        <f t="shared" si="1"/>
        <v>0</v>
      </c>
    </row>
    <row r="10" spans="1:11" x14ac:dyDescent="0.25">
      <c r="A10" s="18" t="str">
        <f>Data!A9</f>
        <v>13</v>
      </c>
      <c r="B10" s="11" t="str">
        <f>INDEX(Data_Detail_OLD[],MATCH('PaymentCodingTotal-old'!$A10,Data_Detail_OLD[AEA],0),3)</f>
        <v>Green Hills AEA 13</v>
      </c>
      <c r="C10" s="12">
        <f>SUMIFS(INDEX(Data_Detail_OLD[],0,MATCH(C$2,Data_Detail_OLD[#Headers],0)),Data_Detail_OLD[AEA],$A10,Data_Detail_OLD[FiscalYear],$K$2)</f>
        <v>0</v>
      </c>
      <c r="D10" s="12">
        <f>SUMIFS(INDEX(Data_Detail_OLD[],0,MATCH(D$2,Data_Detail_OLD[#Headers],0)),Data_Detail_OLD[AEA],$A10,Data_Detail_OLD[FiscalYear],$K$2)+1</f>
        <v>1</v>
      </c>
      <c r="E10" s="12">
        <f>SUMIFS(INDEX(Data_Detail_OLD[],0,MATCH(E$2,Data_Detail_OLD[#Headers],0)),Data_Detail_OLD[AEA],$A10,Data_Detail_OLD[FiscalYear],$K$2)</f>
        <v>0</v>
      </c>
      <c r="F10" s="48">
        <f t="shared" si="0"/>
        <v>1</v>
      </c>
      <c r="G10" s="19">
        <f>SUMIFS(INDEX(Data_Detail_OLD[],0,MATCH(G$2,Data_Detail_OLD[#Headers],0)),Data_Detail_OLD[AEA],$A10,Data_Detail_OLD[FiscalYear],$K$2)-1</f>
        <v>-1</v>
      </c>
      <c r="H10" s="19">
        <f>SUMIFS(INDEX(Data_Detail_OLD[],0,MATCH(H$2,Data_Detail_OLD[#Headers],0)),Data_Detail_OLD[AEA],$A10,Data_Detail_OLD[FiscalYear],$K$2)</f>
        <v>0</v>
      </c>
      <c r="I10" s="47">
        <f t="shared" si="1"/>
        <v>0</v>
      </c>
    </row>
    <row r="11" spans="1:11" x14ac:dyDescent="0.25">
      <c r="A11" s="18" t="str">
        <f>Data!A10</f>
        <v>15</v>
      </c>
      <c r="B11" s="11" t="str">
        <f>INDEX(Data_Detail_OLD[],MATCH('PaymentCodingTotal-old'!$A11,Data_Detail_OLD[AEA],0),3)</f>
        <v>Great Prairie AEA 15</v>
      </c>
      <c r="C11" s="12">
        <f>SUMIFS(INDEX(Data_Detail_OLD[],0,MATCH(C$2,Data_Detail_OLD[#Headers],0)),Data_Detail_OLD[AEA],$A11,Data_Detail_OLD[FiscalYear],$K$2)</f>
        <v>0</v>
      </c>
      <c r="D11" s="12">
        <f>SUMIFS(INDEX(Data_Detail_OLD[],0,MATCH(D$2,Data_Detail_OLD[#Headers],0)),Data_Detail_OLD[AEA],$A11,Data_Detail_OLD[FiscalYear],$K$2)+2</f>
        <v>2</v>
      </c>
      <c r="E11" s="12">
        <f>SUMIFS(INDEX(Data_Detail_OLD[],0,MATCH(E$2,Data_Detail_OLD[#Headers],0)),Data_Detail_OLD[AEA],$A11,Data_Detail_OLD[FiscalYear],$K$2)</f>
        <v>0</v>
      </c>
      <c r="F11" s="48">
        <f t="shared" si="0"/>
        <v>2</v>
      </c>
      <c r="G11" s="19">
        <f>SUMIFS(INDEX(Data_Detail_OLD[],0,MATCH(G$2,Data_Detail_OLD[#Headers],0)),Data_Detail_OLD[AEA],$A11,Data_Detail_OLD[FiscalYear],$K$2)-2</f>
        <v>-2</v>
      </c>
      <c r="H11" s="19">
        <f>SUMIFS(INDEX(Data_Detail_OLD[],0,MATCH(H$2,Data_Detail_OLD[#Headers],0)),Data_Detail_OLD[AEA],$A11,Data_Detail_OLD[FiscalYear],$K$2)</f>
        <v>0</v>
      </c>
      <c r="I11" s="47">
        <f t="shared" si="1"/>
        <v>0</v>
      </c>
    </row>
    <row r="12" spans="1:11" ht="15.75" thickBot="1" x14ac:dyDescent="0.3">
      <c r="C12" s="13">
        <f>SUM(C3:C11)</f>
        <v>0</v>
      </c>
      <c r="D12" s="13">
        <f t="shared" ref="D12:I12" si="2">SUM(D3:D11)</f>
        <v>0</v>
      </c>
      <c r="E12" s="13">
        <f t="shared" si="2"/>
        <v>0</v>
      </c>
      <c r="F12" s="37">
        <f>SUM(F3:F11)</f>
        <v>0</v>
      </c>
      <c r="G12" s="15">
        <f t="shared" si="2"/>
        <v>0</v>
      </c>
      <c r="H12" s="15">
        <f>SUM(H3:H11)</f>
        <v>0</v>
      </c>
      <c r="I12" s="16">
        <f t="shared" si="2"/>
        <v>0</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32"/>
    </row>
    <row r="15" spans="1:11" x14ac:dyDescent="0.25">
      <c r="A15" s="11" t="str">
        <f t="shared" si="3"/>
        <v>01</v>
      </c>
      <c r="B15" s="11" t="str">
        <f t="shared" si="3"/>
        <v>Keystone AEA 1</v>
      </c>
      <c r="C15" s="22">
        <f>SUMIFS(INDEX(Data_Detail_OLD[],0,MATCH(C$14,Data_Detail_OLD[#Headers],0)),Data_Detail_OLD[AEA],$A15,Data_Detail_OLD[FiscalYear],$K$2)</f>
        <v>0</v>
      </c>
      <c r="D15" s="19">
        <f>SUMIFS(INDEX(Data_Detail_OLD[],0,MATCH(D$14,Data_Detail_OLD[#Headers],0)),Data_Detail_OLD[AEA],$A15,Data_Detail_OLD[FiscalYear],$K$2)</f>
        <v>0</v>
      </c>
      <c r="E15" s="50">
        <f>SUM(C15:D15)</f>
        <v>0</v>
      </c>
      <c r="F15" s="22">
        <f>SUMIFS(INDEX(Data_Detail_OLD[],0,MATCH(F$14,Data_Detail_OLD[#Headers],0)),Data_Detail_OLD[AEA],$A15,Data_Detail_OLD[FiscalYear],$K$2)</f>
        <v>0</v>
      </c>
      <c r="G15" s="60"/>
    </row>
    <row r="16" spans="1:11" x14ac:dyDescent="0.25">
      <c r="A16" s="11" t="str">
        <f t="shared" si="3"/>
        <v>05</v>
      </c>
      <c r="B16" s="11" t="str">
        <f t="shared" si="3"/>
        <v>Prairie Lakes AEA 8</v>
      </c>
      <c r="C16" s="22">
        <f>SUMIFS(INDEX(Data_Detail_OLD[],0,MATCH(C$14,Data_Detail_OLD[#Headers],0)),Data_Detail_OLD[AEA],$A16,Data_Detail_OLD[FiscalYear],$K$2)</f>
        <v>0</v>
      </c>
      <c r="D16" s="19">
        <f>SUMIFS(INDEX(Data_Detail_OLD[],0,MATCH(D$14,Data_Detail_OLD[#Headers],0)),Data_Detail_OLD[AEA],$A16,Data_Detail_OLD[FiscalYear],$K$2)</f>
        <v>0</v>
      </c>
      <c r="E16" s="50">
        <f t="shared" ref="E16:E23" si="4">SUM(C16:D16)</f>
        <v>0</v>
      </c>
      <c r="F16" s="22">
        <f>SUMIFS(INDEX(Data_Detail_OLD[],0,MATCH(F$14,Data_Detail_OLD[#Headers],0)),Data_Detail_OLD[AEA],$A16,Data_Detail_OLD[FiscalYear],$K$2)</f>
        <v>0</v>
      </c>
      <c r="G16" s="60"/>
      <c r="H16" s="84" t="s">
        <v>62</v>
      </c>
    </row>
    <row r="17" spans="1:12" x14ac:dyDescent="0.25">
      <c r="A17" s="11" t="str">
        <f t="shared" si="3"/>
        <v>07</v>
      </c>
      <c r="B17" s="11" t="str">
        <f t="shared" si="3"/>
        <v>Central Rivers</v>
      </c>
      <c r="C17" s="22">
        <f>SUMIFS(INDEX(Data_Detail_OLD[],0,MATCH(C$14,Data_Detail_OLD[#Headers],0)),Data_Detail_OLD[AEA],$A17,Data_Detail_OLD[FiscalYear],$K$2)</f>
        <v>0</v>
      </c>
      <c r="D17" s="19">
        <f>SUMIFS(INDEX(Data_Detail_OLD[],0,MATCH(D$14,Data_Detail_OLD[#Headers],0)),Data_Detail_OLD[AEA],$A17,Data_Detail_OLD[FiscalYear],$K$2)</f>
        <v>0</v>
      </c>
      <c r="E17" s="50">
        <f t="shared" si="4"/>
        <v>0</v>
      </c>
      <c r="F17" s="22">
        <f>SUMIFS(INDEX(Data_Detail_OLD[],0,MATCH(F$14,Data_Detail_OLD[#Headers],0)),Data_Detail_OLD[AEA],$A17,Data_Detail_OLD[FiscalYear],$K$2)</f>
        <v>0</v>
      </c>
      <c r="G17" s="60"/>
      <c r="H17" s="84"/>
    </row>
    <row r="18" spans="1:12" x14ac:dyDescent="0.25">
      <c r="A18" s="11" t="str">
        <f t="shared" si="3"/>
        <v>09</v>
      </c>
      <c r="B18" s="11" t="str">
        <f t="shared" si="3"/>
        <v>Mississippi Bend AEA 9</v>
      </c>
      <c r="C18" s="22">
        <f>SUMIFS(INDEX(Data_Detail_OLD[],0,MATCH(C$14,Data_Detail_OLD[#Headers],0)),Data_Detail_OLD[AEA],$A18,Data_Detail_OLD[FiscalYear],$K$2)</f>
        <v>0</v>
      </c>
      <c r="D18" s="19">
        <f>SUMIFS(INDEX(Data_Detail_OLD[],0,MATCH(D$14,Data_Detail_OLD[#Headers],0)),Data_Detail_OLD[AEA],$A18,Data_Detail_OLD[FiscalYear],$K$2)</f>
        <v>0</v>
      </c>
      <c r="E18" s="50">
        <f t="shared" si="4"/>
        <v>0</v>
      </c>
      <c r="F18" s="22">
        <f>SUMIFS(INDEX(Data_Detail_OLD[],0,MATCH(F$14,Data_Detail_OLD[#Headers],0)),Data_Detail_OLD[AEA],$A18,Data_Detail_OLD[FiscalYear],$K$2)</f>
        <v>0</v>
      </c>
      <c r="G18" s="60"/>
      <c r="H18" s="85" t="s">
        <v>714</v>
      </c>
    </row>
    <row r="19" spans="1:12" x14ac:dyDescent="0.25">
      <c r="A19" s="11" t="str">
        <f t="shared" si="3"/>
        <v>10</v>
      </c>
      <c r="B19" s="11" t="str">
        <f t="shared" si="3"/>
        <v>Grant Wood AEA 10</v>
      </c>
      <c r="C19" s="22">
        <f>SUMIFS(INDEX(Data_Detail_OLD[],0,MATCH(C$14,Data_Detail_OLD[#Headers],0)),Data_Detail_OLD[AEA],$A19,Data_Detail_OLD[FiscalYear],$K$2)</f>
        <v>0</v>
      </c>
      <c r="D19" s="19">
        <f>SUMIFS(INDEX(Data_Detail_OLD[],0,MATCH(D$14,Data_Detail_OLD[#Headers],0)),Data_Detail_OLD[AEA],$A19,Data_Detail_OLD[FiscalYear],$K$2)</f>
        <v>0</v>
      </c>
      <c r="E19" s="50">
        <f t="shared" si="4"/>
        <v>0</v>
      </c>
      <c r="F19" s="22">
        <f>SUMIFS(INDEX(Data_Detail_OLD[],0,MATCH(F$14,Data_Detail_OLD[#Headers],0)),Data_Detail_OLD[AEA],$A19,Data_Detail_OLD[FiscalYear],$K$2)</f>
        <v>0</v>
      </c>
      <c r="G19" s="60"/>
      <c r="H19" s="85"/>
    </row>
    <row r="20" spans="1:12" x14ac:dyDescent="0.25">
      <c r="A20" s="11" t="str">
        <f t="shared" si="3"/>
        <v>11</v>
      </c>
      <c r="B20" s="11" t="str">
        <f t="shared" si="3"/>
        <v>Heartland AEA 11</v>
      </c>
      <c r="C20" s="22">
        <f>SUMIFS(INDEX(Data_Detail_OLD[],0,MATCH(C$14,Data_Detail_OLD[#Headers],0)),Data_Detail_OLD[AEA],$A20,Data_Detail_OLD[FiscalYear],$K$2)</f>
        <v>0</v>
      </c>
      <c r="D20" s="19">
        <f>SUMIFS(INDEX(Data_Detail_OLD[],0,MATCH(D$14,Data_Detail_OLD[#Headers],0)),Data_Detail_OLD[AEA],$A20,Data_Detail_OLD[FiscalYear],$K$2)</f>
        <v>0</v>
      </c>
      <c r="E20" s="50">
        <f t="shared" si="4"/>
        <v>0</v>
      </c>
      <c r="F20" s="22">
        <f>SUMIFS(INDEX(Data_Detail_OLD[],0,MATCH(F$14,Data_Detail_OLD[#Headers],0)),Data_Detail_OLD[AEA],$A20,Data_Detail_OLD[FiscalYear],$K$2)</f>
        <v>0</v>
      </c>
      <c r="G20" s="60"/>
    </row>
    <row r="21" spans="1:12" x14ac:dyDescent="0.25">
      <c r="A21" s="11" t="str">
        <f t="shared" si="3"/>
        <v>12</v>
      </c>
      <c r="B21" s="11" t="str">
        <f t="shared" si="3"/>
        <v>Northwest AEA</v>
      </c>
      <c r="C21" s="22">
        <f>SUMIFS(INDEX(Data_Detail_OLD[],0,MATCH(C$14,Data_Detail_OLD[#Headers],0)),Data_Detail_OLD[AEA],$A21,Data_Detail_OLD[FiscalYear],$K$2)</f>
        <v>0</v>
      </c>
      <c r="D21" s="19">
        <f>SUMIFS(INDEX(Data_Detail_OLD[],0,MATCH(D$14,Data_Detail_OLD[#Headers],0)),Data_Detail_OLD[AEA],$A21,Data_Detail_OLD[FiscalYear],$K$2)</f>
        <v>0</v>
      </c>
      <c r="E21" s="50">
        <f t="shared" si="4"/>
        <v>0</v>
      </c>
      <c r="F21" s="22">
        <f>SUMIFS(INDEX(Data_Detail_OLD[],0,MATCH(F$14,Data_Detail_OLD[#Headers],0)),Data_Detail_OLD[AEA],$A21,Data_Detail_OLD[FiscalYear],$K$2)</f>
        <v>0</v>
      </c>
      <c r="G21" s="60"/>
    </row>
    <row r="22" spans="1:12" x14ac:dyDescent="0.25">
      <c r="A22" s="11" t="str">
        <f t="shared" si="3"/>
        <v>13</v>
      </c>
      <c r="B22" s="11" t="str">
        <f t="shared" si="3"/>
        <v>Green Hills AEA 13</v>
      </c>
      <c r="C22" s="22">
        <f>SUMIFS(INDEX(Data_Detail_OLD[],0,MATCH(C$14,Data_Detail_OLD[#Headers],0)),Data_Detail_OLD[AEA],$A22,Data_Detail_OLD[FiscalYear],$K$2)</f>
        <v>0</v>
      </c>
      <c r="D22" s="19">
        <f>SUMIFS(INDEX(Data_Detail_OLD[],0,MATCH(D$14,Data_Detail_OLD[#Headers],0)),Data_Detail_OLD[AEA],$A22,Data_Detail_OLD[FiscalYear],$K$2)</f>
        <v>0</v>
      </c>
      <c r="E22" s="50">
        <f t="shared" si="4"/>
        <v>0</v>
      </c>
      <c r="F22" s="22">
        <f>SUMIFS(INDEX(Data_Detail_OLD[],0,MATCH(F$14,Data_Detail_OLD[#Headers],0)),Data_Detail_OLD[AEA],$A22,Data_Detail_OLD[FiscalYear],$K$2)</f>
        <v>0</v>
      </c>
      <c r="G22" s="60"/>
    </row>
    <row r="23" spans="1:12" x14ac:dyDescent="0.25">
      <c r="A23" s="11" t="str">
        <f t="shared" si="3"/>
        <v>15</v>
      </c>
      <c r="B23" s="11" t="str">
        <f t="shared" si="3"/>
        <v>Great Prairie AEA 15</v>
      </c>
      <c r="C23" s="22">
        <f>SUMIFS(INDEX(Data_Detail_OLD[],0,MATCH(C$14,Data_Detail_OLD[#Headers],0)),Data_Detail_OLD[AEA],$A23,Data_Detail_OLD[FiscalYear],$K$2)</f>
        <v>0</v>
      </c>
      <c r="D23" s="19">
        <f>SUMIFS(INDEX(Data_Detail_OLD[],0,MATCH(D$14,Data_Detail_OLD[#Headers],0)),Data_Detail_OLD[AEA],$A23,Data_Detail_OLD[FiscalYear],$K$2)</f>
        <v>0</v>
      </c>
      <c r="E23" s="50">
        <f t="shared" si="4"/>
        <v>0</v>
      </c>
      <c r="F23" s="22">
        <f>SUMIFS(INDEX(Data_Detail_OLD[],0,MATCH(F$14,Data_Detail_OLD[#Headers],0)),Data_Detail_OLD[AEA],$A23,Data_Detail_OLD[FiscalYear],$K$2)</f>
        <v>0</v>
      </c>
      <c r="G23" s="60"/>
    </row>
    <row r="24" spans="1:12" ht="15.75" thickBot="1" x14ac:dyDescent="0.3">
      <c r="C24" s="14">
        <f>SUM(C15:C23)</f>
        <v>0</v>
      </c>
      <c r="D24" s="15">
        <f>SUM(D15:D23)</f>
        <v>0</v>
      </c>
      <c r="E24" s="20">
        <f>SUM(E15:E23)</f>
        <v>0</v>
      </c>
      <c r="F24" s="23">
        <f>SUM(F15:F23)</f>
        <v>0</v>
      </c>
      <c r="G24" s="6"/>
      <c r="K24" s="86" t="s">
        <v>718</v>
      </c>
      <c r="L24" s="88" t="s">
        <v>716</v>
      </c>
    </row>
    <row r="25" spans="1:12" ht="7.5" customHeight="1" thickTop="1" x14ac:dyDescent="0.25">
      <c r="F25" s="6"/>
      <c r="G25" s="6"/>
      <c r="H25" s="6"/>
      <c r="K25" s="86"/>
      <c r="L25" s="88"/>
    </row>
    <row r="26" spans="1:12" ht="30" customHeight="1"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s="87"/>
      <c r="L26" s="89"/>
    </row>
    <row r="27" spans="1:12" x14ac:dyDescent="0.25">
      <c r="A27" s="11" t="str">
        <f t="shared" si="5"/>
        <v>01</v>
      </c>
      <c r="B27" s="11" t="str">
        <f t="shared" si="5"/>
        <v>Keystone AEA 1</v>
      </c>
      <c r="C27" s="19">
        <f>SUMIFS(INDEX(Data_Detail_OLD[],0,MATCH(C$26,Data_Detail_OLD[#Headers],0)),Data_Detail_OLD[AEA],$A27,Data_Detail_OLD[FiscalYear],$K$2)</f>
        <v>0</v>
      </c>
      <c r="D27" s="19">
        <f>SUMIFS(INDEX(Data_Detail_OLD[],0,MATCH(D$26,Data_Detail_OLD[#Headers],0)),Data_Detail_OLD[AEA],$A27,Data_Detail_OLD[FiscalYear],$K$2)</f>
        <v>0</v>
      </c>
      <c r="E27" s="47">
        <f>SUMIFS(INDEX(Data_Detail_OLD[],0,MATCH(E$26,Data_Detail_OLD[#Headers],0)),Data_Detail_OLD[AEA],$A27,Data_Detail_OLD[FiscalYear],$K$2)</f>
        <v>0</v>
      </c>
      <c r="F27" s="48">
        <f>SUMIFS(INDEX(Data_Detail_OLD[],0,MATCH(F$26,Data_Detail_OLD[#Headers],0)),Data_Detail_OLD[AEA],$A27,Data_Detail_OLD[FiscalYear],$K$2)</f>
        <v>0</v>
      </c>
      <c r="G27" s="50">
        <f>SUMIFS(INDEX(Data_Detail_OLD[],0,MATCH(G$26,Data_Detail_OLD[#Headers],0)),Data_Detail_OLD[AEA],$A27,Data_Detail_OLD[FiscalYear],$K$2)</f>
        <v>0</v>
      </c>
      <c r="J27" s="6"/>
      <c r="K27" s="6">
        <f t="shared" ref="K27:K35" si="6">F27-G15-F15-C15-F3</f>
        <v>0</v>
      </c>
      <c r="L27" s="6">
        <f t="shared" ref="L27:L35" si="7">G27-D27-C27-D15-H3-G3</f>
        <v>0</v>
      </c>
    </row>
    <row r="28" spans="1:12" x14ac:dyDescent="0.25">
      <c r="A28" s="11" t="str">
        <f t="shared" si="5"/>
        <v>05</v>
      </c>
      <c r="B28" s="11" t="str">
        <f t="shared" si="5"/>
        <v>Prairie Lakes AEA 8</v>
      </c>
      <c r="C28" s="19">
        <f>SUMIFS(INDEX(Data_Detail_OLD[],0,MATCH(C$26,Data_Detail_OLD[#Headers],0)),Data_Detail_OLD[AEA],$A28,Data_Detail_OLD[FiscalYear],$K$2)</f>
        <v>0</v>
      </c>
      <c r="D28" s="19">
        <f>SUMIFS(INDEX(Data_Detail_OLD[],0,MATCH(D$26,Data_Detail_OLD[#Headers],0)),Data_Detail_OLD[AEA],$A28,Data_Detail_OLD[FiscalYear],$K$2)</f>
        <v>0</v>
      </c>
      <c r="E28" s="47">
        <f>SUMIFS(INDEX(Data_Detail_OLD[],0,MATCH(E$26,Data_Detail_OLD[#Headers],0)),Data_Detail_OLD[AEA],$A28,Data_Detail_OLD[FiscalYear],$K$2)</f>
        <v>0</v>
      </c>
      <c r="F28" s="48">
        <f>SUMIFS(INDEX(Data_Detail_OLD[],0,MATCH(F$26,Data_Detail_OLD[#Headers],0)),Data_Detail_OLD[AEA],$A28,Data_Detail_OLD[FiscalYear],$K$2)</f>
        <v>0</v>
      </c>
      <c r="G28" s="50">
        <f>SUMIFS(INDEX(Data_Detail_OLD[],0,MATCH(G$26,Data_Detail_OLD[#Headers],0)),Data_Detail_OLD[AEA],$A28,Data_Detail_OLD[FiscalYear],$K$2)</f>
        <v>0</v>
      </c>
      <c r="J28" s="6"/>
      <c r="K28" s="6">
        <f t="shared" si="6"/>
        <v>0</v>
      </c>
      <c r="L28" s="6">
        <f t="shared" si="7"/>
        <v>0</v>
      </c>
    </row>
    <row r="29" spans="1:12" x14ac:dyDescent="0.25">
      <c r="A29" s="11" t="str">
        <f t="shared" si="5"/>
        <v>07</v>
      </c>
      <c r="B29" s="11" t="str">
        <f t="shared" si="5"/>
        <v>Central Rivers</v>
      </c>
      <c r="C29" s="19">
        <f>SUMIFS(INDEX(Data_Detail_OLD[],0,MATCH(C$26,Data_Detail_OLD[#Headers],0)),Data_Detail_OLD[AEA],$A29,Data_Detail_OLD[FiscalYear],$K$2)</f>
        <v>0</v>
      </c>
      <c r="D29" s="19">
        <f>SUMIFS(INDEX(Data_Detail_OLD[],0,MATCH(D$26,Data_Detail_OLD[#Headers],0)),Data_Detail_OLD[AEA],$A29,Data_Detail_OLD[FiscalYear],$K$2)</f>
        <v>0</v>
      </c>
      <c r="E29" s="47">
        <f>SUMIFS(INDEX(Data_Detail_OLD[],0,MATCH(E$26,Data_Detail_OLD[#Headers],0)),Data_Detail_OLD[AEA],$A29,Data_Detail_OLD[FiscalYear],$K$2)</f>
        <v>0</v>
      </c>
      <c r="F29" s="48">
        <f>SUMIFS(INDEX(Data_Detail_OLD[],0,MATCH(F$26,Data_Detail_OLD[#Headers],0)),Data_Detail_OLD[AEA],$A29,Data_Detail_OLD[FiscalYear],$K$2)</f>
        <v>0</v>
      </c>
      <c r="G29" s="50">
        <f>SUMIFS(INDEX(Data_Detail_OLD[],0,MATCH(G$26,Data_Detail_OLD[#Headers],0)),Data_Detail_OLD[AEA],$A29,Data_Detail_OLD[FiscalYear],$K$2)</f>
        <v>0</v>
      </c>
      <c r="J29" s="6"/>
      <c r="K29" s="6">
        <f t="shared" si="6"/>
        <v>0</v>
      </c>
      <c r="L29" s="6">
        <f t="shared" si="7"/>
        <v>0</v>
      </c>
    </row>
    <row r="30" spans="1:12" x14ac:dyDescent="0.25">
      <c r="A30" s="11" t="str">
        <f t="shared" si="5"/>
        <v>09</v>
      </c>
      <c r="B30" s="11" t="str">
        <f t="shared" si="5"/>
        <v>Mississippi Bend AEA 9</v>
      </c>
      <c r="C30" s="19">
        <f>SUMIFS(INDEX(Data_Detail_OLD[],0,MATCH(C$26,Data_Detail_OLD[#Headers],0)),Data_Detail_OLD[AEA],$A30,Data_Detail_OLD[FiscalYear],$K$2)</f>
        <v>0</v>
      </c>
      <c r="D30" s="19">
        <f>SUMIFS(INDEX(Data_Detail_OLD[],0,MATCH(D$26,Data_Detail_OLD[#Headers],0)),Data_Detail_OLD[AEA],$A30,Data_Detail_OLD[FiscalYear],$K$2)</f>
        <v>0</v>
      </c>
      <c r="E30" s="47">
        <f>SUMIFS(INDEX(Data_Detail_OLD[],0,MATCH(E$26,Data_Detail_OLD[#Headers],0)),Data_Detail_OLD[AEA],$A30,Data_Detail_OLD[FiscalYear],$K$2)</f>
        <v>0</v>
      </c>
      <c r="F30" s="48">
        <f>SUMIFS(INDEX(Data_Detail_OLD[],0,MATCH(F$26,Data_Detail_OLD[#Headers],0)),Data_Detail_OLD[AEA],$A30,Data_Detail_OLD[FiscalYear],$K$2)</f>
        <v>0</v>
      </c>
      <c r="G30" s="50">
        <f>SUMIFS(INDEX(Data_Detail_OLD[],0,MATCH(G$26,Data_Detail_OLD[#Headers],0)),Data_Detail_OLD[AEA],$A30,Data_Detail_OLD[FiscalYear],$K$2)</f>
        <v>0</v>
      </c>
      <c r="J30" s="6"/>
      <c r="K30" s="6">
        <f t="shared" si="6"/>
        <v>2</v>
      </c>
      <c r="L30" s="6">
        <f t="shared" si="7"/>
        <v>-2</v>
      </c>
    </row>
    <row r="31" spans="1:12" x14ac:dyDescent="0.25">
      <c r="A31" s="11" t="str">
        <f t="shared" si="5"/>
        <v>10</v>
      </c>
      <c r="B31" s="11" t="str">
        <f t="shared" si="5"/>
        <v>Grant Wood AEA 10</v>
      </c>
      <c r="C31" s="19">
        <f>SUMIFS(INDEX(Data_Detail_OLD[],0,MATCH(C$26,Data_Detail_OLD[#Headers],0)),Data_Detail_OLD[AEA],$A31,Data_Detail_OLD[FiscalYear],$K$2)</f>
        <v>0</v>
      </c>
      <c r="D31" s="19">
        <f>SUMIFS(INDEX(Data_Detail_OLD[],0,MATCH(D$26,Data_Detail_OLD[#Headers],0)),Data_Detail_OLD[AEA],$A31,Data_Detail_OLD[FiscalYear],$K$2)</f>
        <v>0</v>
      </c>
      <c r="E31" s="47">
        <f>SUMIFS(INDEX(Data_Detail_OLD[],0,MATCH(E$26,Data_Detail_OLD[#Headers],0)),Data_Detail_OLD[AEA],$A31,Data_Detail_OLD[FiscalYear],$K$2)</f>
        <v>0</v>
      </c>
      <c r="F31" s="48">
        <f>SUMIFS(INDEX(Data_Detail_OLD[],0,MATCH(F$26,Data_Detail_OLD[#Headers],0)),Data_Detail_OLD[AEA],$A31,Data_Detail_OLD[FiscalYear],$K$2)</f>
        <v>0</v>
      </c>
      <c r="G31" s="50">
        <f>SUMIFS(INDEX(Data_Detail_OLD[],0,MATCH(G$26,Data_Detail_OLD[#Headers],0)),Data_Detail_OLD[AEA],$A31,Data_Detail_OLD[FiscalYear],$K$2)</f>
        <v>0</v>
      </c>
      <c r="J31" s="6"/>
      <c r="K31" s="6">
        <f t="shared" si="6"/>
        <v>3</v>
      </c>
      <c r="L31" s="6">
        <f t="shared" si="7"/>
        <v>-3</v>
      </c>
    </row>
    <row r="32" spans="1:12" x14ac:dyDescent="0.25">
      <c r="A32" s="11" t="str">
        <f t="shared" si="5"/>
        <v>11</v>
      </c>
      <c r="B32" s="11" t="str">
        <f t="shared" si="5"/>
        <v>Heartland AEA 11</v>
      </c>
      <c r="C32" s="19">
        <f>SUMIFS(INDEX(Data_Detail_OLD[],0,MATCH(C$26,Data_Detail_OLD[#Headers],0)),Data_Detail_OLD[AEA],$A32,Data_Detail_OLD[FiscalYear],$K$2)</f>
        <v>0</v>
      </c>
      <c r="D32" s="19">
        <f>SUMIFS(INDEX(Data_Detail_OLD[],0,MATCH(D$26,Data_Detail_OLD[#Headers],0)),Data_Detail_OLD[AEA],$A32,Data_Detail_OLD[FiscalYear],$K$2)</f>
        <v>0</v>
      </c>
      <c r="E32" s="47">
        <f>SUMIFS(INDEX(Data_Detail_OLD[],0,MATCH(E$26,Data_Detail_OLD[#Headers],0)),Data_Detail_OLD[AEA],$A32,Data_Detail_OLD[FiscalYear],$K$2)</f>
        <v>0</v>
      </c>
      <c r="F32" s="48">
        <f>SUMIFS(INDEX(Data_Detail_OLD[],0,MATCH(F$26,Data_Detail_OLD[#Headers],0)),Data_Detail_OLD[AEA],$A32,Data_Detail_OLD[FiscalYear],$K$2)</f>
        <v>0</v>
      </c>
      <c r="G32" s="50">
        <f>SUMIFS(INDEX(Data_Detail_OLD[],0,MATCH(G$26,Data_Detail_OLD[#Headers],0)),Data_Detail_OLD[AEA],$A32,Data_Detail_OLD[FiscalYear],$K$2)</f>
        <v>0</v>
      </c>
      <c r="J32" s="6"/>
      <c r="K32" s="6">
        <f t="shared" si="6"/>
        <v>0</v>
      </c>
      <c r="L32" s="6">
        <f t="shared" si="7"/>
        <v>0</v>
      </c>
    </row>
    <row r="33" spans="1:12" x14ac:dyDescent="0.25">
      <c r="A33" s="11" t="str">
        <f t="shared" si="5"/>
        <v>12</v>
      </c>
      <c r="B33" s="11" t="str">
        <f t="shared" si="5"/>
        <v>Northwest AEA</v>
      </c>
      <c r="C33" s="19">
        <f>SUMIFS(INDEX(Data_Detail_OLD[],0,MATCH(C$26,Data_Detail_OLD[#Headers],0)),Data_Detail_OLD[AEA],$A33,Data_Detail_OLD[FiscalYear],$K$2)</f>
        <v>0</v>
      </c>
      <c r="D33" s="19">
        <f>SUMIFS(INDEX(Data_Detail_OLD[],0,MATCH(D$26,Data_Detail_OLD[#Headers],0)),Data_Detail_OLD[AEA],$A33,Data_Detail_OLD[FiscalYear],$K$2)</f>
        <v>0</v>
      </c>
      <c r="E33" s="47">
        <f>SUMIFS(INDEX(Data_Detail_OLD[],0,MATCH(E$26,Data_Detail_OLD[#Headers],0)),Data_Detail_OLD[AEA],$A33,Data_Detail_OLD[FiscalYear],$K$2)</f>
        <v>0</v>
      </c>
      <c r="F33" s="48">
        <f>SUMIFS(INDEX(Data_Detail_OLD[],0,MATCH(F$26,Data_Detail_OLD[#Headers],0)),Data_Detail_OLD[AEA],$A33,Data_Detail_OLD[FiscalYear],$K$2)</f>
        <v>0</v>
      </c>
      <c r="G33" s="50">
        <f>SUMIFS(INDEX(Data_Detail_OLD[],0,MATCH(G$26,Data_Detail_OLD[#Headers],0)),Data_Detail_OLD[AEA],$A33,Data_Detail_OLD[FiscalYear],$K$2)</f>
        <v>0</v>
      </c>
      <c r="J33" s="6"/>
      <c r="K33" s="6">
        <f t="shared" si="6"/>
        <v>-2</v>
      </c>
      <c r="L33" s="6">
        <f t="shared" si="7"/>
        <v>2</v>
      </c>
    </row>
    <row r="34" spans="1:12" x14ac:dyDescent="0.25">
      <c r="A34" s="11" t="str">
        <f t="shared" si="5"/>
        <v>13</v>
      </c>
      <c r="B34" s="11" t="str">
        <f t="shared" si="5"/>
        <v>Green Hills AEA 13</v>
      </c>
      <c r="C34" s="19">
        <f>SUMIFS(INDEX(Data_Detail_OLD[],0,MATCH(C$26,Data_Detail_OLD[#Headers],0)),Data_Detail_OLD[AEA],$A34,Data_Detail_OLD[FiscalYear],$K$2)</f>
        <v>0</v>
      </c>
      <c r="D34" s="19">
        <f>SUMIFS(INDEX(Data_Detail_OLD[],0,MATCH(D$26,Data_Detail_OLD[#Headers],0)),Data_Detail_OLD[AEA],$A34,Data_Detail_OLD[FiscalYear],$K$2)</f>
        <v>0</v>
      </c>
      <c r="E34" s="47">
        <f>SUMIFS(INDEX(Data_Detail_OLD[],0,MATCH(E$26,Data_Detail_OLD[#Headers],0)),Data_Detail_OLD[AEA],$A34,Data_Detail_OLD[FiscalYear],$K$2)</f>
        <v>0</v>
      </c>
      <c r="F34" s="48">
        <f>SUMIFS(INDEX(Data_Detail_OLD[],0,MATCH(F$26,Data_Detail_OLD[#Headers],0)),Data_Detail_OLD[AEA],$A34,Data_Detail_OLD[FiscalYear],$K$2)</f>
        <v>0</v>
      </c>
      <c r="G34" s="50">
        <f>SUMIFS(INDEX(Data_Detail_OLD[],0,MATCH(G$26,Data_Detail_OLD[#Headers],0)),Data_Detail_OLD[AEA],$A34,Data_Detail_OLD[FiscalYear],$K$2)</f>
        <v>0</v>
      </c>
      <c r="J34" s="6"/>
      <c r="K34" s="6">
        <f t="shared" si="6"/>
        <v>-1</v>
      </c>
      <c r="L34" s="6">
        <f t="shared" si="7"/>
        <v>1</v>
      </c>
    </row>
    <row r="35" spans="1:12" x14ac:dyDescent="0.25">
      <c r="A35" s="11" t="str">
        <f t="shared" si="5"/>
        <v>15</v>
      </c>
      <c r="B35" s="11" t="str">
        <f t="shared" si="5"/>
        <v>Great Prairie AEA 15</v>
      </c>
      <c r="C35" s="19">
        <f>SUMIFS(INDEX(Data_Detail_OLD[],0,MATCH(C$26,Data_Detail_OLD[#Headers],0)),Data_Detail_OLD[AEA],$A35,Data_Detail_OLD[FiscalYear],$K$2)</f>
        <v>0</v>
      </c>
      <c r="D35" s="19">
        <f>SUMIFS(INDEX(Data_Detail_OLD[],0,MATCH(D$26,Data_Detail_OLD[#Headers],0)),Data_Detail_OLD[AEA],$A35,Data_Detail_OLD[FiscalYear],$K$2)</f>
        <v>0</v>
      </c>
      <c r="E35" s="47">
        <f>SUMIFS(INDEX(Data_Detail_OLD[],0,MATCH(E$26,Data_Detail_OLD[#Headers],0)),Data_Detail_OLD[AEA],$A35,Data_Detail_OLD[FiscalYear],$K$2)</f>
        <v>0</v>
      </c>
      <c r="F35" s="48">
        <f>SUMIFS(INDEX(Data_Detail_OLD[],0,MATCH(F$26,Data_Detail_OLD[#Headers],0)),Data_Detail_OLD[AEA],$A35,Data_Detail_OLD[FiscalYear],$K$2)</f>
        <v>0</v>
      </c>
      <c r="G35" s="54">
        <f>SUMIFS(INDEX(Data_Detail_OLD[],0,MATCH(G$26,Data_Detail_OLD[#Headers],0)),Data_Detail_OLD[AEA],$A35,Data_Detail_OLD[FiscalYear],$K$2)</f>
        <v>0</v>
      </c>
      <c r="J35" s="6"/>
      <c r="K35" s="6">
        <f t="shared" si="6"/>
        <v>-2</v>
      </c>
      <c r="L35" s="6">
        <f t="shared" si="7"/>
        <v>2</v>
      </c>
    </row>
    <row r="36" spans="1:12" ht="15.75" thickBot="1" x14ac:dyDescent="0.3">
      <c r="C36" s="15">
        <f t="shared" ref="C36:E36" si="8">SUM(C27:C35)</f>
        <v>0</v>
      </c>
      <c r="D36" s="15">
        <f t="shared" si="8"/>
        <v>0</v>
      </c>
      <c r="E36" s="52">
        <f t="shared" si="8"/>
        <v>0</v>
      </c>
      <c r="F36" s="53">
        <f>SUM(F27:F35)</f>
        <v>0</v>
      </c>
      <c r="G36" s="55">
        <f>SUM(G27:G35)</f>
        <v>0</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P29"/>
  <sheetViews>
    <sheetView topLeftCell="A2" workbookViewId="0">
      <selection activeCell="L16" sqref="L16:L26"/>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15" customWidth="1"/>
    <col min="12" max="12" width="13.85546875" customWidth="1"/>
    <col min="13" max="13" width="17.7109375" customWidth="1"/>
    <col min="14" max="15" width="12.28515625" bestFit="1" customWidth="1"/>
    <col min="16" max="16" width="11.42578125" customWidth="1"/>
    <col min="17" max="17" width="10.7109375" customWidth="1"/>
  </cols>
  <sheetData>
    <row r="1" spans="1:16" s="10" customFormat="1" ht="87" hidden="1" customHeight="1" x14ac:dyDescent="0.25">
      <c r="A1" s="25"/>
      <c r="B1" s="25"/>
      <c r="C1" s="25" t="s">
        <v>732</v>
      </c>
      <c r="D1" s="25" t="s">
        <v>719</v>
      </c>
      <c r="E1" s="25" t="s">
        <v>733</v>
      </c>
      <c r="F1" s="25" t="s">
        <v>734</v>
      </c>
      <c r="G1" s="25" t="s">
        <v>735</v>
      </c>
      <c r="H1" s="25" t="s">
        <v>736</v>
      </c>
      <c r="I1" s="25" t="s">
        <v>737</v>
      </c>
      <c r="J1" s="25" t="s">
        <v>738</v>
      </c>
      <c r="K1" s="25" t="s">
        <v>739</v>
      </c>
    </row>
    <row r="2" spans="1:16" ht="25.5" customHeight="1" x14ac:dyDescent="0.25">
      <c r="B2" s="90" t="s">
        <v>741</v>
      </c>
      <c r="C2" s="90"/>
      <c r="D2" s="90"/>
      <c r="E2" s="90"/>
      <c r="F2" s="90"/>
      <c r="G2" s="90"/>
      <c r="H2" s="90"/>
      <c r="I2" s="90"/>
      <c r="J2" s="90"/>
    </row>
    <row r="3" spans="1:16" ht="31.5" customHeight="1" x14ac:dyDescent="0.25">
      <c r="A3" s="30" t="s">
        <v>31</v>
      </c>
      <c r="B3" s="30" t="s">
        <v>32</v>
      </c>
      <c r="C3" s="26" t="s">
        <v>720</v>
      </c>
      <c r="D3" s="26" t="s">
        <v>721</v>
      </c>
      <c r="E3" s="26" t="s">
        <v>722</v>
      </c>
      <c r="F3" s="26" t="s">
        <v>723</v>
      </c>
      <c r="G3" s="26" t="s">
        <v>724</v>
      </c>
      <c r="H3" s="26" t="s">
        <v>725</v>
      </c>
      <c r="I3" s="26" t="s">
        <v>726</v>
      </c>
      <c r="J3" s="31"/>
      <c r="K3" s="26" t="s">
        <v>721</v>
      </c>
      <c r="L3" s="26" t="s">
        <v>722</v>
      </c>
      <c r="M3" s="26" t="s">
        <v>723</v>
      </c>
      <c r="N3" s="26" t="s">
        <v>724</v>
      </c>
      <c r="O3" s="26" t="s">
        <v>725</v>
      </c>
      <c r="P3" s="26" t="s">
        <v>726</v>
      </c>
    </row>
    <row r="4" spans="1:16" x14ac:dyDescent="0.25">
      <c r="A4" t="s">
        <v>5</v>
      </c>
      <c r="B4" t="s">
        <v>33</v>
      </c>
      <c r="C4" s="27">
        <v>35.33</v>
      </c>
      <c r="D4" s="6">
        <v>11477381</v>
      </c>
      <c r="E4" s="6">
        <v>14190</v>
      </c>
      <c r="F4" s="6">
        <v>11491571</v>
      </c>
      <c r="G4" s="6">
        <v>807734</v>
      </c>
      <c r="H4" s="6">
        <v>899752</v>
      </c>
      <c r="I4" s="6">
        <v>30001</v>
      </c>
      <c r="K4" s="6">
        <f>D4-'PaymentCodingTotal-old'!C3</f>
        <v>11477381</v>
      </c>
      <c r="L4" s="6">
        <f>E4-'PaymentCodingTotal-old'!H3</f>
        <v>14190</v>
      </c>
      <c r="N4" s="6">
        <f>G4-'PaymentCodingTotal-old'!C27</f>
        <v>807734</v>
      </c>
      <c r="O4" s="6">
        <f>H4-'PaymentCodingTotal-old'!D27</f>
        <v>899752</v>
      </c>
      <c r="P4" s="6">
        <f>I4-'PaymentCodingTotal-old'!E15</f>
        <v>30001</v>
      </c>
    </row>
    <row r="5" spans="1:16" x14ac:dyDescent="0.25">
      <c r="A5" t="s">
        <v>6</v>
      </c>
      <c r="B5" t="s">
        <v>34</v>
      </c>
      <c r="C5" s="27">
        <v>37.29</v>
      </c>
      <c r="D5" s="6">
        <v>11854900</v>
      </c>
      <c r="E5" s="6">
        <v>138167</v>
      </c>
      <c r="F5" s="6">
        <v>11993067</v>
      </c>
      <c r="G5" s="6">
        <v>816737</v>
      </c>
      <c r="H5" s="6">
        <v>914643</v>
      </c>
      <c r="I5" s="6">
        <v>0</v>
      </c>
      <c r="K5" s="6">
        <f>D5-'PaymentCodingTotal-old'!C4</f>
        <v>11854900</v>
      </c>
      <c r="L5" s="6">
        <f>E5-'PaymentCodingTotal-old'!H4</f>
        <v>138167</v>
      </c>
      <c r="N5" s="6">
        <f>G5-'PaymentCodingTotal-old'!C28</f>
        <v>816737</v>
      </c>
      <c r="O5" s="6">
        <f>H5-'PaymentCodingTotal-old'!D28</f>
        <v>914643</v>
      </c>
      <c r="P5" s="6">
        <f>I5-'PaymentCodingTotal-old'!E16</f>
        <v>0</v>
      </c>
    </row>
    <row r="6" spans="1:16" x14ac:dyDescent="0.25">
      <c r="A6" t="s">
        <v>7</v>
      </c>
      <c r="B6" t="s">
        <v>35</v>
      </c>
      <c r="C6" s="27">
        <v>42.56</v>
      </c>
      <c r="D6" s="6">
        <v>24281771</v>
      </c>
      <c r="E6" s="6">
        <v>120080</v>
      </c>
      <c r="F6" s="6">
        <v>24401851</v>
      </c>
      <c r="G6" s="6">
        <v>1645929</v>
      </c>
      <c r="H6" s="6">
        <v>1834892</v>
      </c>
      <c r="I6" s="6">
        <v>30000</v>
      </c>
      <c r="K6" s="6">
        <f>D6-'PaymentCodingTotal-old'!C5</f>
        <v>24281771</v>
      </c>
      <c r="L6" s="6">
        <f>E6-'PaymentCodingTotal-old'!H5</f>
        <v>120080</v>
      </c>
      <c r="N6" s="6">
        <f>G6-'PaymentCodingTotal-old'!C29</f>
        <v>1645929</v>
      </c>
      <c r="O6" s="6">
        <f>H6-'PaymentCodingTotal-old'!D29</f>
        <v>1834892</v>
      </c>
      <c r="P6" s="6">
        <f>I6-'PaymentCodingTotal-old'!E17</f>
        <v>30000</v>
      </c>
    </row>
    <row r="7" spans="1:16" x14ac:dyDescent="0.25">
      <c r="A7" t="s">
        <v>8</v>
      </c>
      <c r="B7" t="s">
        <v>36</v>
      </c>
      <c r="C7" s="27">
        <v>31.63</v>
      </c>
      <c r="D7" s="6">
        <v>17494746</v>
      </c>
      <c r="E7" s="6">
        <v>105832</v>
      </c>
      <c r="F7" s="6">
        <v>17600578</v>
      </c>
      <c r="G7" s="6">
        <v>1215736</v>
      </c>
      <c r="H7" s="6">
        <v>1329022</v>
      </c>
      <c r="I7" s="6">
        <v>30001</v>
      </c>
      <c r="K7" s="6">
        <f>D7-'PaymentCodingTotal-old'!C6</f>
        <v>17494746</v>
      </c>
      <c r="L7" s="6">
        <f>E7-'PaymentCodingTotal-old'!H6</f>
        <v>105832</v>
      </c>
      <c r="N7" s="6">
        <f>G7-'PaymentCodingTotal-old'!C30</f>
        <v>1215736</v>
      </c>
      <c r="O7" s="6">
        <f>H7-'PaymentCodingTotal-old'!D30</f>
        <v>1329022</v>
      </c>
      <c r="P7" s="6">
        <f>I7-'PaymentCodingTotal-old'!E18</f>
        <v>30001</v>
      </c>
    </row>
    <row r="8" spans="1:16" x14ac:dyDescent="0.25">
      <c r="A8" t="s">
        <v>9</v>
      </c>
      <c r="B8" t="s">
        <v>37</v>
      </c>
      <c r="C8" s="27">
        <v>32.380000000000003</v>
      </c>
      <c r="D8" s="6">
        <v>26483224</v>
      </c>
      <c r="E8" s="6">
        <v>106540</v>
      </c>
      <c r="F8" s="6">
        <v>26589764</v>
      </c>
      <c r="G8" s="6">
        <v>1885841</v>
      </c>
      <c r="H8" s="6">
        <v>2073506</v>
      </c>
      <c r="I8" s="6">
        <v>30000</v>
      </c>
      <c r="K8" s="6">
        <f>D8-'PaymentCodingTotal-old'!C7</f>
        <v>26483224</v>
      </c>
      <c r="L8" s="6">
        <f>E8-'PaymentCodingTotal-old'!H7</f>
        <v>106540</v>
      </c>
      <c r="N8" s="6">
        <f>G8-'PaymentCodingTotal-old'!C31</f>
        <v>1885841</v>
      </c>
      <c r="O8" s="6">
        <f>H8-'PaymentCodingTotal-old'!D31</f>
        <v>2073506</v>
      </c>
      <c r="P8" s="6">
        <f>I8-'PaymentCodingTotal-old'!E19</f>
        <v>30000</v>
      </c>
    </row>
    <row r="9" spans="1:16" x14ac:dyDescent="0.25">
      <c r="A9" t="s">
        <v>10</v>
      </c>
      <c r="B9" t="s">
        <v>38</v>
      </c>
      <c r="C9" s="27">
        <v>28.61</v>
      </c>
      <c r="D9" s="6">
        <v>53989595</v>
      </c>
      <c r="E9" s="6">
        <v>46909</v>
      </c>
      <c r="F9" s="6">
        <v>54036504</v>
      </c>
      <c r="G9" s="6">
        <v>3884077</v>
      </c>
      <c r="H9" s="6">
        <v>4267657</v>
      </c>
      <c r="I9" s="6">
        <v>0</v>
      </c>
      <c r="K9" s="6">
        <f>D9-'PaymentCodingTotal-old'!C8</f>
        <v>53989595</v>
      </c>
      <c r="L9" s="6">
        <f>E9-'PaymentCodingTotal-old'!H8</f>
        <v>46909</v>
      </c>
      <c r="N9" s="6">
        <f>G9-'PaymentCodingTotal-old'!C32</f>
        <v>3884077</v>
      </c>
      <c r="O9" s="6">
        <f>H9-'PaymentCodingTotal-old'!D32</f>
        <v>4267657</v>
      </c>
      <c r="P9" s="6">
        <f>I9-'PaymentCodingTotal-old'!E20</f>
        <v>0</v>
      </c>
    </row>
    <row r="10" spans="1:16" x14ac:dyDescent="0.25">
      <c r="A10" t="s">
        <v>11</v>
      </c>
      <c r="B10" t="s">
        <v>39</v>
      </c>
      <c r="C10" s="27">
        <v>35.17</v>
      </c>
      <c r="D10" s="6">
        <v>15768181</v>
      </c>
      <c r="E10" s="6">
        <v>79672</v>
      </c>
      <c r="F10" s="6">
        <v>15847853</v>
      </c>
      <c r="G10" s="6">
        <v>1150261</v>
      </c>
      <c r="H10" s="6">
        <v>1287750</v>
      </c>
      <c r="I10" s="6">
        <v>30000</v>
      </c>
      <c r="K10" s="6">
        <f>D10-'PaymentCodingTotal-old'!C9</f>
        <v>15768181</v>
      </c>
      <c r="L10" s="6">
        <f>E10-'PaymentCodingTotal-old'!H9</f>
        <v>79672</v>
      </c>
      <c r="N10" s="6">
        <f>G10-'PaymentCodingTotal-old'!C33</f>
        <v>1150261</v>
      </c>
      <c r="O10" s="6">
        <f>H10-'PaymentCodingTotal-old'!D33</f>
        <v>1287750</v>
      </c>
      <c r="P10" s="6">
        <f>I10-'PaymentCodingTotal-old'!E21</f>
        <v>30000</v>
      </c>
    </row>
    <row r="11" spans="1:16" x14ac:dyDescent="0.25">
      <c r="A11" t="s">
        <v>12</v>
      </c>
      <c r="B11" t="s">
        <v>40</v>
      </c>
      <c r="C11" s="27">
        <v>35.15</v>
      </c>
      <c r="D11" s="6">
        <v>14585910</v>
      </c>
      <c r="E11" s="6">
        <v>101921</v>
      </c>
      <c r="F11" s="6">
        <v>14687831</v>
      </c>
      <c r="G11" s="6">
        <v>960922</v>
      </c>
      <c r="H11" s="6">
        <v>1062418</v>
      </c>
      <c r="I11" s="6">
        <v>30001</v>
      </c>
      <c r="K11" s="6">
        <f>D11-'PaymentCodingTotal-old'!C10</f>
        <v>14585910</v>
      </c>
      <c r="L11" s="6">
        <f>E11-'PaymentCodingTotal-old'!H10</f>
        <v>101921</v>
      </c>
      <c r="N11" s="6">
        <f>G11-'PaymentCodingTotal-old'!C34</f>
        <v>960922</v>
      </c>
      <c r="O11" s="6">
        <f>H11-'PaymentCodingTotal-old'!D34</f>
        <v>1062418</v>
      </c>
      <c r="P11" s="6">
        <f>I11-'PaymentCodingTotal-old'!E22</f>
        <v>30001</v>
      </c>
    </row>
    <row r="12" spans="1:16" x14ac:dyDescent="0.25">
      <c r="A12" t="s">
        <v>13</v>
      </c>
      <c r="B12" t="s">
        <v>41</v>
      </c>
      <c r="C12" s="27">
        <v>34.159999999999997</v>
      </c>
      <c r="D12" s="6">
        <v>12960059</v>
      </c>
      <c r="E12" s="6">
        <v>121335</v>
      </c>
      <c r="F12" s="6">
        <v>13081394</v>
      </c>
      <c r="G12" s="6">
        <v>885624</v>
      </c>
      <c r="H12" s="6">
        <v>973641</v>
      </c>
      <c r="I12" s="6">
        <v>30001</v>
      </c>
      <c r="K12" s="6">
        <f>D12-'PaymentCodingTotal-old'!C11</f>
        <v>12960059</v>
      </c>
      <c r="L12" s="6">
        <f>E12-'PaymentCodingTotal-old'!H11</f>
        <v>121335</v>
      </c>
      <c r="N12" s="6">
        <f>G12-'PaymentCodingTotal-old'!C35</f>
        <v>885624</v>
      </c>
      <c r="O12" s="6">
        <f>H12-'PaymentCodingTotal-old'!D35</f>
        <v>973641</v>
      </c>
      <c r="P12" s="6">
        <f>I12-'PaymentCodingTotal-old'!E23</f>
        <v>30001</v>
      </c>
    </row>
    <row r="13" spans="1:16" ht="15.75" thickBot="1" x14ac:dyDescent="0.3">
      <c r="D13" s="28">
        <v>188895767</v>
      </c>
      <c r="E13" s="28">
        <v>834646</v>
      </c>
      <c r="F13" s="28">
        <v>189730413</v>
      </c>
      <c r="G13" s="28">
        <v>13252861</v>
      </c>
      <c r="H13" s="28">
        <v>14643281</v>
      </c>
      <c r="I13" s="28">
        <v>210004</v>
      </c>
      <c r="K13" s="6">
        <f>D13-'PaymentCodingTotal-old'!C12</f>
        <v>188895767</v>
      </c>
      <c r="L13" s="6">
        <f>E13-'PaymentCodingTotal-old'!H12</f>
        <v>834646</v>
      </c>
      <c r="N13" s="6">
        <f>G13-'PaymentCodingTotal-old'!C36</f>
        <v>13252861</v>
      </c>
      <c r="O13" s="6">
        <f>H13-'PaymentCodingTotal-old'!D36</f>
        <v>14643281</v>
      </c>
      <c r="P13" s="6">
        <f>I13-'PaymentCodingTotal-old'!E24</f>
        <v>210004</v>
      </c>
    </row>
    <row r="14" spans="1:16" ht="7.5" customHeight="1" thickTop="1" x14ac:dyDescent="0.25">
      <c r="F14" s="6"/>
      <c r="G14" s="6"/>
      <c r="H14" s="6"/>
      <c r="I14" s="6"/>
      <c r="J14" s="6"/>
    </row>
    <row r="15" spans="1:16" ht="81.75" hidden="1" customHeight="1" x14ac:dyDescent="0.25">
      <c r="A15" s="29"/>
      <c r="B15" s="29"/>
      <c r="C15" s="25" t="s">
        <v>57</v>
      </c>
      <c r="D15" s="25" t="s">
        <v>58</v>
      </c>
      <c r="E15" s="25" t="s">
        <v>728</v>
      </c>
      <c r="F15" s="25" t="s">
        <v>49</v>
      </c>
      <c r="G15" s="25" t="s">
        <v>61</v>
      </c>
      <c r="H15" s="25" t="s">
        <v>62</v>
      </c>
      <c r="I15" s="25" t="s">
        <v>63</v>
      </c>
      <c r="J15" s="10"/>
    </row>
    <row r="16" spans="1:16" ht="45" x14ac:dyDescent="0.25">
      <c r="A16" s="30" t="s">
        <v>31</v>
      </c>
      <c r="B16" s="30" t="s">
        <v>32</v>
      </c>
      <c r="C16" s="26" t="s">
        <v>727</v>
      </c>
      <c r="D16" s="26" t="s">
        <v>728</v>
      </c>
      <c r="E16" s="26" t="s">
        <v>729</v>
      </c>
      <c r="F16" s="26" t="s">
        <v>61</v>
      </c>
      <c r="G16" s="26" t="s">
        <v>730</v>
      </c>
      <c r="H16" s="26" t="s">
        <v>731</v>
      </c>
      <c r="I16" s="32"/>
      <c r="K16" s="26" t="s">
        <v>727</v>
      </c>
      <c r="L16" s="26" t="s">
        <v>728</v>
      </c>
      <c r="M16" s="26" t="s">
        <v>729</v>
      </c>
      <c r="N16" s="26" t="s">
        <v>61</v>
      </c>
      <c r="O16" s="26" t="s">
        <v>730</v>
      </c>
      <c r="P16" s="26" t="s">
        <v>731</v>
      </c>
    </row>
    <row r="17" spans="1:16" x14ac:dyDescent="0.25">
      <c r="A17" t="s">
        <v>5</v>
      </c>
      <c r="B17" t="s">
        <v>33</v>
      </c>
      <c r="C17" s="6">
        <v>1138633</v>
      </c>
      <c r="D17" s="6">
        <v>14367691</v>
      </c>
      <c r="E17" s="6">
        <v>1894993</v>
      </c>
      <c r="F17" s="6">
        <v>12472698</v>
      </c>
      <c r="G17" s="6">
        <v>7959399</v>
      </c>
      <c r="H17" s="6">
        <v>4513299</v>
      </c>
      <c r="I17" s="6"/>
      <c r="K17" s="6">
        <f>C17-'PaymentCodingTotal-old'!F15</f>
        <v>1138633</v>
      </c>
      <c r="M17" s="6">
        <f>E17-'PaymentCodingTotal-old'!E3</f>
        <v>1894993</v>
      </c>
      <c r="N17" s="6">
        <f>F17-'PaymentCodingTotal-old'!E27</f>
        <v>12472698</v>
      </c>
      <c r="O17" s="6">
        <f>G17-'PaymentCodingTotal-old'!F27</f>
        <v>7959399</v>
      </c>
      <c r="P17" s="6">
        <f>H17-'PaymentCodingTotal-old'!G27</f>
        <v>4513299</v>
      </c>
    </row>
    <row r="18" spans="1:16" x14ac:dyDescent="0.25">
      <c r="A18" t="s">
        <v>6</v>
      </c>
      <c r="B18" t="s">
        <v>34</v>
      </c>
      <c r="C18" s="6">
        <v>1264347</v>
      </c>
      <c r="D18" s="6">
        <v>14988794</v>
      </c>
      <c r="E18" s="6">
        <v>1980939</v>
      </c>
      <c r="F18" s="6">
        <v>13007855</v>
      </c>
      <c r="G18" s="6">
        <v>8370719</v>
      </c>
      <c r="H18" s="6">
        <v>4637136</v>
      </c>
      <c r="I18" s="6"/>
      <c r="K18" s="6">
        <f>C18-'PaymentCodingTotal-old'!F16</f>
        <v>1264347</v>
      </c>
      <c r="M18" s="6">
        <f>E18-'PaymentCodingTotal-old'!E4</f>
        <v>1980939</v>
      </c>
      <c r="N18" s="6">
        <f>F18-'PaymentCodingTotal-old'!E28</f>
        <v>13007855</v>
      </c>
      <c r="O18" s="6">
        <f>G18-'PaymentCodingTotal-old'!F28</f>
        <v>8370719</v>
      </c>
      <c r="P18" s="6">
        <f>H18-'PaymentCodingTotal-old'!G28</f>
        <v>4637136</v>
      </c>
    </row>
    <row r="19" spans="1:16" x14ac:dyDescent="0.25">
      <c r="A19" t="s">
        <v>7</v>
      </c>
      <c r="B19" t="s">
        <v>35</v>
      </c>
      <c r="C19" s="6">
        <v>2996590</v>
      </c>
      <c r="D19" s="6">
        <v>30909262</v>
      </c>
      <c r="E19" s="6">
        <v>4135301</v>
      </c>
      <c r="F19" s="6">
        <v>26773961</v>
      </c>
      <c r="G19" s="6">
        <v>17854855</v>
      </c>
      <c r="H19" s="6">
        <v>8919106</v>
      </c>
      <c r="I19" s="6"/>
      <c r="K19" s="6">
        <f>C19-'PaymentCodingTotal-old'!F17</f>
        <v>2996590</v>
      </c>
      <c r="M19" s="6">
        <f>E19-'PaymentCodingTotal-old'!E5</f>
        <v>4135301</v>
      </c>
      <c r="N19" s="6">
        <f>F19-'PaymentCodingTotal-old'!E29</f>
        <v>26773961</v>
      </c>
      <c r="O19" s="6">
        <f>G19-'PaymentCodingTotal-old'!F29</f>
        <v>17854855</v>
      </c>
      <c r="P19" s="6">
        <f>H19-'PaymentCodingTotal-old'!G29</f>
        <v>8919106</v>
      </c>
    </row>
    <row r="20" spans="1:16" x14ac:dyDescent="0.25">
      <c r="A20" t="s">
        <v>8</v>
      </c>
      <c r="B20" t="s">
        <v>36</v>
      </c>
      <c r="C20" s="6">
        <v>1615203</v>
      </c>
      <c r="D20" s="6">
        <v>21790540</v>
      </c>
      <c r="E20" s="6">
        <v>2999921</v>
      </c>
      <c r="F20" s="6">
        <v>18790619</v>
      </c>
      <c r="G20" s="6">
        <v>12400626</v>
      </c>
      <c r="H20" s="6">
        <v>6389993</v>
      </c>
      <c r="I20" s="6"/>
      <c r="K20" s="6">
        <f>C20-'PaymentCodingTotal-old'!F18</f>
        <v>1615203</v>
      </c>
      <c r="M20" s="6">
        <f>E20-'PaymentCodingTotal-old'!E6</f>
        <v>2999921</v>
      </c>
      <c r="N20" s="6">
        <f>F20-'PaymentCodingTotal-old'!E30</f>
        <v>18790619</v>
      </c>
      <c r="O20" s="6">
        <f>G20-'PaymentCodingTotal-old'!F30</f>
        <v>12400626</v>
      </c>
      <c r="P20" s="6">
        <f>H20-'PaymentCodingTotal-old'!G30</f>
        <v>6389993</v>
      </c>
    </row>
    <row r="21" spans="1:16" x14ac:dyDescent="0.25">
      <c r="A21" t="s">
        <v>9</v>
      </c>
      <c r="B21" t="s">
        <v>37</v>
      </c>
      <c r="C21" s="6">
        <v>2515465</v>
      </c>
      <c r="D21" s="6">
        <v>33094576</v>
      </c>
      <c r="E21" s="6">
        <v>4566772</v>
      </c>
      <c r="F21" s="6">
        <v>28527804</v>
      </c>
      <c r="G21" s="6">
        <v>18921885</v>
      </c>
      <c r="H21" s="6">
        <v>9605919</v>
      </c>
      <c r="I21" s="6"/>
      <c r="K21" s="6">
        <f>C21-'PaymentCodingTotal-old'!F19</f>
        <v>2515465</v>
      </c>
      <c r="M21" s="6">
        <f>E21-'PaymentCodingTotal-old'!E7</f>
        <v>4566772</v>
      </c>
      <c r="N21" s="6">
        <f>F21-'PaymentCodingTotal-old'!E31</f>
        <v>28527804</v>
      </c>
      <c r="O21" s="6">
        <f>G21-'PaymentCodingTotal-old'!F31</f>
        <v>18921885</v>
      </c>
      <c r="P21" s="6">
        <f>H21-'PaymentCodingTotal-old'!G31</f>
        <v>9605919</v>
      </c>
    </row>
    <row r="22" spans="1:16" x14ac:dyDescent="0.25">
      <c r="A22" t="s">
        <v>10</v>
      </c>
      <c r="B22" t="s">
        <v>38</v>
      </c>
      <c r="C22" s="6">
        <v>4623704</v>
      </c>
      <c r="D22" s="6">
        <v>66811942</v>
      </c>
      <c r="E22" s="6">
        <v>9507746</v>
      </c>
      <c r="F22" s="6">
        <v>57304196</v>
      </c>
      <c r="G22" s="6">
        <v>38731511</v>
      </c>
      <c r="H22" s="6">
        <v>18572685</v>
      </c>
      <c r="I22" s="6"/>
      <c r="K22" s="6">
        <f>C22-'PaymentCodingTotal-old'!F20</f>
        <v>4623704</v>
      </c>
      <c r="M22" s="6">
        <f>E22-'PaymentCodingTotal-old'!E8</f>
        <v>9507746</v>
      </c>
      <c r="N22" s="6">
        <f>F22-'PaymentCodingTotal-old'!E32</f>
        <v>57304196</v>
      </c>
      <c r="O22" s="6">
        <f>G22-'PaymentCodingTotal-old'!F32</f>
        <v>38731511</v>
      </c>
      <c r="P22" s="6">
        <f>H22-'PaymentCodingTotal-old'!G32</f>
        <v>18572685</v>
      </c>
    </row>
    <row r="23" spans="1:16" x14ac:dyDescent="0.25">
      <c r="A23" t="s">
        <v>11</v>
      </c>
      <c r="B23" t="s">
        <v>39</v>
      </c>
      <c r="C23" s="6">
        <v>1595606</v>
      </c>
      <c r="D23" s="6">
        <v>19911470</v>
      </c>
      <c r="E23" s="6">
        <v>2660304</v>
      </c>
      <c r="F23" s="6">
        <v>17251166</v>
      </c>
      <c r="G23" s="6">
        <v>11162299</v>
      </c>
      <c r="H23" s="6">
        <v>6088867</v>
      </c>
      <c r="I23" s="6"/>
      <c r="K23" s="6">
        <f>C23-'PaymentCodingTotal-old'!F21</f>
        <v>1595606</v>
      </c>
      <c r="M23" s="6">
        <f>E23-'PaymentCodingTotal-old'!E9</f>
        <v>2660304</v>
      </c>
      <c r="N23" s="6">
        <f>F23-'PaymentCodingTotal-old'!E33</f>
        <v>17251166</v>
      </c>
      <c r="O23" s="6">
        <f>G23-'PaymentCodingTotal-old'!F33</f>
        <v>11162299</v>
      </c>
      <c r="P23" s="6">
        <f>H23-'PaymentCodingTotal-old'!G33</f>
        <v>6088867</v>
      </c>
    </row>
    <row r="24" spans="1:16" x14ac:dyDescent="0.25">
      <c r="A24" t="s">
        <v>12</v>
      </c>
      <c r="B24" t="s">
        <v>40</v>
      </c>
      <c r="C24" s="6">
        <v>1506001</v>
      </c>
      <c r="D24" s="6">
        <v>18247173</v>
      </c>
      <c r="E24" s="6">
        <v>2508136</v>
      </c>
      <c r="F24" s="6">
        <v>15739037</v>
      </c>
      <c r="G24" s="6">
        <v>10527304</v>
      </c>
      <c r="H24" s="6">
        <v>5211733</v>
      </c>
      <c r="I24" s="6"/>
      <c r="K24" s="6">
        <f>C24-'PaymentCodingTotal-old'!F22</f>
        <v>1506001</v>
      </c>
      <c r="M24" s="6">
        <f>E24-'PaymentCodingTotal-old'!E10</f>
        <v>2508136</v>
      </c>
      <c r="N24" s="6">
        <f>F24-'PaymentCodingTotal-old'!E34</f>
        <v>15739037</v>
      </c>
      <c r="O24" s="6">
        <f>G24-'PaymentCodingTotal-old'!F34</f>
        <v>10527304</v>
      </c>
      <c r="P24" s="6">
        <f>H24-'PaymentCodingTotal-old'!G34</f>
        <v>5211733</v>
      </c>
    </row>
    <row r="25" spans="1:16" x14ac:dyDescent="0.25">
      <c r="A25" t="s">
        <v>13</v>
      </c>
      <c r="B25" t="s">
        <v>41</v>
      </c>
      <c r="C25" s="6">
        <v>1308929</v>
      </c>
      <c r="D25" s="6">
        <v>16279589</v>
      </c>
      <c r="E25" s="6">
        <v>2245888</v>
      </c>
      <c r="F25" s="6">
        <v>14033701</v>
      </c>
      <c r="G25" s="6">
        <v>9389615</v>
      </c>
      <c r="H25" s="6">
        <v>4644086</v>
      </c>
      <c r="I25" s="6"/>
      <c r="K25" s="6">
        <f>C25-'PaymentCodingTotal-old'!F23</f>
        <v>1308929</v>
      </c>
      <c r="M25" s="6">
        <f>E25-'PaymentCodingTotal-old'!E11</f>
        <v>2245888</v>
      </c>
      <c r="N25" s="6">
        <f>F25-'PaymentCodingTotal-old'!E35</f>
        <v>14033701</v>
      </c>
      <c r="O25" s="6">
        <f>G25-'PaymentCodingTotal-old'!F35</f>
        <v>9389615</v>
      </c>
      <c r="P25" s="6">
        <f>H25-'PaymentCodingTotal-old'!G35</f>
        <v>4644086</v>
      </c>
    </row>
    <row r="26" spans="1:16" ht="15.75" thickBot="1" x14ac:dyDescent="0.3">
      <c r="C26" s="28">
        <v>18564478</v>
      </c>
      <c r="D26" s="28">
        <v>236401037</v>
      </c>
      <c r="E26" s="28">
        <v>32500000</v>
      </c>
      <c r="F26" s="28">
        <v>203901037</v>
      </c>
      <c r="G26" s="28">
        <v>135318213</v>
      </c>
      <c r="H26" s="28">
        <v>68582824</v>
      </c>
      <c r="I26" s="6"/>
      <c r="K26" s="6">
        <f>C26-'PaymentCodingTotal-old'!F24</f>
        <v>18564478</v>
      </c>
      <c r="M26" s="6">
        <f>E26-'PaymentCodingTotal-old'!E12</f>
        <v>32500000</v>
      </c>
      <c r="N26" s="6">
        <f>F26-'PaymentCodingTotal-old'!E36</f>
        <v>203901037</v>
      </c>
      <c r="O26" s="6">
        <f>G26-'PaymentCodingTotal-old'!F36</f>
        <v>135318213</v>
      </c>
      <c r="P26" s="6">
        <f>H26-'PaymentCodingTotal-old'!G36</f>
        <v>68582824</v>
      </c>
    </row>
    <row r="27" spans="1:16" ht="15.75" thickTop="1" x14ac:dyDescent="0.25"/>
    <row r="29" spans="1:16"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activeCell="F4" sqref="F4"/>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44</v>
      </c>
      <c r="B1" s="1" t="s">
        <v>31</v>
      </c>
      <c r="C1" t="s">
        <v>32</v>
      </c>
      <c r="D1" s="1" t="s">
        <v>45</v>
      </c>
      <c r="E1" t="s">
        <v>46</v>
      </c>
      <c r="F1" t="s">
        <v>47</v>
      </c>
      <c r="G1" t="s">
        <v>48</v>
      </c>
      <c r="H1" t="s">
        <v>49</v>
      </c>
      <c r="I1" t="s">
        <v>50</v>
      </c>
      <c r="J1" t="s">
        <v>51</v>
      </c>
      <c r="K1" t="s">
        <v>52</v>
      </c>
      <c r="L1" t="s">
        <v>53</v>
      </c>
      <c r="M1" t="s">
        <v>54</v>
      </c>
      <c r="N1" t="s">
        <v>55</v>
      </c>
      <c r="O1" t="s">
        <v>56</v>
      </c>
      <c r="P1" t="s">
        <v>57</v>
      </c>
      <c r="Q1" t="s">
        <v>58</v>
      </c>
      <c r="R1" t="s">
        <v>59</v>
      </c>
      <c r="S1" t="s">
        <v>60</v>
      </c>
      <c r="T1" t="s">
        <v>61</v>
      </c>
      <c r="U1" t="s">
        <v>62</v>
      </c>
      <c r="V1" t="s">
        <v>63</v>
      </c>
    </row>
    <row r="2" spans="1:22" x14ac:dyDescent="0.25">
      <c r="A2">
        <v>2026</v>
      </c>
      <c r="B2" s="1" t="s">
        <v>10</v>
      </c>
      <c r="C2" t="s">
        <v>38</v>
      </c>
      <c r="D2" s="1" t="s">
        <v>389</v>
      </c>
      <c r="E2" t="s">
        <v>64</v>
      </c>
      <c r="F2" s="6">
        <v>113866</v>
      </c>
      <c r="G2" s="6">
        <v>92145</v>
      </c>
      <c r="H2" s="6">
        <v>19736</v>
      </c>
      <c r="I2" s="6">
        <v>72409</v>
      </c>
      <c r="J2" s="6">
        <v>21721</v>
      </c>
      <c r="K2" s="6">
        <v>1802</v>
      </c>
      <c r="L2" s="6">
        <v>95932</v>
      </c>
      <c r="M2">
        <v>0</v>
      </c>
      <c r="N2">
        <v>0</v>
      </c>
      <c r="O2">
        <v>0</v>
      </c>
      <c r="P2" s="6">
        <v>9785</v>
      </c>
      <c r="Q2" s="6">
        <v>0</v>
      </c>
      <c r="R2" s="6">
        <v>19069</v>
      </c>
      <c r="S2" s="6">
        <v>20956</v>
      </c>
      <c r="T2" s="6">
        <v>145742</v>
      </c>
      <c r="U2" s="6">
        <v>82194</v>
      </c>
      <c r="V2" s="6">
        <v>63548</v>
      </c>
    </row>
    <row r="3" spans="1:22" x14ac:dyDescent="0.25">
      <c r="A3">
        <v>2026</v>
      </c>
      <c r="B3" s="1" t="s">
        <v>10</v>
      </c>
      <c r="C3" t="s">
        <v>38</v>
      </c>
      <c r="D3" s="1" t="s">
        <v>390</v>
      </c>
      <c r="E3" t="s">
        <v>65</v>
      </c>
      <c r="F3" s="6">
        <v>828554</v>
      </c>
      <c r="G3" s="6">
        <v>670501</v>
      </c>
      <c r="H3" s="6">
        <v>143611</v>
      </c>
      <c r="I3" s="6">
        <v>526890</v>
      </c>
      <c r="J3" s="6">
        <v>158053</v>
      </c>
      <c r="K3">
        <v>0</v>
      </c>
      <c r="L3" s="6">
        <v>684943</v>
      </c>
      <c r="M3">
        <v>0</v>
      </c>
      <c r="N3">
        <v>0</v>
      </c>
      <c r="O3">
        <v>0</v>
      </c>
      <c r="P3" s="6">
        <v>71204</v>
      </c>
      <c r="Q3" s="6">
        <v>0</v>
      </c>
      <c r="R3" s="6">
        <v>144119</v>
      </c>
      <c r="S3" s="6">
        <v>158384</v>
      </c>
      <c r="T3" s="6">
        <v>1058650</v>
      </c>
      <c r="U3" s="6">
        <v>598094</v>
      </c>
      <c r="V3" s="6">
        <v>460556</v>
      </c>
    </row>
    <row r="4" spans="1:22" x14ac:dyDescent="0.25">
      <c r="A4">
        <v>2026</v>
      </c>
      <c r="B4" s="1" t="s">
        <v>7</v>
      </c>
      <c r="C4" t="s">
        <v>35</v>
      </c>
      <c r="D4" s="1" t="s">
        <v>391</v>
      </c>
      <c r="E4" t="s">
        <v>66</v>
      </c>
      <c r="F4" s="6">
        <v>281388</v>
      </c>
      <c r="G4" s="6">
        <v>220358</v>
      </c>
      <c r="H4" s="6">
        <v>47198</v>
      </c>
      <c r="I4" s="6">
        <v>173160</v>
      </c>
      <c r="J4" s="6">
        <v>61030</v>
      </c>
      <c r="K4" s="6">
        <v>4081</v>
      </c>
      <c r="L4" s="6">
        <v>238271</v>
      </c>
      <c r="M4">
        <v>270</v>
      </c>
      <c r="N4">
        <v>75</v>
      </c>
      <c r="O4">
        <v>345</v>
      </c>
      <c r="P4" s="6">
        <v>35155</v>
      </c>
      <c r="Q4" s="6">
        <v>0</v>
      </c>
      <c r="R4" s="6">
        <v>47596</v>
      </c>
      <c r="S4" s="6">
        <v>53057</v>
      </c>
      <c r="T4" s="6">
        <v>374424</v>
      </c>
      <c r="U4" s="6">
        <v>208586</v>
      </c>
      <c r="V4" s="6">
        <v>165838</v>
      </c>
    </row>
    <row r="5" spans="1:22" x14ac:dyDescent="0.25">
      <c r="A5">
        <v>2026</v>
      </c>
      <c r="B5" s="1" t="s">
        <v>12</v>
      </c>
      <c r="C5" t="s">
        <v>40</v>
      </c>
      <c r="D5" s="1" t="s">
        <v>392</v>
      </c>
      <c r="E5" t="s">
        <v>67</v>
      </c>
      <c r="F5" s="6">
        <v>311331</v>
      </c>
      <c r="G5" s="6">
        <v>246126</v>
      </c>
      <c r="H5" s="6">
        <v>52716</v>
      </c>
      <c r="I5" s="6">
        <v>193410</v>
      </c>
      <c r="J5" s="6">
        <v>65205</v>
      </c>
      <c r="K5">
        <v>0</v>
      </c>
      <c r="L5" s="6">
        <v>258615</v>
      </c>
      <c r="M5">
        <v>502</v>
      </c>
      <c r="N5">
        <v>133</v>
      </c>
      <c r="O5">
        <v>635</v>
      </c>
      <c r="P5" s="6">
        <v>31970</v>
      </c>
      <c r="Q5" s="6">
        <v>0</v>
      </c>
      <c r="R5" s="6">
        <v>51407</v>
      </c>
      <c r="S5" s="6">
        <v>56841</v>
      </c>
      <c r="T5" s="6">
        <v>399468</v>
      </c>
      <c r="U5" s="6">
        <v>225882</v>
      </c>
      <c r="V5" s="6">
        <v>173586</v>
      </c>
    </row>
    <row r="6" spans="1:22" x14ac:dyDescent="0.25">
      <c r="A6">
        <v>2026</v>
      </c>
      <c r="B6" s="1" t="s">
        <v>11</v>
      </c>
      <c r="C6" t="s">
        <v>39</v>
      </c>
      <c r="D6" s="1" t="s">
        <v>393</v>
      </c>
      <c r="E6" t="s">
        <v>68</v>
      </c>
      <c r="F6" s="6">
        <v>214092</v>
      </c>
      <c r="G6" s="6">
        <v>166122</v>
      </c>
      <c r="H6" s="6">
        <v>35581</v>
      </c>
      <c r="I6" s="6">
        <v>130541</v>
      </c>
      <c r="J6" s="6">
        <v>47970</v>
      </c>
      <c r="K6" s="6">
        <v>1215</v>
      </c>
      <c r="L6" s="6">
        <v>179726</v>
      </c>
      <c r="M6">
        <v>312</v>
      </c>
      <c r="N6">
        <v>90</v>
      </c>
      <c r="O6">
        <v>402</v>
      </c>
      <c r="P6" s="6">
        <v>21590</v>
      </c>
      <c r="Q6" s="6">
        <v>0</v>
      </c>
      <c r="R6" s="6">
        <v>35246</v>
      </c>
      <c r="S6" s="6">
        <v>39452</v>
      </c>
      <c r="T6" s="6">
        <v>276416</v>
      </c>
      <c r="U6" s="6">
        <v>152443</v>
      </c>
      <c r="V6" s="6">
        <v>123973</v>
      </c>
    </row>
    <row r="7" spans="1:22" x14ac:dyDescent="0.25">
      <c r="A7">
        <v>2026</v>
      </c>
      <c r="B7" s="1" t="s">
        <v>6</v>
      </c>
      <c r="C7" t="s">
        <v>34</v>
      </c>
      <c r="D7" s="1" t="s">
        <v>394</v>
      </c>
      <c r="E7" t="s">
        <v>69</v>
      </c>
      <c r="F7" s="6">
        <v>82726</v>
      </c>
      <c r="G7" s="6">
        <v>63588</v>
      </c>
      <c r="H7" s="6">
        <v>13620</v>
      </c>
      <c r="I7" s="6">
        <v>49968</v>
      </c>
      <c r="J7" s="6">
        <v>19138</v>
      </c>
      <c r="K7" s="6">
        <v>0</v>
      </c>
      <c r="L7" s="6">
        <v>69106</v>
      </c>
      <c r="M7">
        <v>0</v>
      </c>
      <c r="N7">
        <v>0</v>
      </c>
      <c r="O7">
        <v>0</v>
      </c>
      <c r="P7" s="6">
        <v>8753</v>
      </c>
      <c r="Q7" s="6">
        <v>0</v>
      </c>
      <c r="R7" s="6">
        <v>13983</v>
      </c>
      <c r="S7" s="6">
        <v>15656</v>
      </c>
      <c r="T7" s="6">
        <v>107498</v>
      </c>
      <c r="U7" s="6">
        <v>58721</v>
      </c>
      <c r="V7" s="6">
        <v>48777</v>
      </c>
    </row>
    <row r="8" spans="1:22" x14ac:dyDescent="0.25">
      <c r="A8">
        <v>2026</v>
      </c>
      <c r="B8" s="1" t="s">
        <v>13</v>
      </c>
      <c r="C8" t="s">
        <v>41</v>
      </c>
      <c r="D8" s="1" t="s">
        <v>395</v>
      </c>
      <c r="E8" t="s">
        <v>70</v>
      </c>
      <c r="F8" s="6">
        <v>419878</v>
      </c>
      <c r="G8" s="6">
        <v>334468</v>
      </c>
      <c r="H8" s="6">
        <v>71638</v>
      </c>
      <c r="I8" s="6">
        <v>262830</v>
      </c>
      <c r="J8" s="6">
        <v>85410</v>
      </c>
      <c r="K8">
        <v>0</v>
      </c>
      <c r="L8" s="6">
        <v>348240</v>
      </c>
      <c r="M8">
        <v>765</v>
      </c>
      <c r="N8">
        <v>195</v>
      </c>
      <c r="O8">
        <v>960</v>
      </c>
      <c r="P8" s="6">
        <v>42245</v>
      </c>
      <c r="Q8" s="6">
        <v>0</v>
      </c>
      <c r="R8" s="6">
        <v>70676</v>
      </c>
      <c r="S8" s="6">
        <v>77716</v>
      </c>
      <c r="T8" s="6">
        <v>539837</v>
      </c>
      <c r="U8" s="6">
        <v>305839</v>
      </c>
      <c r="V8" s="6">
        <v>233998</v>
      </c>
    </row>
    <row r="9" spans="1:22" x14ac:dyDescent="0.25">
      <c r="A9">
        <v>2026</v>
      </c>
      <c r="B9" s="1" t="s">
        <v>9</v>
      </c>
      <c r="C9" t="s">
        <v>37</v>
      </c>
      <c r="D9" s="1" t="s">
        <v>396</v>
      </c>
      <c r="E9" t="s">
        <v>71</v>
      </c>
      <c r="F9" s="6">
        <v>203952</v>
      </c>
      <c r="G9" s="6">
        <v>161681</v>
      </c>
      <c r="H9" s="6">
        <v>34629</v>
      </c>
      <c r="I9" s="6">
        <v>127052</v>
      </c>
      <c r="J9" s="6">
        <v>42271</v>
      </c>
      <c r="K9">
        <v>0</v>
      </c>
      <c r="L9" s="6">
        <v>169323</v>
      </c>
      <c r="M9">
        <v>179</v>
      </c>
      <c r="N9">
        <v>47</v>
      </c>
      <c r="O9">
        <v>226</v>
      </c>
      <c r="P9" s="6">
        <v>19378</v>
      </c>
      <c r="Q9" s="6">
        <v>0</v>
      </c>
      <c r="R9" s="6">
        <v>36584</v>
      </c>
      <c r="S9" s="6">
        <v>40232</v>
      </c>
      <c r="T9" s="6">
        <v>265743</v>
      </c>
      <c r="U9" s="6">
        <v>146609</v>
      </c>
      <c r="V9" s="6">
        <v>119134</v>
      </c>
    </row>
    <row r="10" spans="1:22" x14ac:dyDescent="0.25">
      <c r="A10">
        <v>2026</v>
      </c>
      <c r="B10" s="1" t="s">
        <v>7</v>
      </c>
      <c r="C10" t="s">
        <v>35</v>
      </c>
      <c r="D10" s="1" t="s">
        <v>397</v>
      </c>
      <c r="E10" t="s">
        <v>72</v>
      </c>
      <c r="F10" s="6">
        <v>94422</v>
      </c>
      <c r="G10" s="6">
        <v>73943</v>
      </c>
      <c r="H10" s="6">
        <v>15838</v>
      </c>
      <c r="I10" s="6">
        <v>58105</v>
      </c>
      <c r="J10" s="6">
        <v>20479</v>
      </c>
      <c r="K10" s="6">
        <v>5533</v>
      </c>
      <c r="L10" s="6">
        <v>84117</v>
      </c>
      <c r="M10">
        <v>91</v>
      </c>
      <c r="N10">
        <v>25</v>
      </c>
      <c r="O10">
        <v>116</v>
      </c>
      <c r="P10" s="6">
        <v>12273</v>
      </c>
      <c r="Q10" s="6">
        <v>0</v>
      </c>
      <c r="R10" s="6">
        <v>16518</v>
      </c>
      <c r="S10" s="6">
        <v>18413</v>
      </c>
      <c r="T10" s="6">
        <v>131437</v>
      </c>
      <c r="U10" s="6">
        <v>70469</v>
      </c>
      <c r="V10" s="6">
        <v>60968</v>
      </c>
    </row>
    <row r="11" spans="1:22" x14ac:dyDescent="0.25">
      <c r="A11">
        <v>2026</v>
      </c>
      <c r="B11" s="1" t="s">
        <v>6</v>
      </c>
      <c r="C11" t="s">
        <v>34</v>
      </c>
      <c r="D11" s="1" t="s">
        <v>398</v>
      </c>
      <c r="E11" t="s">
        <v>73</v>
      </c>
      <c r="F11" s="6">
        <v>587022</v>
      </c>
      <c r="G11" s="6">
        <v>451216</v>
      </c>
      <c r="H11" s="6">
        <v>96643</v>
      </c>
      <c r="I11" s="6">
        <v>354573</v>
      </c>
      <c r="J11" s="6">
        <v>135806</v>
      </c>
      <c r="K11" s="6">
        <v>0</v>
      </c>
      <c r="L11" s="6">
        <v>490379</v>
      </c>
      <c r="M11">
        <v>0</v>
      </c>
      <c r="N11">
        <v>0</v>
      </c>
      <c r="O11">
        <v>0</v>
      </c>
      <c r="P11" s="6">
        <v>62108</v>
      </c>
      <c r="Q11" s="6">
        <v>0</v>
      </c>
      <c r="R11" s="6">
        <v>115521</v>
      </c>
      <c r="S11" s="6">
        <v>129347</v>
      </c>
      <c r="T11" s="6">
        <v>797355</v>
      </c>
      <c r="U11" s="6">
        <v>416681</v>
      </c>
      <c r="V11" s="6">
        <v>380674</v>
      </c>
    </row>
    <row r="12" spans="1:22" x14ac:dyDescent="0.25">
      <c r="A12">
        <v>2026</v>
      </c>
      <c r="B12" s="1" t="s">
        <v>5</v>
      </c>
      <c r="C12" t="s">
        <v>33</v>
      </c>
      <c r="D12" s="1" t="s">
        <v>399</v>
      </c>
      <c r="E12" t="s">
        <v>74</v>
      </c>
      <c r="F12" s="6">
        <v>463226</v>
      </c>
      <c r="G12" s="6">
        <v>351894</v>
      </c>
      <c r="H12" s="6">
        <v>75370</v>
      </c>
      <c r="I12" s="6">
        <v>276524</v>
      </c>
      <c r="J12" s="6">
        <v>111332</v>
      </c>
      <c r="K12">
        <v>0</v>
      </c>
      <c r="L12" s="6">
        <v>387856</v>
      </c>
      <c r="M12">
        <v>911</v>
      </c>
      <c r="N12">
        <v>288</v>
      </c>
      <c r="O12" s="6">
        <v>1199</v>
      </c>
      <c r="P12" s="6">
        <v>45938</v>
      </c>
      <c r="Q12" s="6">
        <v>0</v>
      </c>
      <c r="R12" s="6">
        <v>82097</v>
      </c>
      <c r="S12" s="6">
        <v>91444</v>
      </c>
      <c r="T12" s="6">
        <v>608534</v>
      </c>
      <c r="U12" s="6">
        <v>323373</v>
      </c>
      <c r="V12" s="6">
        <v>285161</v>
      </c>
    </row>
    <row r="13" spans="1:22" x14ac:dyDescent="0.25">
      <c r="A13">
        <v>2026</v>
      </c>
      <c r="B13" s="1" t="s">
        <v>6</v>
      </c>
      <c r="C13" t="s">
        <v>34</v>
      </c>
      <c r="D13" s="1" t="s">
        <v>400</v>
      </c>
      <c r="E13" t="s">
        <v>75</v>
      </c>
      <c r="F13" s="6">
        <v>334438</v>
      </c>
      <c r="G13" s="6">
        <v>257066</v>
      </c>
      <c r="H13" s="6">
        <v>55059</v>
      </c>
      <c r="I13" s="6">
        <v>202007</v>
      </c>
      <c r="J13" s="6">
        <v>77372</v>
      </c>
      <c r="K13" s="6">
        <v>0</v>
      </c>
      <c r="L13" s="6">
        <v>279379</v>
      </c>
      <c r="M13">
        <v>0</v>
      </c>
      <c r="N13">
        <v>0</v>
      </c>
      <c r="O13">
        <v>0</v>
      </c>
      <c r="P13" s="6">
        <v>35384</v>
      </c>
      <c r="Q13" s="6">
        <v>0</v>
      </c>
      <c r="R13" s="6">
        <v>57107</v>
      </c>
      <c r="S13" s="6">
        <v>63942</v>
      </c>
      <c r="T13" s="6">
        <v>435812</v>
      </c>
      <c r="U13" s="6">
        <v>237391</v>
      </c>
      <c r="V13" s="6">
        <v>198421</v>
      </c>
    </row>
    <row r="14" spans="1:22" x14ac:dyDescent="0.25">
      <c r="A14">
        <v>2026</v>
      </c>
      <c r="B14" s="1" t="s">
        <v>10</v>
      </c>
      <c r="C14" t="s">
        <v>38</v>
      </c>
      <c r="D14" s="1" t="s">
        <v>401</v>
      </c>
      <c r="E14" t="s">
        <v>76</v>
      </c>
      <c r="F14" s="6">
        <v>1767659</v>
      </c>
      <c r="G14" s="6">
        <v>1430464</v>
      </c>
      <c r="H14" s="6">
        <v>306383</v>
      </c>
      <c r="I14" s="6">
        <v>1124081</v>
      </c>
      <c r="J14" s="6">
        <v>337195</v>
      </c>
      <c r="K14">
        <v>0</v>
      </c>
      <c r="L14" s="6">
        <v>1461276</v>
      </c>
      <c r="M14">
        <v>0</v>
      </c>
      <c r="N14">
        <v>0</v>
      </c>
      <c r="O14">
        <v>0</v>
      </c>
      <c r="P14" s="6">
        <v>151909</v>
      </c>
      <c r="Q14" s="6">
        <v>0</v>
      </c>
      <c r="R14" s="6">
        <v>303869</v>
      </c>
      <c r="S14" s="6">
        <v>333947</v>
      </c>
      <c r="T14" s="6">
        <v>2251001</v>
      </c>
      <c r="U14" s="6">
        <v>1275990</v>
      </c>
      <c r="V14" s="6">
        <v>975011</v>
      </c>
    </row>
    <row r="15" spans="1:22" x14ac:dyDescent="0.25">
      <c r="A15">
        <v>2026</v>
      </c>
      <c r="B15" s="1" t="s">
        <v>9</v>
      </c>
      <c r="C15" t="s">
        <v>37</v>
      </c>
      <c r="D15" s="1" t="s">
        <v>402</v>
      </c>
      <c r="E15" t="s">
        <v>77</v>
      </c>
      <c r="F15" s="6">
        <v>458314</v>
      </c>
      <c r="G15" s="6">
        <v>363324</v>
      </c>
      <c r="H15" s="6">
        <v>77818</v>
      </c>
      <c r="I15" s="6">
        <v>285506</v>
      </c>
      <c r="J15" s="6">
        <v>94990</v>
      </c>
      <c r="K15" s="6">
        <v>15810</v>
      </c>
      <c r="L15" s="6">
        <v>396306</v>
      </c>
      <c r="M15">
        <v>403</v>
      </c>
      <c r="N15">
        <v>105</v>
      </c>
      <c r="O15">
        <v>508</v>
      </c>
      <c r="P15" s="6">
        <v>44979</v>
      </c>
      <c r="Q15" s="6">
        <v>0</v>
      </c>
      <c r="R15" s="6">
        <v>82525</v>
      </c>
      <c r="S15" s="6">
        <v>90754</v>
      </c>
      <c r="T15" s="6">
        <v>615072</v>
      </c>
      <c r="U15" s="6">
        <v>330888</v>
      </c>
      <c r="V15" s="6">
        <v>284184</v>
      </c>
    </row>
    <row r="16" spans="1:22" x14ac:dyDescent="0.25">
      <c r="A16">
        <v>2026</v>
      </c>
      <c r="B16" s="1" t="s">
        <v>8</v>
      </c>
      <c r="C16" t="s">
        <v>36</v>
      </c>
      <c r="D16" s="1" t="s">
        <v>403</v>
      </c>
      <c r="E16" t="s">
        <v>78</v>
      </c>
      <c r="F16" s="6">
        <v>86463</v>
      </c>
      <c r="G16" s="6">
        <v>68166</v>
      </c>
      <c r="H16" s="6">
        <v>14600</v>
      </c>
      <c r="I16" s="6">
        <v>53566</v>
      </c>
      <c r="J16" s="6">
        <v>18297</v>
      </c>
      <c r="K16" s="6">
        <v>6868</v>
      </c>
      <c r="L16" s="6">
        <v>78731</v>
      </c>
      <c r="M16">
        <v>116</v>
      </c>
      <c r="N16">
        <v>31</v>
      </c>
      <c r="O16">
        <v>147</v>
      </c>
      <c r="P16" s="6">
        <v>7985</v>
      </c>
      <c r="Q16">
        <v>0</v>
      </c>
      <c r="R16" s="6">
        <v>15941</v>
      </c>
      <c r="S16" s="6">
        <v>17432</v>
      </c>
      <c r="T16" s="6">
        <v>120236</v>
      </c>
      <c r="U16" s="6">
        <v>61667</v>
      </c>
      <c r="V16" s="6">
        <v>58569</v>
      </c>
    </row>
    <row r="17" spans="1:22" x14ac:dyDescent="0.25">
      <c r="A17">
        <v>2026</v>
      </c>
      <c r="B17" s="1" t="s">
        <v>10</v>
      </c>
      <c r="C17" t="s">
        <v>38</v>
      </c>
      <c r="D17" s="1" t="s">
        <v>404</v>
      </c>
      <c r="E17" t="s">
        <v>79</v>
      </c>
      <c r="F17" s="6">
        <v>4834549</v>
      </c>
      <c r="G17" s="6">
        <v>3912319</v>
      </c>
      <c r="H17" s="6">
        <v>837957</v>
      </c>
      <c r="I17" s="6">
        <v>3074362</v>
      </c>
      <c r="J17" s="6">
        <v>922230</v>
      </c>
      <c r="K17">
        <v>0</v>
      </c>
      <c r="L17" s="6">
        <v>3996592</v>
      </c>
      <c r="M17">
        <v>0</v>
      </c>
      <c r="N17">
        <v>0</v>
      </c>
      <c r="O17">
        <v>0</v>
      </c>
      <c r="P17" s="6">
        <v>415471</v>
      </c>
      <c r="Q17" s="6">
        <v>0</v>
      </c>
      <c r="R17" s="6">
        <v>904148</v>
      </c>
      <c r="S17" s="6">
        <v>993643</v>
      </c>
      <c r="T17" s="6">
        <v>6309854</v>
      </c>
      <c r="U17" s="6">
        <v>3489833</v>
      </c>
      <c r="V17" s="6">
        <v>2820021</v>
      </c>
    </row>
    <row r="18" spans="1:22" x14ac:dyDescent="0.25">
      <c r="A18">
        <v>2026</v>
      </c>
      <c r="B18" s="1" t="s">
        <v>7</v>
      </c>
      <c r="C18" t="s">
        <v>35</v>
      </c>
      <c r="D18" s="1" t="s">
        <v>405</v>
      </c>
      <c r="E18" t="s">
        <v>80</v>
      </c>
      <c r="F18" s="6">
        <v>321327</v>
      </c>
      <c r="G18" s="6">
        <v>251635</v>
      </c>
      <c r="H18" s="6">
        <v>53897</v>
      </c>
      <c r="I18" s="6">
        <v>197738</v>
      </c>
      <c r="J18" s="6">
        <v>69692</v>
      </c>
      <c r="K18">
        <v>0</v>
      </c>
      <c r="L18" s="6">
        <v>267430</v>
      </c>
      <c r="M18">
        <v>306</v>
      </c>
      <c r="N18">
        <v>85</v>
      </c>
      <c r="O18">
        <v>391</v>
      </c>
      <c r="P18" s="6">
        <v>39441</v>
      </c>
      <c r="Q18" s="6">
        <v>0</v>
      </c>
      <c r="R18" s="6">
        <v>53146</v>
      </c>
      <c r="S18" s="6">
        <v>59243</v>
      </c>
      <c r="T18" s="6">
        <v>419651</v>
      </c>
      <c r="U18" s="6">
        <v>237485</v>
      </c>
      <c r="V18" s="6">
        <v>182166</v>
      </c>
    </row>
    <row r="19" spans="1:22" x14ac:dyDescent="0.25">
      <c r="A19">
        <v>2026</v>
      </c>
      <c r="B19" s="1" t="s">
        <v>11</v>
      </c>
      <c r="C19" t="s">
        <v>39</v>
      </c>
      <c r="D19" s="1" t="s">
        <v>406</v>
      </c>
      <c r="E19" t="s">
        <v>81</v>
      </c>
      <c r="F19" s="6">
        <v>111829</v>
      </c>
      <c r="G19" s="6">
        <v>86772</v>
      </c>
      <c r="H19" s="6">
        <v>18585</v>
      </c>
      <c r="I19" s="6">
        <v>68187</v>
      </c>
      <c r="J19" s="6">
        <v>25057</v>
      </c>
      <c r="K19" s="6">
        <v>4886</v>
      </c>
      <c r="L19" s="6">
        <v>98130</v>
      </c>
      <c r="M19">
        <v>163</v>
      </c>
      <c r="N19">
        <v>47</v>
      </c>
      <c r="O19">
        <v>210</v>
      </c>
      <c r="P19" s="6">
        <v>11766</v>
      </c>
      <c r="Q19" s="6">
        <v>0</v>
      </c>
      <c r="R19" s="6">
        <v>22779</v>
      </c>
      <c r="S19" s="6">
        <v>25498</v>
      </c>
      <c r="T19" s="6">
        <v>158383</v>
      </c>
      <c r="U19" s="6">
        <v>80115</v>
      </c>
      <c r="V19" s="6">
        <v>78268</v>
      </c>
    </row>
    <row r="20" spans="1:22" x14ac:dyDescent="0.25">
      <c r="A20">
        <v>2026</v>
      </c>
      <c r="B20" s="1" t="s">
        <v>12</v>
      </c>
      <c r="C20" t="s">
        <v>40</v>
      </c>
      <c r="D20" s="1" t="s">
        <v>407</v>
      </c>
      <c r="E20" t="s">
        <v>82</v>
      </c>
      <c r="F20" s="6">
        <v>597557</v>
      </c>
      <c r="G20" s="6">
        <v>472404</v>
      </c>
      <c r="H20" s="6">
        <v>101182</v>
      </c>
      <c r="I20" s="6">
        <v>371222</v>
      </c>
      <c r="J20" s="6">
        <v>125153</v>
      </c>
      <c r="K20">
        <v>0</v>
      </c>
      <c r="L20" s="6">
        <v>496375</v>
      </c>
      <c r="M20">
        <v>963</v>
      </c>
      <c r="N20">
        <v>255</v>
      </c>
      <c r="O20" s="6">
        <v>1218</v>
      </c>
      <c r="P20" s="6">
        <v>61361</v>
      </c>
      <c r="Q20" s="6">
        <v>0</v>
      </c>
      <c r="R20" s="6">
        <v>94365</v>
      </c>
      <c r="S20" s="6">
        <v>104341</v>
      </c>
      <c r="T20" s="6">
        <v>757660</v>
      </c>
      <c r="U20" s="6">
        <v>433547</v>
      </c>
      <c r="V20" s="6">
        <v>324113</v>
      </c>
    </row>
    <row r="21" spans="1:22" x14ac:dyDescent="0.25">
      <c r="A21">
        <v>2026</v>
      </c>
      <c r="B21" s="1" t="s">
        <v>10</v>
      </c>
      <c r="C21" t="s">
        <v>38</v>
      </c>
      <c r="D21" s="1" t="s">
        <v>408</v>
      </c>
      <c r="E21" t="s">
        <v>83</v>
      </c>
      <c r="F21" s="6">
        <v>189817</v>
      </c>
      <c r="G21" s="6">
        <v>153608</v>
      </c>
      <c r="H21" s="6">
        <v>32900</v>
      </c>
      <c r="I21" s="6">
        <v>120708</v>
      </c>
      <c r="J21" s="6">
        <v>36209</v>
      </c>
      <c r="K21" s="6">
        <v>3269</v>
      </c>
      <c r="L21" s="6">
        <v>160186</v>
      </c>
      <c r="M21">
        <v>0</v>
      </c>
      <c r="N21">
        <v>0</v>
      </c>
      <c r="O21">
        <v>0</v>
      </c>
      <c r="P21" s="6">
        <v>16529</v>
      </c>
      <c r="Q21" s="6">
        <v>0</v>
      </c>
      <c r="R21" s="6">
        <v>32754</v>
      </c>
      <c r="S21" s="6">
        <v>35996</v>
      </c>
      <c r="T21" s="6">
        <v>245465</v>
      </c>
      <c r="U21" s="6">
        <v>137237</v>
      </c>
      <c r="V21" s="6">
        <v>108228</v>
      </c>
    </row>
    <row r="22" spans="1:22" x14ac:dyDescent="0.25">
      <c r="A22">
        <v>2026</v>
      </c>
      <c r="B22" s="1" t="s">
        <v>10</v>
      </c>
      <c r="C22" t="s">
        <v>38</v>
      </c>
      <c r="D22" s="1" t="s">
        <v>409</v>
      </c>
      <c r="E22" t="s">
        <v>84</v>
      </c>
      <c r="F22" s="6">
        <v>662294</v>
      </c>
      <c r="G22" s="6">
        <v>535956</v>
      </c>
      <c r="H22" s="6">
        <v>114794</v>
      </c>
      <c r="I22" s="6">
        <v>421162</v>
      </c>
      <c r="J22" s="6">
        <v>126338</v>
      </c>
      <c r="K22">
        <v>0</v>
      </c>
      <c r="L22" s="6">
        <v>547500</v>
      </c>
      <c r="M22">
        <v>0</v>
      </c>
      <c r="N22">
        <v>0</v>
      </c>
      <c r="O22">
        <v>0</v>
      </c>
      <c r="P22" s="6">
        <v>56916</v>
      </c>
      <c r="Q22" s="6">
        <v>0</v>
      </c>
      <c r="R22" s="6">
        <v>117267</v>
      </c>
      <c r="S22" s="6">
        <v>128874</v>
      </c>
      <c r="T22" s="6">
        <v>850557</v>
      </c>
      <c r="U22" s="6">
        <v>478078</v>
      </c>
      <c r="V22" s="6">
        <v>372479</v>
      </c>
    </row>
    <row r="23" spans="1:22" x14ac:dyDescent="0.25">
      <c r="A23">
        <v>2026</v>
      </c>
      <c r="B23" s="1" t="s">
        <v>10</v>
      </c>
      <c r="C23" t="s">
        <v>38</v>
      </c>
      <c r="D23" s="1" t="s">
        <v>410</v>
      </c>
      <c r="E23" t="s">
        <v>85</v>
      </c>
      <c r="F23" s="6">
        <v>129112</v>
      </c>
      <c r="G23" s="6">
        <v>104483</v>
      </c>
      <c r="H23" s="6">
        <v>22378</v>
      </c>
      <c r="I23" s="6">
        <v>82105</v>
      </c>
      <c r="J23" s="6">
        <v>24629</v>
      </c>
      <c r="K23" s="6">
        <v>360</v>
      </c>
      <c r="L23" s="6">
        <v>107094</v>
      </c>
      <c r="M23">
        <v>0</v>
      </c>
      <c r="N23">
        <v>0</v>
      </c>
      <c r="O23">
        <v>0</v>
      </c>
      <c r="P23" s="6">
        <v>11096</v>
      </c>
      <c r="Q23" s="6">
        <v>0</v>
      </c>
      <c r="R23" s="6">
        <v>22636</v>
      </c>
      <c r="S23" s="6">
        <v>24877</v>
      </c>
      <c r="T23" s="6">
        <v>165703</v>
      </c>
      <c r="U23" s="6">
        <v>93201</v>
      </c>
      <c r="V23" s="6">
        <v>72502</v>
      </c>
    </row>
    <row r="24" spans="1:22" x14ac:dyDescent="0.25">
      <c r="A24">
        <v>2026</v>
      </c>
      <c r="B24" s="1" t="s">
        <v>7</v>
      </c>
      <c r="C24" t="s">
        <v>35</v>
      </c>
      <c r="D24" s="1" t="s">
        <v>411</v>
      </c>
      <c r="E24" t="s">
        <v>86</v>
      </c>
      <c r="F24" s="6">
        <v>178888</v>
      </c>
      <c r="G24" s="6">
        <v>140089</v>
      </c>
      <c r="H24" s="6">
        <v>30005</v>
      </c>
      <c r="I24" s="6">
        <v>110084</v>
      </c>
      <c r="J24" s="6">
        <v>38799</v>
      </c>
      <c r="K24" s="6">
        <v>7624</v>
      </c>
      <c r="L24" s="6">
        <v>156507</v>
      </c>
      <c r="M24">
        <v>171</v>
      </c>
      <c r="N24">
        <v>48</v>
      </c>
      <c r="O24">
        <v>219</v>
      </c>
      <c r="P24" s="6">
        <v>21957</v>
      </c>
      <c r="Q24" s="6">
        <v>0</v>
      </c>
      <c r="R24" s="6">
        <v>29185</v>
      </c>
      <c r="S24" s="6">
        <v>32533</v>
      </c>
      <c r="T24" s="6">
        <v>240401</v>
      </c>
      <c r="U24" s="6">
        <v>132212</v>
      </c>
      <c r="V24" s="6">
        <v>108189</v>
      </c>
    </row>
    <row r="25" spans="1:22" x14ac:dyDescent="0.25">
      <c r="A25">
        <v>2026</v>
      </c>
      <c r="B25" s="1" t="s">
        <v>12</v>
      </c>
      <c r="C25" t="s">
        <v>40</v>
      </c>
      <c r="D25" s="1" t="s">
        <v>412</v>
      </c>
      <c r="E25" t="s">
        <v>87</v>
      </c>
      <c r="F25" s="6">
        <v>197392</v>
      </c>
      <c r="G25" s="6">
        <v>156050</v>
      </c>
      <c r="H25" s="6">
        <v>33423</v>
      </c>
      <c r="I25" s="6">
        <v>122627</v>
      </c>
      <c r="J25" s="6">
        <v>41342</v>
      </c>
      <c r="K25">
        <v>0</v>
      </c>
      <c r="L25" s="6">
        <v>163969</v>
      </c>
      <c r="M25">
        <v>317</v>
      </c>
      <c r="N25">
        <v>84</v>
      </c>
      <c r="O25">
        <v>401</v>
      </c>
      <c r="P25" s="6">
        <v>20270</v>
      </c>
      <c r="Q25" s="6">
        <v>0</v>
      </c>
      <c r="R25" s="6">
        <v>32690</v>
      </c>
      <c r="S25" s="6">
        <v>36146</v>
      </c>
      <c r="T25" s="6">
        <v>253476</v>
      </c>
      <c r="U25" s="6">
        <v>143215</v>
      </c>
      <c r="V25" s="6">
        <v>110261</v>
      </c>
    </row>
    <row r="26" spans="1:22" x14ac:dyDescent="0.25">
      <c r="A26">
        <v>2026</v>
      </c>
      <c r="B26" s="1" t="s">
        <v>9</v>
      </c>
      <c r="C26" t="s">
        <v>37</v>
      </c>
      <c r="D26" s="1" t="s">
        <v>413</v>
      </c>
      <c r="E26" t="s">
        <v>88</v>
      </c>
      <c r="F26" s="6">
        <v>182787</v>
      </c>
      <c r="G26" s="6">
        <v>144903</v>
      </c>
      <c r="H26" s="6">
        <v>31036</v>
      </c>
      <c r="I26" s="6">
        <v>113867</v>
      </c>
      <c r="J26" s="6">
        <v>37884</v>
      </c>
      <c r="K26" s="6">
        <v>0</v>
      </c>
      <c r="L26" s="6">
        <v>151751</v>
      </c>
      <c r="M26">
        <v>160</v>
      </c>
      <c r="N26">
        <v>42</v>
      </c>
      <c r="O26">
        <v>202</v>
      </c>
      <c r="P26" s="6">
        <v>17367</v>
      </c>
      <c r="Q26" s="6">
        <v>0</v>
      </c>
      <c r="R26" s="6">
        <v>30801</v>
      </c>
      <c r="S26" s="6">
        <v>33872</v>
      </c>
      <c r="T26" s="6">
        <v>233993</v>
      </c>
      <c r="U26" s="6">
        <v>131394</v>
      </c>
      <c r="V26" s="6">
        <v>102599</v>
      </c>
    </row>
    <row r="27" spans="1:22" x14ac:dyDescent="0.25">
      <c r="A27">
        <v>2026</v>
      </c>
      <c r="B27" s="1" t="s">
        <v>8</v>
      </c>
      <c r="C27" t="s">
        <v>36</v>
      </c>
      <c r="D27" s="1" t="s">
        <v>414</v>
      </c>
      <c r="E27" t="s">
        <v>89</v>
      </c>
      <c r="F27" s="6">
        <v>227685</v>
      </c>
      <c r="G27" s="6">
        <v>179505</v>
      </c>
      <c r="H27" s="6">
        <v>38447</v>
      </c>
      <c r="I27" s="6">
        <v>141058</v>
      </c>
      <c r="J27" s="6">
        <v>48180</v>
      </c>
      <c r="K27" s="6">
        <v>2543</v>
      </c>
      <c r="L27" s="6">
        <v>191781</v>
      </c>
      <c r="M27">
        <v>306</v>
      </c>
      <c r="N27">
        <v>83</v>
      </c>
      <c r="O27">
        <v>389</v>
      </c>
      <c r="P27" s="6">
        <v>21216</v>
      </c>
      <c r="Q27" s="6">
        <v>0</v>
      </c>
      <c r="R27" s="6">
        <v>51127</v>
      </c>
      <c r="S27" s="6">
        <v>55909</v>
      </c>
      <c r="T27" s="6">
        <v>320422</v>
      </c>
      <c r="U27" s="6">
        <v>162580</v>
      </c>
      <c r="V27" s="6">
        <v>157842</v>
      </c>
    </row>
    <row r="28" spans="1:22" x14ac:dyDescent="0.25">
      <c r="A28">
        <v>2026</v>
      </c>
      <c r="B28" s="1" t="s">
        <v>7</v>
      </c>
      <c r="C28" t="s">
        <v>35</v>
      </c>
      <c r="D28" s="1" t="s">
        <v>415</v>
      </c>
      <c r="E28" t="s">
        <v>90</v>
      </c>
      <c r="F28" s="6">
        <v>283534</v>
      </c>
      <c r="G28" s="6">
        <v>222039</v>
      </c>
      <c r="H28" s="6">
        <v>47558</v>
      </c>
      <c r="I28" s="6">
        <v>174481</v>
      </c>
      <c r="J28" s="6">
        <v>61495</v>
      </c>
      <c r="K28" s="6">
        <v>5664</v>
      </c>
      <c r="L28" s="6">
        <v>241640</v>
      </c>
      <c r="M28">
        <v>270</v>
      </c>
      <c r="N28">
        <v>75</v>
      </c>
      <c r="O28">
        <v>345</v>
      </c>
      <c r="P28" s="6">
        <v>35614</v>
      </c>
      <c r="Q28" s="6">
        <v>0</v>
      </c>
      <c r="R28" s="6">
        <v>46095</v>
      </c>
      <c r="S28" s="6">
        <v>51383</v>
      </c>
      <c r="T28" s="6">
        <v>375077</v>
      </c>
      <c r="U28" s="6">
        <v>210366</v>
      </c>
      <c r="V28" s="6">
        <v>164711</v>
      </c>
    </row>
    <row r="29" spans="1:22" x14ac:dyDescent="0.25">
      <c r="A29">
        <v>2026</v>
      </c>
      <c r="B29" s="1" t="s">
        <v>8</v>
      </c>
      <c r="C29" t="s">
        <v>36</v>
      </c>
      <c r="D29" s="1" t="s">
        <v>416</v>
      </c>
      <c r="E29" t="s">
        <v>91</v>
      </c>
      <c r="F29" s="6">
        <v>63659</v>
      </c>
      <c r="G29" s="6">
        <v>50188</v>
      </c>
      <c r="H29" s="6">
        <v>10750</v>
      </c>
      <c r="I29" s="6">
        <v>39438</v>
      </c>
      <c r="J29" s="6">
        <v>13471</v>
      </c>
      <c r="K29" s="6">
        <v>9128</v>
      </c>
      <c r="L29" s="6">
        <v>62037</v>
      </c>
      <c r="M29">
        <v>86</v>
      </c>
      <c r="N29">
        <v>23</v>
      </c>
      <c r="O29">
        <v>109</v>
      </c>
      <c r="P29" s="6">
        <v>5879</v>
      </c>
      <c r="Q29">
        <v>0</v>
      </c>
      <c r="R29" s="6">
        <v>11016</v>
      </c>
      <c r="S29" s="6">
        <v>12046</v>
      </c>
      <c r="T29" s="6">
        <v>91087</v>
      </c>
      <c r="U29" s="6">
        <v>45402</v>
      </c>
      <c r="V29" s="6">
        <v>45685</v>
      </c>
    </row>
    <row r="30" spans="1:22" x14ac:dyDescent="0.25">
      <c r="A30">
        <v>2026</v>
      </c>
      <c r="B30" s="1" t="s">
        <v>9</v>
      </c>
      <c r="C30" t="s">
        <v>37</v>
      </c>
      <c r="D30" s="1" t="s">
        <v>417</v>
      </c>
      <c r="E30" t="s">
        <v>92</v>
      </c>
      <c r="F30" s="6">
        <v>561850</v>
      </c>
      <c r="G30" s="6">
        <v>445401</v>
      </c>
      <c r="H30" s="6">
        <v>95398</v>
      </c>
      <c r="I30" s="6">
        <v>350003</v>
      </c>
      <c r="J30" s="6">
        <v>116449</v>
      </c>
      <c r="K30" s="6">
        <v>443</v>
      </c>
      <c r="L30" s="6">
        <v>466895</v>
      </c>
      <c r="M30">
        <v>497</v>
      </c>
      <c r="N30">
        <v>130</v>
      </c>
      <c r="O30">
        <v>627</v>
      </c>
      <c r="P30" s="6">
        <v>53384</v>
      </c>
      <c r="Q30" s="6">
        <v>0</v>
      </c>
      <c r="R30" s="6">
        <v>104943</v>
      </c>
      <c r="S30" s="6">
        <v>115408</v>
      </c>
      <c r="T30" s="6">
        <v>741257</v>
      </c>
      <c r="U30" s="6">
        <v>403883</v>
      </c>
      <c r="V30" s="6">
        <v>337374</v>
      </c>
    </row>
    <row r="31" spans="1:22" x14ac:dyDescent="0.25">
      <c r="A31">
        <v>2026</v>
      </c>
      <c r="B31" s="1" t="s">
        <v>8</v>
      </c>
      <c r="C31" t="s">
        <v>36</v>
      </c>
      <c r="D31" s="1" t="s">
        <v>418</v>
      </c>
      <c r="E31" t="s">
        <v>93</v>
      </c>
      <c r="F31" s="6">
        <v>1521378</v>
      </c>
      <c r="G31" s="6">
        <v>1199441</v>
      </c>
      <c r="H31" s="6">
        <v>256901</v>
      </c>
      <c r="I31" s="6">
        <v>942540</v>
      </c>
      <c r="J31" s="6">
        <v>321937</v>
      </c>
      <c r="K31" s="6">
        <v>10523</v>
      </c>
      <c r="L31" s="6">
        <v>1275000</v>
      </c>
      <c r="M31" s="6">
        <v>2037</v>
      </c>
      <c r="N31">
        <v>547</v>
      </c>
      <c r="O31" s="6">
        <v>2584</v>
      </c>
      <c r="P31" s="6">
        <v>141167</v>
      </c>
      <c r="Q31" s="6">
        <v>0</v>
      </c>
      <c r="R31" s="6">
        <v>274169</v>
      </c>
      <c r="S31" s="6">
        <v>299809</v>
      </c>
      <c r="T31" s="6">
        <v>1992729</v>
      </c>
      <c r="U31" s="6">
        <v>1085744</v>
      </c>
      <c r="V31" s="6">
        <v>906985</v>
      </c>
    </row>
    <row r="32" spans="1:22" x14ac:dyDescent="0.25">
      <c r="A32">
        <v>2026</v>
      </c>
      <c r="B32" s="1" t="s">
        <v>10</v>
      </c>
      <c r="C32" t="s">
        <v>38</v>
      </c>
      <c r="D32" s="1" t="s">
        <v>419</v>
      </c>
      <c r="E32" t="s">
        <v>94</v>
      </c>
      <c r="F32" s="6">
        <v>1013548</v>
      </c>
      <c r="G32" s="6">
        <v>820206</v>
      </c>
      <c r="H32" s="6">
        <v>175675</v>
      </c>
      <c r="I32" s="6">
        <v>644531</v>
      </c>
      <c r="J32" s="6">
        <v>193342</v>
      </c>
      <c r="K32">
        <v>0</v>
      </c>
      <c r="L32" s="6">
        <v>837873</v>
      </c>
      <c r="M32">
        <v>0</v>
      </c>
      <c r="N32">
        <v>0</v>
      </c>
      <c r="O32">
        <v>0</v>
      </c>
      <c r="P32" s="6">
        <v>87102</v>
      </c>
      <c r="Q32" s="6">
        <v>0</v>
      </c>
      <c r="R32" s="6">
        <v>177846</v>
      </c>
      <c r="S32" s="6">
        <v>195450</v>
      </c>
      <c r="T32" s="6">
        <v>1298271</v>
      </c>
      <c r="U32" s="6">
        <v>731633</v>
      </c>
      <c r="V32" s="6">
        <v>566638</v>
      </c>
    </row>
    <row r="33" spans="1:22" x14ac:dyDescent="0.25">
      <c r="A33">
        <v>2026</v>
      </c>
      <c r="B33" s="1" t="s">
        <v>10</v>
      </c>
      <c r="C33" t="s">
        <v>38</v>
      </c>
      <c r="D33" s="1" t="s">
        <v>420</v>
      </c>
      <c r="E33" t="s">
        <v>95</v>
      </c>
      <c r="F33" s="6">
        <v>797419</v>
      </c>
      <c r="G33" s="6">
        <v>645305</v>
      </c>
      <c r="H33" s="6">
        <v>138214</v>
      </c>
      <c r="I33" s="6">
        <v>507091</v>
      </c>
      <c r="J33" s="6">
        <v>152114</v>
      </c>
      <c r="K33">
        <v>0</v>
      </c>
      <c r="L33" s="6">
        <v>659205</v>
      </c>
      <c r="M33">
        <v>0</v>
      </c>
      <c r="N33">
        <v>0</v>
      </c>
      <c r="O33">
        <v>0</v>
      </c>
      <c r="P33" s="6">
        <v>68529</v>
      </c>
      <c r="Q33" s="6">
        <v>0</v>
      </c>
      <c r="R33" s="6">
        <v>139254</v>
      </c>
      <c r="S33" s="6">
        <v>153038</v>
      </c>
      <c r="T33" s="6">
        <v>1020026</v>
      </c>
      <c r="U33" s="6">
        <v>575620</v>
      </c>
      <c r="V33" s="6">
        <v>444406</v>
      </c>
    </row>
    <row r="34" spans="1:22" x14ac:dyDescent="0.25">
      <c r="A34">
        <v>2026</v>
      </c>
      <c r="B34" s="1" t="s">
        <v>11</v>
      </c>
      <c r="C34" t="s">
        <v>39</v>
      </c>
      <c r="D34" s="1" t="s">
        <v>421</v>
      </c>
      <c r="E34" t="s">
        <v>96</v>
      </c>
      <c r="F34" s="6">
        <v>221462</v>
      </c>
      <c r="G34" s="6">
        <v>171840</v>
      </c>
      <c r="H34" s="6">
        <v>36806</v>
      </c>
      <c r="I34" s="6">
        <v>135034</v>
      </c>
      <c r="J34" s="6">
        <v>49622</v>
      </c>
      <c r="K34" s="6">
        <v>1085</v>
      </c>
      <c r="L34" s="6">
        <v>185741</v>
      </c>
      <c r="M34">
        <v>323</v>
      </c>
      <c r="N34">
        <v>93</v>
      </c>
      <c r="O34">
        <v>416</v>
      </c>
      <c r="P34" s="6">
        <v>22432</v>
      </c>
      <c r="Q34" s="6">
        <v>0</v>
      </c>
      <c r="R34" s="6">
        <v>61419</v>
      </c>
      <c r="S34" s="6">
        <v>68749</v>
      </c>
      <c r="T34" s="6">
        <v>338757</v>
      </c>
      <c r="U34" s="6">
        <v>157789</v>
      </c>
      <c r="V34" s="6">
        <v>180968</v>
      </c>
    </row>
    <row r="35" spans="1:22" x14ac:dyDescent="0.25">
      <c r="A35">
        <v>2026</v>
      </c>
      <c r="B35" s="1" t="s">
        <v>12</v>
      </c>
      <c r="C35" t="s">
        <v>40</v>
      </c>
      <c r="D35" s="1" t="s">
        <v>422</v>
      </c>
      <c r="E35" t="s">
        <v>97</v>
      </c>
      <c r="F35" s="6">
        <v>152810</v>
      </c>
      <c r="G35" s="6">
        <v>120805</v>
      </c>
      <c r="H35" s="6">
        <v>25874</v>
      </c>
      <c r="I35" s="6">
        <v>94931</v>
      </c>
      <c r="J35" s="6">
        <v>32005</v>
      </c>
      <c r="K35" s="6">
        <v>0</v>
      </c>
      <c r="L35" s="6">
        <v>126936</v>
      </c>
      <c r="M35">
        <v>246</v>
      </c>
      <c r="N35">
        <v>65</v>
      </c>
      <c r="O35">
        <v>311</v>
      </c>
      <c r="P35" s="6">
        <v>15692</v>
      </c>
      <c r="Q35" s="6">
        <v>0</v>
      </c>
      <c r="R35" s="6">
        <v>25346</v>
      </c>
      <c r="S35" s="6">
        <v>28025</v>
      </c>
      <c r="T35" s="6">
        <v>196310</v>
      </c>
      <c r="U35" s="6">
        <v>110869</v>
      </c>
      <c r="V35" s="6">
        <v>85441</v>
      </c>
    </row>
    <row r="36" spans="1:22" x14ac:dyDescent="0.25">
      <c r="A36">
        <v>2026</v>
      </c>
      <c r="B36" s="1" t="s">
        <v>7</v>
      </c>
      <c r="C36" t="s">
        <v>35</v>
      </c>
      <c r="D36" s="1" t="s">
        <v>423</v>
      </c>
      <c r="E36" t="s">
        <v>98</v>
      </c>
      <c r="F36" s="6">
        <v>210054</v>
      </c>
      <c r="G36" s="6">
        <v>164496</v>
      </c>
      <c r="H36" s="6">
        <v>35233</v>
      </c>
      <c r="I36" s="6">
        <v>129263</v>
      </c>
      <c r="J36" s="6">
        <v>45558</v>
      </c>
      <c r="K36">
        <v>0</v>
      </c>
      <c r="L36" s="6">
        <v>174821</v>
      </c>
      <c r="M36">
        <v>201</v>
      </c>
      <c r="N36">
        <v>56</v>
      </c>
      <c r="O36">
        <v>257</v>
      </c>
      <c r="P36" s="6">
        <v>25783</v>
      </c>
      <c r="Q36" s="6">
        <v>0</v>
      </c>
      <c r="R36" s="6">
        <v>33820</v>
      </c>
      <c r="S36" s="6">
        <v>37700</v>
      </c>
      <c r="T36" s="6">
        <v>272381</v>
      </c>
      <c r="U36" s="6">
        <v>155247</v>
      </c>
      <c r="V36" s="6">
        <v>117134</v>
      </c>
    </row>
    <row r="37" spans="1:22" x14ac:dyDescent="0.25">
      <c r="A37">
        <v>2026</v>
      </c>
      <c r="B37" s="1" t="s">
        <v>13</v>
      </c>
      <c r="C37" t="s">
        <v>41</v>
      </c>
      <c r="D37" s="1" t="s">
        <v>424</v>
      </c>
      <c r="E37" t="s">
        <v>99</v>
      </c>
      <c r="F37" s="6">
        <v>1531760</v>
      </c>
      <c r="G37" s="6">
        <v>1220174</v>
      </c>
      <c r="H37" s="6">
        <v>261342</v>
      </c>
      <c r="I37" s="6">
        <v>958832</v>
      </c>
      <c r="J37" s="6">
        <v>311586</v>
      </c>
      <c r="K37" s="6">
        <v>6605</v>
      </c>
      <c r="L37" s="6">
        <v>1277023</v>
      </c>
      <c r="M37" s="6">
        <v>2788</v>
      </c>
      <c r="N37">
        <v>711</v>
      </c>
      <c r="O37" s="6">
        <v>3499</v>
      </c>
      <c r="P37" s="6">
        <v>154724</v>
      </c>
      <c r="Q37" s="6">
        <v>0</v>
      </c>
      <c r="R37" s="6">
        <v>259125</v>
      </c>
      <c r="S37" s="6">
        <v>284934</v>
      </c>
      <c r="T37" s="6">
        <v>1979305</v>
      </c>
      <c r="U37" s="6">
        <v>1116344</v>
      </c>
      <c r="V37" s="6">
        <v>862961</v>
      </c>
    </row>
    <row r="38" spans="1:22" x14ac:dyDescent="0.25">
      <c r="A38">
        <v>2026</v>
      </c>
      <c r="B38" s="1" t="s">
        <v>7</v>
      </c>
      <c r="C38" t="s">
        <v>35</v>
      </c>
      <c r="D38" s="1" t="s">
        <v>425</v>
      </c>
      <c r="E38" t="s">
        <v>100</v>
      </c>
      <c r="F38" s="6">
        <v>115903</v>
      </c>
      <c r="G38" s="6">
        <v>90765</v>
      </c>
      <c r="H38" s="6">
        <v>19440</v>
      </c>
      <c r="I38" s="6">
        <v>71325</v>
      </c>
      <c r="J38" s="6">
        <v>25138</v>
      </c>
      <c r="K38">
        <v>0</v>
      </c>
      <c r="L38" s="6">
        <v>96463</v>
      </c>
      <c r="M38">
        <v>110</v>
      </c>
      <c r="N38">
        <v>31</v>
      </c>
      <c r="O38">
        <v>141</v>
      </c>
      <c r="P38" s="6">
        <v>14226</v>
      </c>
      <c r="Q38" s="6">
        <v>0</v>
      </c>
      <c r="R38" s="6">
        <v>19652</v>
      </c>
      <c r="S38" s="6">
        <v>21907</v>
      </c>
      <c r="T38" s="6">
        <v>152389</v>
      </c>
      <c r="U38" s="6">
        <v>85662</v>
      </c>
      <c r="V38" s="6">
        <v>66727</v>
      </c>
    </row>
    <row r="39" spans="1:22" x14ac:dyDescent="0.25">
      <c r="A39">
        <v>2026</v>
      </c>
      <c r="B39" s="1" t="s">
        <v>8</v>
      </c>
      <c r="C39" t="s">
        <v>36</v>
      </c>
      <c r="D39" s="1" t="s">
        <v>426</v>
      </c>
      <c r="E39" t="s">
        <v>101</v>
      </c>
      <c r="F39" s="6">
        <v>140309</v>
      </c>
      <c r="G39" s="6">
        <v>110618</v>
      </c>
      <c r="H39" s="6">
        <v>23693</v>
      </c>
      <c r="I39" s="6">
        <v>86925</v>
      </c>
      <c r="J39" s="6">
        <v>29691</v>
      </c>
      <c r="K39" s="6">
        <v>15410</v>
      </c>
      <c r="L39" s="6">
        <v>132026</v>
      </c>
      <c r="M39">
        <v>188</v>
      </c>
      <c r="N39">
        <v>50</v>
      </c>
      <c r="O39">
        <v>238</v>
      </c>
      <c r="P39" s="6">
        <v>13039</v>
      </c>
      <c r="Q39" s="6">
        <v>0</v>
      </c>
      <c r="R39" s="6">
        <v>23004</v>
      </c>
      <c r="S39" s="6">
        <v>25155</v>
      </c>
      <c r="T39" s="6">
        <v>193462</v>
      </c>
      <c r="U39" s="6">
        <v>100152</v>
      </c>
      <c r="V39" s="6">
        <v>93310</v>
      </c>
    </row>
    <row r="40" spans="1:22" x14ac:dyDescent="0.25">
      <c r="A40">
        <v>2026</v>
      </c>
      <c r="B40" s="1" t="s">
        <v>12</v>
      </c>
      <c r="C40" t="s">
        <v>40</v>
      </c>
      <c r="D40" s="1" t="s">
        <v>427</v>
      </c>
      <c r="E40" t="s">
        <v>102</v>
      </c>
      <c r="F40" s="6">
        <v>168007</v>
      </c>
      <c r="G40" s="6">
        <v>132819</v>
      </c>
      <c r="H40" s="6">
        <v>28448</v>
      </c>
      <c r="I40" s="6">
        <v>104371</v>
      </c>
      <c r="J40" s="6">
        <v>35188</v>
      </c>
      <c r="K40" s="6">
        <v>5064</v>
      </c>
      <c r="L40" s="6">
        <v>144623</v>
      </c>
      <c r="M40">
        <v>270</v>
      </c>
      <c r="N40">
        <v>72</v>
      </c>
      <c r="O40">
        <v>342</v>
      </c>
      <c r="P40" s="6">
        <v>17769</v>
      </c>
      <c r="Q40" s="6">
        <v>0</v>
      </c>
      <c r="R40" s="6">
        <v>27361</v>
      </c>
      <c r="S40" s="6">
        <v>30253</v>
      </c>
      <c r="T40" s="6">
        <v>220348</v>
      </c>
      <c r="U40" s="6">
        <v>122411</v>
      </c>
      <c r="V40" s="6">
        <v>97937</v>
      </c>
    </row>
    <row r="41" spans="1:22" x14ac:dyDescent="0.25">
      <c r="A41">
        <v>2026</v>
      </c>
      <c r="B41" s="1" t="s">
        <v>8</v>
      </c>
      <c r="C41" t="s">
        <v>36</v>
      </c>
      <c r="D41" s="1" t="s">
        <v>428</v>
      </c>
      <c r="E41" t="s">
        <v>103</v>
      </c>
      <c r="F41" s="6">
        <v>322945</v>
      </c>
      <c r="G41" s="6">
        <v>254607</v>
      </c>
      <c r="H41" s="6">
        <v>54532</v>
      </c>
      <c r="I41" s="6">
        <v>200075</v>
      </c>
      <c r="J41" s="6">
        <v>68338</v>
      </c>
      <c r="K41">
        <v>0</v>
      </c>
      <c r="L41" s="6">
        <v>268413</v>
      </c>
      <c r="M41">
        <v>433</v>
      </c>
      <c r="N41">
        <v>117</v>
      </c>
      <c r="O41">
        <v>550</v>
      </c>
      <c r="P41" s="6">
        <v>29824</v>
      </c>
      <c r="Q41" s="6">
        <v>0</v>
      </c>
      <c r="R41" s="6">
        <v>53590</v>
      </c>
      <c r="S41" s="6">
        <v>58601</v>
      </c>
      <c r="T41" s="6">
        <v>410978</v>
      </c>
      <c r="U41" s="6">
        <v>230333</v>
      </c>
      <c r="V41" s="6">
        <v>180645</v>
      </c>
    </row>
    <row r="42" spans="1:22" x14ac:dyDescent="0.25">
      <c r="A42">
        <v>2026</v>
      </c>
      <c r="B42" s="1" t="s">
        <v>13</v>
      </c>
      <c r="C42" t="s">
        <v>41</v>
      </c>
      <c r="D42" s="1" t="s">
        <v>429</v>
      </c>
      <c r="E42" t="s">
        <v>104</v>
      </c>
      <c r="F42" s="6">
        <v>221442</v>
      </c>
      <c r="G42" s="6">
        <v>176397</v>
      </c>
      <c r="H42" s="6">
        <v>37782</v>
      </c>
      <c r="I42" s="6">
        <v>138615</v>
      </c>
      <c r="J42" s="6">
        <v>45045</v>
      </c>
      <c r="K42" s="6">
        <v>0</v>
      </c>
      <c r="L42" s="6">
        <v>183660</v>
      </c>
      <c r="M42">
        <v>403</v>
      </c>
      <c r="N42">
        <v>103</v>
      </c>
      <c r="O42">
        <v>506</v>
      </c>
      <c r="P42" s="6">
        <v>22280</v>
      </c>
      <c r="Q42" s="6">
        <v>0</v>
      </c>
      <c r="R42" s="6">
        <v>35728</v>
      </c>
      <c r="S42" s="6">
        <v>39287</v>
      </c>
      <c r="T42" s="6">
        <v>281461</v>
      </c>
      <c r="U42" s="6">
        <v>161298</v>
      </c>
      <c r="V42" s="6">
        <v>120163</v>
      </c>
    </row>
    <row r="43" spans="1:22" x14ac:dyDescent="0.25">
      <c r="A43">
        <v>2026</v>
      </c>
      <c r="B43" s="1" t="s">
        <v>10</v>
      </c>
      <c r="C43" t="s">
        <v>38</v>
      </c>
      <c r="D43" s="1" t="s">
        <v>430</v>
      </c>
      <c r="E43" t="s">
        <v>105</v>
      </c>
      <c r="F43" s="6">
        <v>731802</v>
      </c>
      <c r="G43" s="6">
        <v>592205</v>
      </c>
      <c r="H43" s="6">
        <v>126841</v>
      </c>
      <c r="I43" s="6">
        <v>465364</v>
      </c>
      <c r="J43" s="6">
        <v>139597</v>
      </c>
      <c r="K43" s="6">
        <v>7095</v>
      </c>
      <c r="L43" s="6">
        <v>612056</v>
      </c>
      <c r="M43">
        <v>0</v>
      </c>
      <c r="N43">
        <v>0</v>
      </c>
      <c r="O43">
        <v>0</v>
      </c>
      <c r="P43" s="6">
        <v>63251</v>
      </c>
      <c r="Q43" s="6">
        <v>0</v>
      </c>
      <c r="R43" s="6">
        <v>129396</v>
      </c>
      <c r="S43" s="6">
        <v>142204</v>
      </c>
      <c r="T43" s="6">
        <v>946907</v>
      </c>
      <c r="U43" s="6">
        <v>528615</v>
      </c>
      <c r="V43" s="6">
        <v>418292</v>
      </c>
    </row>
    <row r="44" spans="1:22" x14ac:dyDescent="0.25">
      <c r="A44">
        <v>2026</v>
      </c>
      <c r="B44" s="1" t="s">
        <v>10</v>
      </c>
      <c r="C44" t="s">
        <v>38</v>
      </c>
      <c r="D44" s="1" t="s">
        <v>431</v>
      </c>
      <c r="E44" t="s">
        <v>106</v>
      </c>
      <c r="F44" s="6">
        <v>621664</v>
      </c>
      <c r="G44" s="6">
        <v>503076</v>
      </c>
      <c r="H44" s="6">
        <v>107751</v>
      </c>
      <c r="I44" s="6">
        <v>395325</v>
      </c>
      <c r="J44" s="6">
        <v>118588</v>
      </c>
      <c r="K44" s="6">
        <v>10834</v>
      </c>
      <c r="L44" s="6">
        <v>524747</v>
      </c>
      <c r="M44">
        <v>0</v>
      </c>
      <c r="N44">
        <v>0</v>
      </c>
      <c r="O44">
        <v>0</v>
      </c>
      <c r="P44" s="6">
        <v>54143</v>
      </c>
      <c r="Q44" s="6">
        <v>0</v>
      </c>
      <c r="R44" s="6">
        <v>160464</v>
      </c>
      <c r="S44" s="6">
        <v>176347</v>
      </c>
      <c r="T44" s="6">
        <v>915701</v>
      </c>
      <c r="U44" s="6">
        <v>449468</v>
      </c>
      <c r="V44" s="6">
        <v>466233</v>
      </c>
    </row>
    <row r="45" spans="1:22" x14ac:dyDescent="0.25">
      <c r="A45">
        <v>2026</v>
      </c>
      <c r="B45" s="1" t="s">
        <v>7</v>
      </c>
      <c r="C45" t="s">
        <v>35</v>
      </c>
      <c r="D45" s="1" t="s">
        <v>432</v>
      </c>
      <c r="E45" t="s">
        <v>107</v>
      </c>
      <c r="F45" s="6">
        <v>2210218</v>
      </c>
      <c r="G45" s="6">
        <v>1730848</v>
      </c>
      <c r="H45" s="6">
        <v>370720</v>
      </c>
      <c r="I45" s="6">
        <v>1360128</v>
      </c>
      <c r="J45" s="6">
        <v>479370</v>
      </c>
      <c r="K45">
        <v>0</v>
      </c>
      <c r="L45" s="6">
        <v>1839498</v>
      </c>
      <c r="M45" s="6">
        <v>2114</v>
      </c>
      <c r="N45">
        <v>586</v>
      </c>
      <c r="O45" s="6">
        <v>2700</v>
      </c>
      <c r="P45" s="6">
        <v>271292</v>
      </c>
      <c r="Q45" s="6">
        <v>0</v>
      </c>
      <c r="R45" s="6">
        <v>381881</v>
      </c>
      <c r="S45" s="6">
        <v>425690</v>
      </c>
      <c r="T45" s="6">
        <v>2921061</v>
      </c>
      <c r="U45" s="6">
        <v>1633535</v>
      </c>
      <c r="V45" s="6">
        <v>1287526</v>
      </c>
    </row>
    <row r="46" spans="1:22" x14ac:dyDescent="0.25">
      <c r="A46">
        <v>2026</v>
      </c>
      <c r="B46" s="1" t="s">
        <v>9</v>
      </c>
      <c r="C46" t="s">
        <v>37</v>
      </c>
      <c r="D46" s="1" t="s">
        <v>433</v>
      </c>
      <c r="E46" t="s">
        <v>108</v>
      </c>
      <c r="F46" s="6">
        <v>6481733</v>
      </c>
      <c r="G46" s="6">
        <v>5138322</v>
      </c>
      <c r="H46" s="6">
        <v>1100546</v>
      </c>
      <c r="I46" s="6">
        <v>4037776</v>
      </c>
      <c r="J46" s="6">
        <v>1343411</v>
      </c>
      <c r="K46">
        <v>0</v>
      </c>
      <c r="L46" s="6">
        <v>5381187</v>
      </c>
      <c r="M46" s="6">
        <v>5710</v>
      </c>
      <c r="N46" s="6">
        <v>1493</v>
      </c>
      <c r="O46" s="6">
        <v>7203</v>
      </c>
      <c r="P46" s="6">
        <v>615854</v>
      </c>
      <c r="Q46" s="6">
        <v>0</v>
      </c>
      <c r="R46" s="6">
        <v>1181661</v>
      </c>
      <c r="S46" s="6">
        <v>1299500</v>
      </c>
      <c r="T46" s="6">
        <v>8485405</v>
      </c>
      <c r="U46" s="6">
        <v>4659341</v>
      </c>
      <c r="V46" s="6">
        <v>3826064</v>
      </c>
    </row>
    <row r="47" spans="1:22" x14ac:dyDescent="0.25">
      <c r="A47">
        <v>2026</v>
      </c>
      <c r="B47" s="1" t="s">
        <v>9</v>
      </c>
      <c r="C47" t="s">
        <v>37</v>
      </c>
      <c r="D47" s="1" t="s">
        <v>434</v>
      </c>
      <c r="E47" t="s">
        <v>109</v>
      </c>
      <c r="F47" s="6">
        <v>425434</v>
      </c>
      <c r="G47" s="6">
        <v>337258</v>
      </c>
      <c r="H47" s="6">
        <v>72236</v>
      </c>
      <c r="I47" s="6">
        <v>265022</v>
      </c>
      <c r="J47" s="6">
        <v>88176</v>
      </c>
      <c r="K47" s="6">
        <v>36359</v>
      </c>
      <c r="L47" s="6">
        <v>389557</v>
      </c>
      <c r="M47">
        <v>375</v>
      </c>
      <c r="N47">
        <v>98</v>
      </c>
      <c r="O47">
        <v>473</v>
      </c>
      <c r="P47" s="6">
        <v>41321</v>
      </c>
      <c r="Q47" s="6">
        <v>0</v>
      </c>
      <c r="R47" s="6">
        <v>74077</v>
      </c>
      <c r="S47" s="6">
        <v>81464</v>
      </c>
      <c r="T47" s="6">
        <v>586892</v>
      </c>
      <c r="U47" s="6">
        <v>306719</v>
      </c>
      <c r="V47" s="6">
        <v>280173</v>
      </c>
    </row>
    <row r="48" spans="1:22" x14ac:dyDescent="0.25">
      <c r="A48">
        <v>2026</v>
      </c>
      <c r="B48" s="1" t="s">
        <v>13</v>
      </c>
      <c r="C48" t="s">
        <v>41</v>
      </c>
      <c r="D48" s="1" t="s">
        <v>435</v>
      </c>
      <c r="E48" t="s">
        <v>110</v>
      </c>
      <c r="F48" s="6">
        <v>498865</v>
      </c>
      <c r="G48" s="6">
        <v>397388</v>
      </c>
      <c r="H48" s="6">
        <v>85114</v>
      </c>
      <c r="I48" s="6">
        <v>312274</v>
      </c>
      <c r="J48" s="6">
        <v>101477</v>
      </c>
      <c r="K48" s="6">
        <v>15058</v>
      </c>
      <c r="L48" s="6">
        <v>428809</v>
      </c>
      <c r="M48">
        <v>908</v>
      </c>
      <c r="N48">
        <v>232</v>
      </c>
      <c r="O48" s="6">
        <v>1140</v>
      </c>
      <c r="P48" s="6">
        <v>51689</v>
      </c>
      <c r="Q48" s="6">
        <v>0</v>
      </c>
      <c r="R48" s="6">
        <v>82109</v>
      </c>
      <c r="S48" s="6">
        <v>90288</v>
      </c>
      <c r="T48" s="6">
        <v>654035</v>
      </c>
      <c r="U48" s="6">
        <v>364871</v>
      </c>
      <c r="V48" s="6">
        <v>289164</v>
      </c>
    </row>
    <row r="49" spans="1:22" x14ac:dyDescent="0.25">
      <c r="A49">
        <v>2026</v>
      </c>
      <c r="B49" s="1" t="s">
        <v>9</v>
      </c>
      <c r="C49" t="s">
        <v>37</v>
      </c>
      <c r="D49" s="1" t="s">
        <v>436</v>
      </c>
      <c r="E49" t="s">
        <v>111</v>
      </c>
      <c r="F49" s="6">
        <v>156620</v>
      </c>
      <c r="G49" s="6">
        <v>124159</v>
      </c>
      <c r="H49" s="6">
        <v>26593</v>
      </c>
      <c r="I49" s="6">
        <v>97566</v>
      </c>
      <c r="J49" s="6">
        <v>32461</v>
      </c>
      <c r="K49" s="6">
        <v>8288</v>
      </c>
      <c r="L49" s="6">
        <v>138315</v>
      </c>
      <c r="M49">
        <v>138</v>
      </c>
      <c r="N49">
        <v>36</v>
      </c>
      <c r="O49">
        <v>174</v>
      </c>
      <c r="P49" s="6">
        <v>14881</v>
      </c>
      <c r="Q49" s="6">
        <v>0</v>
      </c>
      <c r="R49" s="6">
        <v>27422</v>
      </c>
      <c r="S49" s="6">
        <v>30156</v>
      </c>
      <c r="T49" s="6">
        <v>210948</v>
      </c>
      <c r="U49" s="6">
        <v>112585</v>
      </c>
      <c r="V49" s="6">
        <v>98363</v>
      </c>
    </row>
    <row r="50" spans="1:22" x14ac:dyDescent="0.25">
      <c r="A50">
        <v>2026</v>
      </c>
      <c r="B50" s="1" t="s">
        <v>5</v>
      </c>
      <c r="C50" t="s">
        <v>33</v>
      </c>
      <c r="D50" s="1" t="s">
        <v>437</v>
      </c>
      <c r="E50" t="s">
        <v>112</v>
      </c>
      <c r="F50" s="6">
        <v>189933</v>
      </c>
      <c r="G50" s="6">
        <v>144285</v>
      </c>
      <c r="H50" s="6">
        <v>30904</v>
      </c>
      <c r="I50" s="6">
        <v>113381</v>
      </c>
      <c r="J50" s="6">
        <v>45648</v>
      </c>
      <c r="K50" s="6">
        <v>1572</v>
      </c>
      <c r="L50" s="6">
        <v>160601</v>
      </c>
      <c r="M50">
        <v>373</v>
      </c>
      <c r="N50">
        <v>117</v>
      </c>
      <c r="O50">
        <v>490</v>
      </c>
      <c r="P50" s="6">
        <v>18980</v>
      </c>
      <c r="Q50" s="6">
        <v>0</v>
      </c>
      <c r="R50" s="6">
        <v>29759</v>
      </c>
      <c r="S50" s="6">
        <v>33147</v>
      </c>
      <c r="T50" s="6">
        <v>242977</v>
      </c>
      <c r="U50" s="6">
        <v>132733</v>
      </c>
      <c r="V50" s="6">
        <v>110244</v>
      </c>
    </row>
    <row r="51" spans="1:22" x14ac:dyDescent="0.25">
      <c r="A51">
        <v>2026</v>
      </c>
      <c r="B51" s="1" t="s">
        <v>8</v>
      </c>
      <c r="C51" t="s">
        <v>36</v>
      </c>
      <c r="D51" s="1" t="s">
        <v>438</v>
      </c>
      <c r="E51" t="s">
        <v>113</v>
      </c>
      <c r="F51" s="6">
        <v>576935</v>
      </c>
      <c r="G51" s="6">
        <v>454851</v>
      </c>
      <c r="H51" s="6">
        <v>97422</v>
      </c>
      <c r="I51" s="6">
        <v>357429</v>
      </c>
      <c r="J51" s="6">
        <v>122084</v>
      </c>
      <c r="K51">
        <v>0</v>
      </c>
      <c r="L51" s="6">
        <v>479513</v>
      </c>
      <c r="M51">
        <v>773</v>
      </c>
      <c r="N51">
        <v>207</v>
      </c>
      <c r="O51">
        <v>980</v>
      </c>
      <c r="P51" s="6">
        <v>53280</v>
      </c>
      <c r="Q51" s="6">
        <v>0</v>
      </c>
      <c r="R51" s="6">
        <v>105106</v>
      </c>
      <c r="S51" s="6">
        <v>114935</v>
      </c>
      <c r="T51" s="6">
        <v>753814</v>
      </c>
      <c r="U51" s="6">
        <v>411482</v>
      </c>
      <c r="V51" s="6">
        <v>342332</v>
      </c>
    </row>
    <row r="52" spans="1:22" x14ac:dyDescent="0.25">
      <c r="A52">
        <v>2026</v>
      </c>
      <c r="B52" s="1" t="s">
        <v>12</v>
      </c>
      <c r="C52" t="s">
        <v>40</v>
      </c>
      <c r="D52" s="1" t="s">
        <v>439</v>
      </c>
      <c r="E52" t="s">
        <v>114</v>
      </c>
      <c r="F52" s="6">
        <v>248507</v>
      </c>
      <c r="G52" s="6">
        <v>196460</v>
      </c>
      <c r="H52" s="6">
        <v>42078</v>
      </c>
      <c r="I52" s="6">
        <v>154382</v>
      </c>
      <c r="J52" s="6">
        <v>52047</v>
      </c>
      <c r="K52" s="6">
        <v>9066</v>
      </c>
      <c r="L52" s="6">
        <v>215495</v>
      </c>
      <c r="M52">
        <v>403</v>
      </c>
      <c r="N52">
        <v>107</v>
      </c>
      <c r="O52">
        <v>510</v>
      </c>
      <c r="P52" s="6">
        <v>26451</v>
      </c>
      <c r="Q52" s="6">
        <v>0</v>
      </c>
      <c r="R52" s="6">
        <v>39189</v>
      </c>
      <c r="S52" s="6">
        <v>43332</v>
      </c>
      <c r="T52" s="6">
        <v>324977</v>
      </c>
      <c r="U52" s="6">
        <v>181236</v>
      </c>
      <c r="V52" s="6">
        <v>143741</v>
      </c>
    </row>
    <row r="53" spans="1:22" x14ac:dyDescent="0.25">
      <c r="A53">
        <v>2026</v>
      </c>
      <c r="B53" s="1" t="s">
        <v>13</v>
      </c>
      <c r="C53" t="s">
        <v>41</v>
      </c>
      <c r="D53" s="1" t="s">
        <v>440</v>
      </c>
      <c r="E53" t="s">
        <v>115</v>
      </c>
      <c r="F53" s="6">
        <v>327985</v>
      </c>
      <c r="G53" s="6">
        <v>261267</v>
      </c>
      <c r="H53" s="6">
        <v>55960</v>
      </c>
      <c r="I53" s="6">
        <v>205307</v>
      </c>
      <c r="J53" s="6">
        <v>66718</v>
      </c>
      <c r="K53">
        <v>0</v>
      </c>
      <c r="L53" s="6">
        <v>272025</v>
      </c>
      <c r="M53">
        <v>596</v>
      </c>
      <c r="N53">
        <v>152</v>
      </c>
      <c r="O53">
        <v>748</v>
      </c>
      <c r="P53" s="6">
        <v>32999</v>
      </c>
      <c r="Q53" s="6">
        <v>0</v>
      </c>
      <c r="R53" s="6">
        <v>56320</v>
      </c>
      <c r="S53" s="6">
        <v>61930</v>
      </c>
      <c r="T53" s="6">
        <v>424022</v>
      </c>
      <c r="U53" s="6">
        <v>238902</v>
      </c>
      <c r="V53" s="6">
        <v>185120</v>
      </c>
    </row>
    <row r="54" spans="1:22" x14ac:dyDescent="0.25">
      <c r="A54">
        <v>2026</v>
      </c>
      <c r="B54" s="1" t="s">
        <v>11</v>
      </c>
      <c r="C54" t="s">
        <v>39</v>
      </c>
      <c r="D54" s="1" t="s">
        <v>441</v>
      </c>
      <c r="E54" t="s">
        <v>116</v>
      </c>
      <c r="F54" s="6">
        <v>284453</v>
      </c>
      <c r="G54" s="6">
        <v>220717</v>
      </c>
      <c r="H54" s="6">
        <v>47274</v>
      </c>
      <c r="I54" s="6">
        <v>173443</v>
      </c>
      <c r="J54" s="6">
        <v>63736</v>
      </c>
      <c r="K54" s="6">
        <v>11618</v>
      </c>
      <c r="L54" s="6">
        <v>248797</v>
      </c>
      <c r="M54">
        <v>414</v>
      </c>
      <c r="N54">
        <v>120</v>
      </c>
      <c r="O54">
        <v>534</v>
      </c>
      <c r="P54" s="6">
        <v>29848</v>
      </c>
      <c r="Q54" s="6">
        <v>0</v>
      </c>
      <c r="R54" s="6">
        <v>57699</v>
      </c>
      <c r="S54" s="6">
        <v>64585</v>
      </c>
      <c r="T54" s="6">
        <v>401463</v>
      </c>
      <c r="U54" s="6">
        <v>203705</v>
      </c>
      <c r="V54" s="6">
        <v>197758</v>
      </c>
    </row>
    <row r="55" spans="1:22" x14ac:dyDescent="0.25">
      <c r="A55">
        <v>2026</v>
      </c>
      <c r="B55" s="1" t="s">
        <v>7</v>
      </c>
      <c r="C55" t="s">
        <v>35</v>
      </c>
      <c r="D55" s="1" t="s">
        <v>442</v>
      </c>
      <c r="E55" t="s">
        <v>117</v>
      </c>
      <c r="F55" s="6">
        <v>309086</v>
      </c>
      <c r="G55" s="6">
        <v>242049</v>
      </c>
      <c r="H55" s="6">
        <v>51843</v>
      </c>
      <c r="I55" s="6">
        <v>190206</v>
      </c>
      <c r="J55" s="6">
        <v>67037</v>
      </c>
      <c r="K55" s="6">
        <v>549</v>
      </c>
      <c r="L55" s="6">
        <v>257792</v>
      </c>
      <c r="M55">
        <v>295</v>
      </c>
      <c r="N55">
        <v>82</v>
      </c>
      <c r="O55">
        <v>377</v>
      </c>
      <c r="P55" s="6">
        <v>37939</v>
      </c>
      <c r="Q55" s="6">
        <v>0</v>
      </c>
      <c r="R55" s="6">
        <v>53015</v>
      </c>
      <c r="S55" s="6">
        <v>59097</v>
      </c>
      <c r="T55" s="6">
        <v>408220</v>
      </c>
      <c r="U55" s="6">
        <v>228441</v>
      </c>
      <c r="V55" s="6">
        <v>179779</v>
      </c>
    </row>
    <row r="56" spans="1:22" x14ac:dyDescent="0.25">
      <c r="A56">
        <v>2026</v>
      </c>
      <c r="B56" s="1" t="s">
        <v>13</v>
      </c>
      <c r="C56" t="s">
        <v>41</v>
      </c>
      <c r="D56" s="1" t="s">
        <v>443</v>
      </c>
      <c r="E56" t="s">
        <v>118</v>
      </c>
      <c r="F56" s="6">
        <v>511862</v>
      </c>
      <c r="G56" s="6">
        <v>407740</v>
      </c>
      <c r="H56" s="6">
        <v>87331</v>
      </c>
      <c r="I56" s="6">
        <v>320409</v>
      </c>
      <c r="J56" s="6">
        <v>104122</v>
      </c>
      <c r="K56">
        <v>0</v>
      </c>
      <c r="L56" s="6">
        <v>424531</v>
      </c>
      <c r="M56">
        <v>930</v>
      </c>
      <c r="N56">
        <v>238</v>
      </c>
      <c r="O56" s="6">
        <v>1168</v>
      </c>
      <c r="P56" s="6">
        <v>51499</v>
      </c>
      <c r="Q56" s="6">
        <v>0</v>
      </c>
      <c r="R56" s="6">
        <v>86462</v>
      </c>
      <c r="S56" s="6">
        <v>95073</v>
      </c>
      <c r="T56" s="6">
        <v>658733</v>
      </c>
      <c r="U56" s="6">
        <v>372838</v>
      </c>
      <c r="V56" s="6">
        <v>285895</v>
      </c>
    </row>
    <row r="57" spans="1:22" x14ac:dyDescent="0.25">
      <c r="A57">
        <v>2026</v>
      </c>
      <c r="B57" s="1" t="s">
        <v>7</v>
      </c>
      <c r="C57" t="s">
        <v>35</v>
      </c>
      <c r="D57" s="1" t="s">
        <v>444</v>
      </c>
      <c r="E57" t="s">
        <v>119</v>
      </c>
      <c r="F57" s="6">
        <v>605517</v>
      </c>
      <c r="G57" s="6">
        <v>474187</v>
      </c>
      <c r="H57" s="6">
        <v>101564</v>
      </c>
      <c r="I57" s="6">
        <v>372623</v>
      </c>
      <c r="J57" s="6">
        <v>131330</v>
      </c>
      <c r="K57" s="6">
        <v>8248</v>
      </c>
      <c r="L57" s="6">
        <v>512201</v>
      </c>
      <c r="M57">
        <v>580</v>
      </c>
      <c r="N57">
        <v>160</v>
      </c>
      <c r="O57">
        <v>740</v>
      </c>
      <c r="P57" s="6">
        <v>75584</v>
      </c>
      <c r="Q57" s="6">
        <v>0</v>
      </c>
      <c r="R57" s="6">
        <v>107533</v>
      </c>
      <c r="S57" s="6">
        <v>119869</v>
      </c>
      <c r="T57" s="6">
        <v>815927</v>
      </c>
      <c r="U57" s="6">
        <v>448787</v>
      </c>
      <c r="V57" s="6">
        <v>367140</v>
      </c>
    </row>
    <row r="58" spans="1:22" x14ac:dyDescent="0.25">
      <c r="A58">
        <v>2026</v>
      </c>
      <c r="B58" s="1" t="s">
        <v>11</v>
      </c>
      <c r="C58" t="s">
        <v>39</v>
      </c>
      <c r="D58" s="1" t="s">
        <v>445</v>
      </c>
      <c r="E58" t="s">
        <v>120</v>
      </c>
      <c r="F58" s="6">
        <v>121187</v>
      </c>
      <c r="G58" s="6">
        <v>94033</v>
      </c>
      <c r="H58" s="6">
        <v>20141</v>
      </c>
      <c r="I58" s="6">
        <v>73892</v>
      </c>
      <c r="J58" s="6">
        <v>27154</v>
      </c>
      <c r="K58" s="6">
        <v>0</v>
      </c>
      <c r="L58" s="6">
        <v>101046</v>
      </c>
      <c r="M58">
        <v>177</v>
      </c>
      <c r="N58">
        <v>51</v>
      </c>
      <c r="O58">
        <v>228</v>
      </c>
      <c r="P58" s="6">
        <v>12221</v>
      </c>
      <c r="Q58" s="6">
        <v>0</v>
      </c>
      <c r="R58" s="6">
        <v>19059</v>
      </c>
      <c r="S58" s="6">
        <v>21334</v>
      </c>
      <c r="T58" s="6">
        <v>153888</v>
      </c>
      <c r="U58" s="6">
        <v>86290</v>
      </c>
      <c r="V58" s="6">
        <v>67598</v>
      </c>
    </row>
    <row r="59" spans="1:22" x14ac:dyDescent="0.25">
      <c r="A59">
        <v>2026</v>
      </c>
      <c r="B59" s="1" t="s">
        <v>11</v>
      </c>
      <c r="C59" t="s">
        <v>39</v>
      </c>
      <c r="D59" s="1" t="s">
        <v>446</v>
      </c>
      <c r="E59" t="s">
        <v>121</v>
      </c>
      <c r="F59" s="6">
        <v>423358</v>
      </c>
      <c r="G59" s="6">
        <v>328498</v>
      </c>
      <c r="H59" s="6">
        <v>70359</v>
      </c>
      <c r="I59" s="6">
        <v>258139</v>
      </c>
      <c r="J59" s="6">
        <v>94860</v>
      </c>
      <c r="K59">
        <v>0</v>
      </c>
      <c r="L59" s="6">
        <v>352999</v>
      </c>
      <c r="M59">
        <v>615</v>
      </c>
      <c r="N59">
        <v>178</v>
      </c>
      <c r="O59">
        <v>793</v>
      </c>
      <c r="P59" s="6">
        <v>42693</v>
      </c>
      <c r="Q59" s="6">
        <v>0</v>
      </c>
      <c r="R59" s="6">
        <v>65792</v>
      </c>
      <c r="S59" s="6">
        <v>73644</v>
      </c>
      <c r="T59" s="6">
        <v>535921</v>
      </c>
      <c r="U59" s="6">
        <v>301447</v>
      </c>
      <c r="V59" s="6">
        <v>234474</v>
      </c>
    </row>
    <row r="60" spans="1:22" x14ac:dyDescent="0.25">
      <c r="A60">
        <v>2026</v>
      </c>
      <c r="B60" s="1" t="s">
        <v>12</v>
      </c>
      <c r="C60" t="s">
        <v>40</v>
      </c>
      <c r="D60" s="1" t="s">
        <v>447</v>
      </c>
      <c r="E60" t="s">
        <v>122</v>
      </c>
      <c r="F60" s="6">
        <v>375636</v>
      </c>
      <c r="G60" s="6">
        <v>296962</v>
      </c>
      <c r="H60" s="6">
        <v>63605</v>
      </c>
      <c r="I60" s="6">
        <v>233357</v>
      </c>
      <c r="J60" s="6">
        <v>78674</v>
      </c>
      <c r="K60" s="6">
        <v>0</v>
      </c>
      <c r="L60" s="6">
        <v>312031</v>
      </c>
      <c r="M60">
        <v>607</v>
      </c>
      <c r="N60">
        <v>161</v>
      </c>
      <c r="O60">
        <v>768</v>
      </c>
      <c r="P60" s="6">
        <v>38573</v>
      </c>
      <c r="Q60" s="6">
        <v>0</v>
      </c>
      <c r="R60" s="6">
        <v>66485</v>
      </c>
      <c r="S60" s="6">
        <v>73513</v>
      </c>
      <c r="T60" s="6">
        <v>491370</v>
      </c>
      <c r="U60" s="6">
        <v>272537</v>
      </c>
      <c r="V60" s="6">
        <v>218833</v>
      </c>
    </row>
    <row r="61" spans="1:22" x14ac:dyDescent="0.25">
      <c r="A61">
        <v>2026</v>
      </c>
      <c r="B61" s="1" t="s">
        <v>6</v>
      </c>
      <c r="C61" t="s">
        <v>34</v>
      </c>
      <c r="D61" s="1" t="s">
        <v>448</v>
      </c>
      <c r="E61" t="s">
        <v>123</v>
      </c>
      <c r="F61" s="6">
        <v>387713</v>
      </c>
      <c r="G61" s="6">
        <v>298017</v>
      </c>
      <c r="H61" s="6">
        <v>63830</v>
      </c>
      <c r="I61" s="6">
        <v>234187</v>
      </c>
      <c r="J61" s="6">
        <v>89696</v>
      </c>
      <c r="K61" s="6">
        <v>2582</v>
      </c>
      <c r="L61" s="6">
        <v>326465</v>
      </c>
      <c r="M61">
        <v>0</v>
      </c>
      <c r="N61">
        <v>0</v>
      </c>
      <c r="O61">
        <v>0</v>
      </c>
      <c r="P61" s="6">
        <v>41020</v>
      </c>
      <c r="Q61" s="6">
        <v>0</v>
      </c>
      <c r="R61" s="6">
        <v>63837</v>
      </c>
      <c r="S61" s="6">
        <v>71477</v>
      </c>
      <c r="T61" s="6">
        <v>502799</v>
      </c>
      <c r="U61" s="6">
        <v>275207</v>
      </c>
      <c r="V61" s="6">
        <v>227592</v>
      </c>
    </row>
    <row r="62" spans="1:22" x14ac:dyDescent="0.25">
      <c r="A62">
        <v>2026</v>
      </c>
      <c r="B62" s="1" t="s">
        <v>12</v>
      </c>
      <c r="C62" t="s">
        <v>40</v>
      </c>
      <c r="D62" s="1" t="s">
        <v>449</v>
      </c>
      <c r="E62" t="s">
        <v>124</v>
      </c>
      <c r="F62" s="6">
        <v>583247</v>
      </c>
      <c r="G62" s="6">
        <v>461091</v>
      </c>
      <c r="H62" s="6">
        <v>98758</v>
      </c>
      <c r="I62" s="6">
        <v>362333</v>
      </c>
      <c r="J62" s="6">
        <v>122156</v>
      </c>
      <c r="K62">
        <v>0</v>
      </c>
      <c r="L62" s="6">
        <v>484489</v>
      </c>
      <c r="M62">
        <v>941</v>
      </c>
      <c r="N62">
        <v>249</v>
      </c>
      <c r="O62" s="6">
        <v>1190</v>
      </c>
      <c r="P62" s="6">
        <v>59892</v>
      </c>
      <c r="Q62" s="6">
        <v>0</v>
      </c>
      <c r="R62" s="6">
        <v>96380</v>
      </c>
      <c r="S62" s="6">
        <v>106568</v>
      </c>
      <c r="T62" s="6">
        <v>748519</v>
      </c>
      <c r="U62" s="6">
        <v>423166</v>
      </c>
      <c r="V62" s="6">
        <v>325353</v>
      </c>
    </row>
    <row r="63" spans="1:22" x14ac:dyDescent="0.25">
      <c r="A63">
        <v>2026</v>
      </c>
      <c r="B63" s="1" t="s">
        <v>7</v>
      </c>
      <c r="C63" t="s">
        <v>35</v>
      </c>
      <c r="D63" s="1" t="s">
        <v>450</v>
      </c>
      <c r="E63" t="s">
        <v>125</v>
      </c>
      <c r="F63" s="6">
        <v>116090</v>
      </c>
      <c r="G63" s="6">
        <v>90912</v>
      </c>
      <c r="H63" s="6">
        <v>19471</v>
      </c>
      <c r="I63" s="6">
        <v>71441</v>
      </c>
      <c r="J63" s="6">
        <v>25178</v>
      </c>
      <c r="K63" s="6">
        <v>1704</v>
      </c>
      <c r="L63" s="6">
        <v>98323</v>
      </c>
      <c r="M63">
        <v>110</v>
      </c>
      <c r="N63">
        <v>31</v>
      </c>
      <c r="O63">
        <v>141</v>
      </c>
      <c r="P63" s="6">
        <v>14249</v>
      </c>
      <c r="Q63" s="6">
        <v>0</v>
      </c>
      <c r="R63" s="6">
        <v>18151</v>
      </c>
      <c r="S63" s="6">
        <v>20233</v>
      </c>
      <c r="T63" s="6">
        <v>151097</v>
      </c>
      <c r="U63" s="6">
        <v>85800</v>
      </c>
      <c r="V63" s="6">
        <v>65297</v>
      </c>
    </row>
    <row r="64" spans="1:22" x14ac:dyDescent="0.25">
      <c r="A64">
        <v>2026</v>
      </c>
      <c r="B64" s="1" t="s">
        <v>6</v>
      </c>
      <c r="C64" t="s">
        <v>34</v>
      </c>
      <c r="D64" s="1" t="s">
        <v>451</v>
      </c>
      <c r="E64" t="s">
        <v>126</v>
      </c>
      <c r="F64" s="6">
        <v>106023</v>
      </c>
      <c r="G64" s="6">
        <v>81495</v>
      </c>
      <c r="H64" s="6">
        <v>17455</v>
      </c>
      <c r="I64" s="6">
        <v>64040</v>
      </c>
      <c r="J64" s="6">
        <v>24528</v>
      </c>
      <c r="K64" s="6">
        <v>19010</v>
      </c>
      <c r="L64" s="6">
        <v>107578</v>
      </c>
      <c r="M64">
        <v>0</v>
      </c>
      <c r="N64">
        <v>0</v>
      </c>
      <c r="O64">
        <v>0</v>
      </c>
      <c r="P64" s="6">
        <v>11217</v>
      </c>
      <c r="Q64" s="6">
        <v>0</v>
      </c>
      <c r="R64" s="6">
        <v>19798</v>
      </c>
      <c r="S64" s="6">
        <v>22167</v>
      </c>
      <c r="T64" s="6">
        <v>160760</v>
      </c>
      <c r="U64" s="6">
        <v>75257</v>
      </c>
      <c r="V64" s="6">
        <v>85503</v>
      </c>
    </row>
    <row r="65" spans="1:22" x14ac:dyDescent="0.25">
      <c r="A65">
        <v>2026</v>
      </c>
      <c r="B65" s="1" t="s">
        <v>5</v>
      </c>
      <c r="C65" t="s">
        <v>33</v>
      </c>
      <c r="D65" s="1" t="s">
        <v>452</v>
      </c>
      <c r="E65" t="s">
        <v>127</v>
      </c>
      <c r="F65" s="6">
        <v>260838</v>
      </c>
      <c r="G65" s="6">
        <v>198149</v>
      </c>
      <c r="H65" s="6">
        <v>42440</v>
      </c>
      <c r="I65" s="6">
        <v>155709</v>
      </c>
      <c r="J65" s="6">
        <v>62689</v>
      </c>
      <c r="K65">
        <v>0</v>
      </c>
      <c r="L65" s="6">
        <v>218398</v>
      </c>
      <c r="M65">
        <v>513</v>
      </c>
      <c r="N65">
        <v>163</v>
      </c>
      <c r="O65">
        <v>676</v>
      </c>
      <c r="P65" s="6">
        <v>25867</v>
      </c>
      <c r="Q65" s="6">
        <v>0</v>
      </c>
      <c r="R65" s="6">
        <v>42354</v>
      </c>
      <c r="S65" s="6">
        <v>47176</v>
      </c>
      <c r="T65" s="6">
        <v>334471</v>
      </c>
      <c r="U65" s="6">
        <v>182089</v>
      </c>
      <c r="V65" s="6">
        <v>152382</v>
      </c>
    </row>
    <row r="66" spans="1:22" x14ac:dyDescent="0.25">
      <c r="A66">
        <v>2026</v>
      </c>
      <c r="B66" s="1" t="s">
        <v>9</v>
      </c>
      <c r="C66" t="s">
        <v>37</v>
      </c>
      <c r="D66" s="1" t="s">
        <v>453</v>
      </c>
      <c r="E66" t="s">
        <v>128</v>
      </c>
      <c r="F66" s="6">
        <v>1226564</v>
      </c>
      <c r="G66" s="6">
        <v>972345</v>
      </c>
      <c r="H66" s="6">
        <v>208261</v>
      </c>
      <c r="I66" s="6">
        <v>764084</v>
      </c>
      <c r="J66" s="6">
        <v>254219</v>
      </c>
      <c r="K66">
        <v>0</v>
      </c>
      <c r="L66" s="6">
        <v>1018303</v>
      </c>
      <c r="M66" s="6">
        <v>1079</v>
      </c>
      <c r="N66">
        <v>282</v>
      </c>
      <c r="O66" s="6">
        <v>1361</v>
      </c>
      <c r="P66" s="6">
        <v>116541</v>
      </c>
      <c r="Q66" s="6">
        <v>0</v>
      </c>
      <c r="R66" s="6">
        <v>207546</v>
      </c>
      <c r="S66" s="6">
        <v>228243</v>
      </c>
      <c r="T66" s="6">
        <v>1571994</v>
      </c>
      <c r="U66" s="6">
        <v>881704</v>
      </c>
      <c r="V66" s="6">
        <v>690290</v>
      </c>
    </row>
    <row r="67" spans="1:22" x14ac:dyDescent="0.25">
      <c r="A67">
        <v>2026</v>
      </c>
      <c r="B67" s="1" t="s">
        <v>7</v>
      </c>
      <c r="C67" t="s">
        <v>35</v>
      </c>
      <c r="D67" s="1" t="s">
        <v>454</v>
      </c>
      <c r="E67" t="s">
        <v>129</v>
      </c>
      <c r="F67" s="6">
        <v>455395</v>
      </c>
      <c r="G67" s="6">
        <v>356625</v>
      </c>
      <c r="H67" s="6">
        <v>76383</v>
      </c>
      <c r="I67" s="6">
        <v>280242</v>
      </c>
      <c r="J67" s="6">
        <v>98770</v>
      </c>
      <c r="K67" s="6">
        <v>30</v>
      </c>
      <c r="L67" s="6">
        <v>379042</v>
      </c>
      <c r="M67">
        <v>436</v>
      </c>
      <c r="N67">
        <v>121</v>
      </c>
      <c r="O67">
        <v>557</v>
      </c>
      <c r="P67" s="6">
        <v>55897</v>
      </c>
      <c r="Q67" s="6">
        <v>0</v>
      </c>
      <c r="R67" s="6">
        <v>77630</v>
      </c>
      <c r="S67" s="6">
        <v>86535</v>
      </c>
      <c r="T67" s="6">
        <v>599661</v>
      </c>
      <c r="U67" s="6">
        <v>336575</v>
      </c>
      <c r="V67" s="6">
        <v>263086</v>
      </c>
    </row>
    <row r="68" spans="1:22" x14ac:dyDescent="0.25">
      <c r="A68">
        <v>2026</v>
      </c>
      <c r="B68" s="1" t="s">
        <v>8</v>
      </c>
      <c r="C68" t="s">
        <v>36</v>
      </c>
      <c r="D68" s="1" t="s">
        <v>455</v>
      </c>
      <c r="E68" t="s">
        <v>130</v>
      </c>
      <c r="F68" s="6">
        <v>1534324</v>
      </c>
      <c r="G68" s="6">
        <v>1209647</v>
      </c>
      <c r="H68" s="6">
        <v>259087</v>
      </c>
      <c r="I68" s="6">
        <v>950560</v>
      </c>
      <c r="J68" s="6">
        <v>324677</v>
      </c>
      <c r="K68">
        <v>0</v>
      </c>
      <c r="L68" s="6">
        <v>1275237</v>
      </c>
      <c r="M68" s="6">
        <v>2051</v>
      </c>
      <c r="N68">
        <v>550</v>
      </c>
      <c r="O68" s="6">
        <v>2601</v>
      </c>
      <c r="P68" s="6">
        <v>141695</v>
      </c>
      <c r="Q68" s="6">
        <v>0</v>
      </c>
      <c r="R68" s="6">
        <v>244426</v>
      </c>
      <c r="S68" s="6">
        <v>267284</v>
      </c>
      <c r="T68" s="6">
        <v>1931243</v>
      </c>
      <c r="U68" s="6">
        <v>1094306</v>
      </c>
      <c r="V68" s="6">
        <v>836937</v>
      </c>
    </row>
    <row r="69" spans="1:22" x14ac:dyDescent="0.25">
      <c r="A69">
        <v>2026</v>
      </c>
      <c r="B69" s="1" t="s">
        <v>10</v>
      </c>
      <c r="C69" t="s">
        <v>38</v>
      </c>
      <c r="D69" s="1" t="s">
        <v>456</v>
      </c>
      <c r="E69" t="s">
        <v>131</v>
      </c>
      <c r="F69" s="6">
        <v>268984</v>
      </c>
      <c r="G69" s="6">
        <v>217673</v>
      </c>
      <c r="H69" s="6">
        <v>46622</v>
      </c>
      <c r="I69" s="6">
        <v>171051</v>
      </c>
      <c r="J69" s="6">
        <v>51311</v>
      </c>
      <c r="K69" s="6">
        <v>2934</v>
      </c>
      <c r="L69" s="6">
        <v>225296</v>
      </c>
      <c r="M69">
        <v>0</v>
      </c>
      <c r="N69">
        <v>0</v>
      </c>
      <c r="O69">
        <v>0</v>
      </c>
      <c r="P69" s="6">
        <v>23277</v>
      </c>
      <c r="Q69" s="6">
        <v>0</v>
      </c>
      <c r="R69" s="6">
        <v>45143</v>
      </c>
      <c r="S69" s="6">
        <v>49611</v>
      </c>
      <c r="T69" s="6">
        <v>343327</v>
      </c>
      <c r="U69" s="6">
        <v>194328</v>
      </c>
      <c r="V69" s="6">
        <v>148999</v>
      </c>
    </row>
    <row r="70" spans="1:22" x14ac:dyDescent="0.25">
      <c r="A70">
        <v>2026</v>
      </c>
      <c r="B70" s="1" t="s">
        <v>9</v>
      </c>
      <c r="C70" t="s">
        <v>37</v>
      </c>
      <c r="D70" s="1" t="s">
        <v>457</v>
      </c>
      <c r="E70" t="s">
        <v>132</v>
      </c>
      <c r="F70" s="6">
        <v>1983269</v>
      </c>
      <c r="G70" s="6">
        <v>1572215</v>
      </c>
      <c r="H70" s="6">
        <v>336743</v>
      </c>
      <c r="I70" s="6">
        <v>1235472</v>
      </c>
      <c r="J70" s="6">
        <v>411054</v>
      </c>
      <c r="K70">
        <v>0</v>
      </c>
      <c r="L70" s="6">
        <v>1646526</v>
      </c>
      <c r="M70" s="6">
        <v>1747</v>
      </c>
      <c r="N70">
        <v>457</v>
      </c>
      <c r="O70" s="6">
        <v>2204</v>
      </c>
      <c r="P70" s="6">
        <v>188438</v>
      </c>
      <c r="Q70" s="6">
        <v>0</v>
      </c>
      <c r="R70" s="6">
        <v>343224</v>
      </c>
      <c r="S70" s="6">
        <v>377452</v>
      </c>
      <c r="T70" s="6">
        <v>2557844</v>
      </c>
      <c r="U70" s="6">
        <v>1425657</v>
      </c>
      <c r="V70" s="6">
        <v>1132187</v>
      </c>
    </row>
    <row r="71" spans="1:22" x14ac:dyDescent="0.25">
      <c r="A71">
        <v>2026</v>
      </c>
      <c r="B71" s="1" t="s">
        <v>10</v>
      </c>
      <c r="C71" t="s">
        <v>38</v>
      </c>
      <c r="D71" s="1" t="s">
        <v>458</v>
      </c>
      <c r="E71" t="s">
        <v>133</v>
      </c>
      <c r="F71" s="6">
        <v>162457</v>
      </c>
      <c r="G71" s="6">
        <v>131467</v>
      </c>
      <c r="H71" s="6">
        <v>28158</v>
      </c>
      <c r="I71" s="6">
        <v>103309</v>
      </c>
      <c r="J71" s="6">
        <v>30990</v>
      </c>
      <c r="K71" s="6">
        <v>9406</v>
      </c>
      <c r="L71" s="6">
        <v>143705</v>
      </c>
      <c r="M71">
        <v>0</v>
      </c>
      <c r="N71">
        <v>0</v>
      </c>
      <c r="O71">
        <v>0</v>
      </c>
      <c r="P71" s="6">
        <v>14631</v>
      </c>
      <c r="Q71" s="6">
        <v>0</v>
      </c>
      <c r="R71" s="6">
        <v>27306</v>
      </c>
      <c r="S71" s="6">
        <v>30009</v>
      </c>
      <c r="T71" s="6">
        <v>215651</v>
      </c>
      <c r="U71" s="6">
        <v>117940</v>
      </c>
      <c r="V71" s="6">
        <v>97711</v>
      </c>
    </row>
    <row r="72" spans="1:22" x14ac:dyDescent="0.25">
      <c r="A72">
        <v>2026</v>
      </c>
      <c r="B72" s="1" t="s">
        <v>10</v>
      </c>
      <c r="C72" t="s">
        <v>38</v>
      </c>
      <c r="D72" s="1" t="s">
        <v>459</v>
      </c>
      <c r="E72" t="s">
        <v>134</v>
      </c>
      <c r="F72" s="6">
        <v>175155</v>
      </c>
      <c r="G72" s="6">
        <v>141743</v>
      </c>
      <c r="H72" s="6">
        <v>30359</v>
      </c>
      <c r="I72" s="6">
        <v>111384</v>
      </c>
      <c r="J72" s="6">
        <v>33412</v>
      </c>
      <c r="K72">
        <v>0</v>
      </c>
      <c r="L72" s="6">
        <v>144796</v>
      </c>
      <c r="M72">
        <v>0</v>
      </c>
      <c r="N72">
        <v>0</v>
      </c>
      <c r="O72">
        <v>0</v>
      </c>
      <c r="P72" s="6">
        <v>15052</v>
      </c>
      <c r="Q72" s="6">
        <v>0</v>
      </c>
      <c r="R72" s="6">
        <v>29317</v>
      </c>
      <c r="S72" s="6">
        <v>32219</v>
      </c>
      <c r="T72" s="6">
        <v>221384</v>
      </c>
      <c r="U72" s="6">
        <v>126436</v>
      </c>
      <c r="V72" s="6">
        <v>94948</v>
      </c>
    </row>
    <row r="73" spans="1:22" x14ac:dyDescent="0.25">
      <c r="A73">
        <v>2026</v>
      </c>
      <c r="B73" s="1" t="s">
        <v>8</v>
      </c>
      <c r="C73" t="s">
        <v>36</v>
      </c>
      <c r="D73" s="1" t="s">
        <v>460</v>
      </c>
      <c r="E73" t="s">
        <v>135</v>
      </c>
      <c r="F73" s="6">
        <v>309058</v>
      </c>
      <c r="G73" s="6">
        <v>243658</v>
      </c>
      <c r="H73" s="6">
        <v>52187</v>
      </c>
      <c r="I73" s="6">
        <v>191471</v>
      </c>
      <c r="J73" s="6">
        <v>65400</v>
      </c>
      <c r="K73" s="6">
        <v>0</v>
      </c>
      <c r="L73" s="6">
        <v>256871</v>
      </c>
      <c r="M73">
        <v>414</v>
      </c>
      <c r="N73">
        <v>111</v>
      </c>
      <c r="O73">
        <v>525</v>
      </c>
      <c r="P73" s="6">
        <v>28542</v>
      </c>
      <c r="Q73" s="6">
        <v>0</v>
      </c>
      <c r="R73" s="6">
        <v>49572</v>
      </c>
      <c r="S73" s="6">
        <v>54208</v>
      </c>
      <c r="T73" s="6">
        <v>389718</v>
      </c>
      <c r="U73" s="6">
        <v>220427</v>
      </c>
      <c r="V73" s="6">
        <v>169291</v>
      </c>
    </row>
    <row r="74" spans="1:22" x14ac:dyDescent="0.25">
      <c r="A74">
        <v>2026</v>
      </c>
      <c r="B74" s="1" t="s">
        <v>10</v>
      </c>
      <c r="C74" t="s">
        <v>38</v>
      </c>
      <c r="D74" s="1" t="s">
        <v>461</v>
      </c>
      <c r="E74" t="s">
        <v>136</v>
      </c>
      <c r="F74" s="6">
        <v>174350</v>
      </c>
      <c r="G74" s="6">
        <v>141091</v>
      </c>
      <c r="H74" s="6">
        <v>30220</v>
      </c>
      <c r="I74" s="6">
        <v>110871</v>
      </c>
      <c r="J74" s="6">
        <v>33259</v>
      </c>
      <c r="K74">
        <v>0</v>
      </c>
      <c r="L74" s="6">
        <v>144130</v>
      </c>
      <c r="M74">
        <v>0</v>
      </c>
      <c r="N74">
        <v>0</v>
      </c>
      <c r="O74">
        <v>0</v>
      </c>
      <c r="P74" s="6">
        <v>14983</v>
      </c>
      <c r="Q74" s="6">
        <v>0</v>
      </c>
      <c r="R74" s="6">
        <v>28733</v>
      </c>
      <c r="S74" s="6">
        <v>31577</v>
      </c>
      <c r="T74" s="6">
        <v>219423</v>
      </c>
      <c r="U74" s="6">
        <v>125854</v>
      </c>
      <c r="V74" s="6">
        <v>93569</v>
      </c>
    </row>
    <row r="75" spans="1:22" x14ac:dyDescent="0.25">
      <c r="A75">
        <v>2026</v>
      </c>
      <c r="B75" s="1" t="s">
        <v>12</v>
      </c>
      <c r="C75" t="s">
        <v>40</v>
      </c>
      <c r="D75" s="1" t="s">
        <v>462</v>
      </c>
      <c r="E75" t="s">
        <v>137</v>
      </c>
      <c r="F75" s="6">
        <v>158940</v>
      </c>
      <c r="G75" s="6">
        <v>125652</v>
      </c>
      <c r="H75" s="6">
        <v>26913</v>
      </c>
      <c r="I75" s="6">
        <v>98739</v>
      </c>
      <c r="J75" s="6">
        <v>33288</v>
      </c>
      <c r="K75" s="6">
        <v>0</v>
      </c>
      <c r="L75" s="6">
        <v>132027</v>
      </c>
      <c r="M75">
        <v>257</v>
      </c>
      <c r="N75">
        <v>68</v>
      </c>
      <c r="O75">
        <v>325</v>
      </c>
      <c r="P75" s="6">
        <v>16321</v>
      </c>
      <c r="Q75" s="6">
        <v>0</v>
      </c>
      <c r="R75" s="6">
        <v>26061</v>
      </c>
      <c r="S75" s="6">
        <v>28816</v>
      </c>
      <c r="T75" s="6">
        <v>203550</v>
      </c>
      <c r="U75" s="6">
        <v>115316</v>
      </c>
      <c r="V75" s="6">
        <v>88234</v>
      </c>
    </row>
    <row r="76" spans="1:22" x14ac:dyDescent="0.25">
      <c r="A76">
        <v>2026</v>
      </c>
      <c r="B76" s="1" t="s">
        <v>12</v>
      </c>
      <c r="C76" t="s">
        <v>40</v>
      </c>
      <c r="D76" s="1" t="s">
        <v>463</v>
      </c>
      <c r="E76" t="s">
        <v>138</v>
      </c>
      <c r="F76" s="6">
        <v>3701325</v>
      </c>
      <c r="G76" s="6">
        <v>2926116</v>
      </c>
      <c r="H76" s="6">
        <v>626727</v>
      </c>
      <c r="I76" s="6">
        <v>2299389</v>
      </c>
      <c r="J76" s="6">
        <v>775209</v>
      </c>
      <c r="K76" s="6">
        <v>14980</v>
      </c>
      <c r="L76" s="6">
        <v>3089578</v>
      </c>
      <c r="M76" s="6">
        <v>5975</v>
      </c>
      <c r="N76" s="6">
        <v>1583</v>
      </c>
      <c r="O76" s="6">
        <v>7558</v>
      </c>
      <c r="P76" s="6">
        <v>381641</v>
      </c>
      <c r="Q76" s="6">
        <v>0</v>
      </c>
      <c r="R76" s="6">
        <v>582050</v>
      </c>
      <c r="S76" s="6">
        <v>643578</v>
      </c>
      <c r="T76" s="6">
        <v>4704405</v>
      </c>
      <c r="U76" s="6">
        <v>2687006</v>
      </c>
      <c r="V76" s="6">
        <v>2017399</v>
      </c>
    </row>
    <row r="77" spans="1:22" x14ac:dyDescent="0.25">
      <c r="A77">
        <v>2026</v>
      </c>
      <c r="B77" s="1" t="s">
        <v>12</v>
      </c>
      <c r="C77" t="s">
        <v>40</v>
      </c>
      <c r="D77" s="1" t="s">
        <v>464</v>
      </c>
      <c r="E77" t="s">
        <v>139</v>
      </c>
      <c r="F77" s="6">
        <v>526742</v>
      </c>
      <c r="G77" s="6">
        <v>416421</v>
      </c>
      <c r="H77" s="6">
        <v>89190</v>
      </c>
      <c r="I77" s="6">
        <v>327231</v>
      </c>
      <c r="J77" s="6">
        <v>110321</v>
      </c>
      <c r="K77" s="6">
        <v>7198</v>
      </c>
      <c r="L77" s="6">
        <v>444750</v>
      </c>
      <c r="M77">
        <v>850</v>
      </c>
      <c r="N77">
        <v>225</v>
      </c>
      <c r="O77" s="6">
        <v>1075</v>
      </c>
      <c r="P77" s="6">
        <v>54832</v>
      </c>
      <c r="Q77" s="6">
        <v>0</v>
      </c>
      <c r="R77" s="6">
        <v>93716</v>
      </c>
      <c r="S77" s="6">
        <v>103622</v>
      </c>
      <c r="T77" s="6">
        <v>697995</v>
      </c>
      <c r="U77" s="6">
        <v>382913</v>
      </c>
      <c r="V77" s="6">
        <v>315082</v>
      </c>
    </row>
    <row r="78" spans="1:22" x14ac:dyDescent="0.25">
      <c r="A78">
        <v>2026</v>
      </c>
      <c r="B78" s="1" t="s">
        <v>10</v>
      </c>
      <c r="C78" t="s">
        <v>38</v>
      </c>
      <c r="D78" s="1" t="s">
        <v>465</v>
      </c>
      <c r="E78" t="s">
        <v>140</v>
      </c>
      <c r="F78" s="6">
        <v>1311314</v>
      </c>
      <c r="G78" s="6">
        <v>1061170</v>
      </c>
      <c r="H78" s="6">
        <v>227286</v>
      </c>
      <c r="I78" s="6">
        <v>833884</v>
      </c>
      <c r="J78" s="6">
        <v>250144</v>
      </c>
      <c r="K78">
        <v>0</v>
      </c>
      <c r="L78" s="6">
        <v>1084028</v>
      </c>
      <c r="M78">
        <v>0</v>
      </c>
      <c r="N78">
        <v>0</v>
      </c>
      <c r="O78">
        <v>0</v>
      </c>
      <c r="P78" s="6">
        <v>112692</v>
      </c>
      <c r="Q78" s="6">
        <v>0</v>
      </c>
      <c r="R78" s="6">
        <v>231485</v>
      </c>
      <c r="S78" s="6">
        <v>254398</v>
      </c>
      <c r="T78" s="6">
        <v>1682603</v>
      </c>
      <c r="U78" s="6">
        <v>946576</v>
      </c>
      <c r="V78" s="6">
        <v>736027</v>
      </c>
    </row>
    <row r="79" spans="1:22" x14ac:dyDescent="0.25">
      <c r="A79">
        <v>2026</v>
      </c>
      <c r="B79" s="1" t="s">
        <v>13</v>
      </c>
      <c r="C79" t="s">
        <v>41</v>
      </c>
      <c r="D79" s="1" t="s">
        <v>466</v>
      </c>
      <c r="E79" t="s">
        <v>141</v>
      </c>
      <c r="F79" s="6">
        <v>159540</v>
      </c>
      <c r="G79" s="6">
        <v>127087</v>
      </c>
      <c r="H79" s="6">
        <v>27220</v>
      </c>
      <c r="I79" s="6">
        <v>99867</v>
      </c>
      <c r="J79" s="6">
        <v>32453</v>
      </c>
      <c r="K79" s="6">
        <v>13570</v>
      </c>
      <c r="L79" s="6">
        <v>145890</v>
      </c>
      <c r="M79">
        <v>290</v>
      </c>
      <c r="N79">
        <v>74</v>
      </c>
      <c r="O79">
        <v>364</v>
      </c>
      <c r="P79" s="6">
        <v>16535</v>
      </c>
      <c r="Q79" s="6">
        <v>0</v>
      </c>
      <c r="R79" s="6">
        <v>27998</v>
      </c>
      <c r="S79" s="6">
        <v>30786</v>
      </c>
      <c r="T79" s="6">
        <v>221573</v>
      </c>
      <c r="U79" s="6">
        <v>116692</v>
      </c>
      <c r="V79" s="6">
        <v>104881</v>
      </c>
    </row>
    <row r="80" spans="1:22" x14ac:dyDescent="0.25">
      <c r="A80">
        <v>2026</v>
      </c>
      <c r="B80" s="1" t="s">
        <v>8</v>
      </c>
      <c r="C80" t="s">
        <v>36</v>
      </c>
      <c r="D80" s="1" t="s">
        <v>467</v>
      </c>
      <c r="E80" t="s">
        <v>142</v>
      </c>
      <c r="F80" s="6">
        <v>5656166</v>
      </c>
      <c r="G80" s="6">
        <v>4459271</v>
      </c>
      <c r="H80" s="6">
        <v>955105</v>
      </c>
      <c r="I80" s="6">
        <v>3504166</v>
      </c>
      <c r="J80" s="6">
        <v>1196895</v>
      </c>
      <c r="K80" s="6">
        <v>0</v>
      </c>
      <c r="L80" s="6">
        <v>4701061</v>
      </c>
      <c r="M80" s="6">
        <v>7573</v>
      </c>
      <c r="N80" s="6">
        <v>2033</v>
      </c>
      <c r="O80" s="6">
        <v>9606</v>
      </c>
      <c r="P80" s="6">
        <v>522349</v>
      </c>
      <c r="Q80" s="6">
        <v>0</v>
      </c>
      <c r="R80" s="6">
        <v>1011269</v>
      </c>
      <c r="S80" s="6">
        <v>1105841</v>
      </c>
      <c r="T80" s="6">
        <v>7350126</v>
      </c>
      <c r="U80" s="6">
        <v>4034089</v>
      </c>
      <c r="V80" s="6">
        <v>3316037</v>
      </c>
    </row>
    <row r="81" spans="1:22" x14ac:dyDescent="0.25">
      <c r="A81">
        <v>2026</v>
      </c>
      <c r="B81" s="1" t="s">
        <v>13</v>
      </c>
      <c r="C81" t="s">
        <v>41</v>
      </c>
      <c r="D81" s="1" t="s">
        <v>468</v>
      </c>
      <c r="E81" t="s">
        <v>143</v>
      </c>
      <c r="F81" s="6">
        <v>427352</v>
      </c>
      <c r="G81" s="6">
        <v>340421</v>
      </c>
      <c r="H81" s="6">
        <v>72913</v>
      </c>
      <c r="I81" s="6">
        <v>267508</v>
      </c>
      <c r="J81" s="6">
        <v>86931</v>
      </c>
      <c r="K81">
        <v>0</v>
      </c>
      <c r="L81" s="6">
        <v>354439</v>
      </c>
      <c r="M81">
        <v>778</v>
      </c>
      <c r="N81">
        <v>199</v>
      </c>
      <c r="O81">
        <v>977</v>
      </c>
      <c r="P81" s="6">
        <v>42997</v>
      </c>
      <c r="Q81" s="6">
        <v>0</v>
      </c>
      <c r="R81" s="6">
        <v>70417</v>
      </c>
      <c r="S81" s="6">
        <v>77430</v>
      </c>
      <c r="T81" s="6">
        <v>546260</v>
      </c>
      <c r="U81" s="6">
        <v>311283</v>
      </c>
      <c r="V81" s="6">
        <v>234977</v>
      </c>
    </row>
    <row r="82" spans="1:22" x14ac:dyDescent="0.25">
      <c r="A82">
        <v>2026</v>
      </c>
      <c r="B82" s="1" t="s">
        <v>5</v>
      </c>
      <c r="C82" t="s">
        <v>33</v>
      </c>
      <c r="D82" s="1" t="s">
        <v>469</v>
      </c>
      <c r="E82" t="s">
        <v>144</v>
      </c>
      <c r="F82" s="6">
        <v>593876</v>
      </c>
      <c r="G82" s="6">
        <v>451144</v>
      </c>
      <c r="H82" s="6">
        <v>96628</v>
      </c>
      <c r="I82" s="6">
        <v>354516</v>
      </c>
      <c r="J82" s="6">
        <v>142732</v>
      </c>
      <c r="K82" s="6">
        <v>10511</v>
      </c>
      <c r="L82" s="6">
        <v>507759</v>
      </c>
      <c r="M82" s="6">
        <v>1170</v>
      </c>
      <c r="N82">
        <v>370</v>
      </c>
      <c r="O82" s="6">
        <v>1540</v>
      </c>
      <c r="P82" s="6">
        <v>59900</v>
      </c>
      <c r="Q82" s="6">
        <v>0</v>
      </c>
      <c r="R82" s="6">
        <v>105721</v>
      </c>
      <c r="S82" s="6">
        <v>117758</v>
      </c>
      <c r="T82" s="6">
        <v>792678</v>
      </c>
      <c r="U82" s="6">
        <v>415586</v>
      </c>
      <c r="V82" s="6">
        <v>377092</v>
      </c>
    </row>
    <row r="83" spans="1:22" x14ac:dyDescent="0.25">
      <c r="A83">
        <v>2026</v>
      </c>
      <c r="B83" s="1" t="s">
        <v>8</v>
      </c>
      <c r="C83" t="s">
        <v>36</v>
      </c>
      <c r="D83" s="1" t="s">
        <v>470</v>
      </c>
      <c r="E83" t="s">
        <v>145</v>
      </c>
      <c r="F83" s="6">
        <v>69431</v>
      </c>
      <c r="G83" s="6">
        <v>54739</v>
      </c>
      <c r="H83" s="6">
        <v>11725</v>
      </c>
      <c r="I83" s="6">
        <v>43014</v>
      </c>
      <c r="J83" s="6">
        <v>14692</v>
      </c>
      <c r="K83" s="6">
        <v>6427</v>
      </c>
      <c r="L83" s="6">
        <v>64133</v>
      </c>
      <c r="M83">
        <v>94</v>
      </c>
      <c r="N83">
        <v>25</v>
      </c>
      <c r="O83">
        <v>119</v>
      </c>
      <c r="P83" s="6">
        <v>6469</v>
      </c>
      <c r="Q83">
        <v>0</v>
      </c>
      <c r="R83" s="6">
        <v>11146</v>
      </c>
      <c r="S83" s="6">
        <v>12188</v>
      </c>
      <c r="T83" s="6">
        <v>94055</v>
      </c>
      <c r="U83" s="6">
        <v>49577</v>
      </c>
      <c r="V83" s="6">
        <v>44478</v>
      </c>
    </row>
    <row r="84" spans="1:22" x14ac:dyDescent="0.25">
      <c r="A84">
        <v>2026</v>
      </c>
      <c r="B84" s="1" t="s">
        <v>11</v>
      </c>
      <c r="C84" t="s">
        <v>39</v>
      </c>
      <c r="D84" s="1" t="s">
        <v>471</v>
      </c>
      <c r="E84" t="s">
        <v>146</v>
      </c>
      <c r="F84" s="6">
        <v>802765</v>
      </c>
      <c r="G84" s="6">
        <v>622893</v>
      </c>
      <c r="H84" s="6">
        <v>133414</v>
      </c>
      <c r="I84" s="6">
        <v>489479</v>
      </c>
      <c r="J84" s="6">
        <v>179872</v>
      </c>
      <c r="K84" s="6">
        <v>0</v>
      </c>
      <c r="L84" s="6">
        <v>669351</v>
      </c>
      <c r="M84" s="6">
        <v>1167</v>
      </c>
      <c r="N84">
        <v>338</v>
      </c>
      <c r="O84" s="6">
        <v>1505</v>
      </c>
      <c r="P84" s="6">
        <v>80954</v>
      </c>
      <c r="Q84" s="6">
        <v>0</v>
      </c>
      <c r="R84" s="6">
        <v>138242</v>
      </c>
      <c r="S84" s="6">
        <v>154741</v>
      </c>
      <c r="T84" s="6">
        <v>1044793</v>
      </c>
      <c r="U84" s="6">
        <v>571601</v>
      </c>
      <c r="V84" s="6">
        <v>473192</v>
      </c>
    </row>
    <row r="85" spans="1:22" x14ac:dyDescent="0.25">
      <c r="A85">
        <v>2026</v>
      </c>
      <c r="B85" s="1" t="s">
        <v>7</v>
      </c>
      <c r="C85" t="s">
        <v>35</v>
      </c>
      <c r="D85" s="1" t="s">
        <v>472</v>
      </c>
      <c r="E85" t="s">
        <v>147</v>
      </c>
      <c r="F85" s="6">
        <v>335530</v>
      </c>
      <c r="G85" s="6">
        <v>262758</v>
      </c>
      <c r="H85" s="6">
        <v>56278</v>
      </c>
      <c r="I85" s="6">
        <v>206480</v>
      </c>
      <c r="J85" s="6">
        <v>72772</v>
      </c>
      <c r="K85">
        <v>0</v>
      </c>
      <c r="L85" s="6">
        <v>279252</v>
      </c>
      <c r="M85">
        <v>320</v>
      </c>
      <c r="N85">
        <v>89</v>
      </c>
      <c r="O85">
        <v>409</v>
      </c>
      <c r="P85" s="6">
        <v>41184</v>
      </c>
      <c r="Q85" s="6">
        <v>0</v>
      </c>
      <c r="R85" s="6">
        <v>57847</v>
      </c>
      <c r="S85" s="6">
        <v>64483</v>
      </c>
      <c r="T85" s="6">
        <v>443175</v>
      </c>
      <c r="U85" s="6">
        <v>247984</v>
      </c>
      <c r="V85" s="6">
        <v>195191</v>
      </c>
    </row>
    <row r="86" spans="1:22" x14ac:dyDescent="0.25">
      <c r="A86">
        <v>2026</v>
      </c>
      <c r="B86" s="1" t="s">
        <v>10</v>
      </c>
      <c r="C86" t="s">
        <v>38</v>
      </c>
      <c r="D86" s="1" t="s">
        <v>473</v>
      </c>
      <c r="E86" t="s">
        <v>148</v>
      </c>
      <c r="F86" s="6">
        <v>12393575</v>
      </c>
      <c r="G86" s="6">
        <v>10029398</v>
      </c>
      <c r="H86" s="6">
        <v>2148134</v>
      </c>
      <c r="I86" s="6">
        <v>7881264</v>
      </c>
      <c r="J86" s="6">
        <v>2364177</v>
      </c>
      <c r="K86">
        <v>0</v>
      </c>
      <c r="L86" s="6">
        <v>10245441</v>
      </c>
      <c r="M86">
        <v>0</v>
      </c>
      <c r="N86">
        <v>0</v>
      </c>
      <c r="O86">
        <v>0</v>
      </c>
      <c r="P86" s="6">
        <v>1065079</v>
      </c>
      <c r="Q86" s="6">
        <v>0</v>
      </c>
      <c r="R86" s="6">
        <v>2188895</v>
      </c>
      <c r="S86" s="6">
        <v>2405557</v>
      </c>
      <c r="T86" s="6">
        <v>15904972</v>
      </c>
      <c r="U86" s="6">
        <v>8946343</v>
      </c>
      <c r="V86" s="6">
        <v>6958629</v>
      </c>
    </row>
    <row r="87" spans="1:22" x14ac:dyDescent="0.25">
      <c r="A87">
        <v>2026</v>
      </c>
      <c r="B87" s="1" t="s">
        <v>12</v>
      </c>
      <c r="C87" t="s">
        <v>40</v>
      </c>
      <c r="D87" s="1" t="s">
        <v>474</v>
      </c>
      <c r="E87" t="s">
        <v>149</v>
      </c>
      <c r="F87" s="6">
        <v>35914</v>
      </c>
      <c r="G87" s="6">
        <v>28392</v>
      </c>
      <c r="H87" s="6">
        <v>6081</v>
      </c>
      <c r="I87" s="6">
        <v>22311</v>
      </c>
      <c r="J87" s="6">
        <v>7522</v>
      </c>
      <c r="K87" s="6">
        <v>6106</v>
      </c>
      <c r="L87" s="6">
        <v>35939</v>
      </c>
      <c r="M87">
        <v>58</v>
      </c>
      <c r="N87">
        <v>15</v>
      </c>
      <c r="O87">
        <v>73</v>
      </c>
      <c r="P87" s="6">
        <v>3688</v>
      </c>
      <c r="Q87">
        <v>0</v>
      </c>
      <c r="R87" s="6">
        <v>5849</v>
      </c>
      <c r="S87" s="6">
        <v>6467</v>
      </c>
      <c r="T87" s="6">
        <v>52016</v>
      </c>
      <c r="U87" s="6">
        <v>26057</v>
      </c>
      <c r="V87" s="6">
        <v>25959</v>
      </c>
    </row>
    <row r="88" spans="1:22" x14ac:dyDescent="0.25">
      <c r="A88">
        <v>2026</v>
      </c>
      <c r="B88" s="1" t="s">
        <v>7</v>
      </c>
      <c r="C88" t="s">
        <v>35</v>
      </c>
      <c r="D88" s="1" t="s">
        <v>475</v>
      </c>
      <c r="E88" t="s">
        <v>150</v>
      </c>
      <c r="F88" s="6">
        <v>340933</v>
      </c>
      <c r="G88" s="6">
        <v>266989</v>
      </c>
      <c r="H88" s="6">
        <v>57184</v>
      </c>
      <c r="I88" s="6">
        <v>209805</v>
      </c>
      <c r="J88" s="6">
        <v>73944</v>
      </c>
      <c r="K88">
        <v>178</v>
      </c>
      <c r="L88" s="6">
        <v>283927</v>
      </c>
      <c r="M88">
        <v>326</v>
      </c>
      <c r="N88">
        <v>90</v>
      </c>
      <c r="O88">
        <v>416</v>
      </c>
      <c r="P88" s="6">
        <v>42007</v>
      </c>
      <c r="Q88" s="6">
        <v>0</v>
      </c>
      <c r="R88" s="6">
        <v>56411</v>
      </c>
      <c r="S88" s="6">
        <v>62882</v>
      </c>
      <c r="T88" s="6">
        <v>445643</v>
      </c>
      <c r="U88" s="6">
        <v>252137</v>
      </c>
      <c r="V88" s="6">
        <v>193506</v>
      </c>
    </row>
    <row r="89" spans="1:22" x14ac:dyDescent="0.25">
      <c r="A89">
        <v>2026</v>
      </c>
      <c r="B89" s="1" t="s">
        <v>5</v>
      </c>
      <c r="C89" t="s">
        <v>33</v>
      </c>
      <c r="D89" s="1" t="s">
        <v>476</v>
      </c>
      <c r="E89" t="s">
        <v>151</v>
      </c>
      <c r="F89" s="6">
        <v>4271001</v>
      </c>
      <c r="G89" s="6">
        <v>3244512</v>
      </c>
      <c r="H89" s="6">
        <v>694923</v>
      </c>
      <c r="I89" s="6">
        <v>2549589</v>
      </c>
      <c r="J89" s="6">
        <v>1026489</v>
      </c>
      <c r="K89">
        <v>0</v>
      </c>
      <c r="L89" s="6">
        <v>3576078</v>
      </c>
      <c r="M89" s="6">
        <v>8407</v>
      </c>
      <c r="N89" s="6">
        <v>2660</v>
      </c>
      <c r="O89" s="6">
        <v>11067</v>
      </c>
      <c r="P89" s="6">
        <v>423550</v>
      </c>
      <c r="Q89" s="6">
        <v>0</v>
      </c>
      <c r="R89" s="6">
        <v>768959</v>
      </c>
      <c r="S89" s="6">
        <v>856506</v>
      </c>
      <c r="T89" s="6">
        <v>5636160</v>
      </c>
      <c r="U89" s="6">
        <v>2981546</v>
      </c>
      <c r="V89" s="6">
        <v>2654614</v>
      </c>
    </row>
    <row r="90" spans="1:22" x14ac:dyDescent="0.25">
      <c r="A90">
        <v>2026</v>
      </c>
      <c r="B90" s="1" t="s">
        <v>7</v>
      </c>
      <c r="C90" t="s">
        <v>35</v>
      </c>
      <c r="D90" s="1" t="s">
        <v>477</v>
      </c>
      <c r="E90" t="s">
        <v>152</v>
      </c>
      <c r="F90" s="6">
        <v>140913</v>
      </c>
      <c r="G90" s="6">
        <v>110350</v>
      </c>
      <c r="H90" s="6">
        <v>23635</v>
      </c>
      <c r="I90" s="6">
        <v>86715</v>
      </c>
      <c r="J90" s="6">
        <v>30563</v>
      </c>
      <c r="K90" s="6">
        <v>12769</v>
      </c>
      <c r="L90" s="6">
        <v>130047</v>
      </c>
      <c r="M90">
        <v>135</v>
      </c>
      <c r="N90">
        <v>38</v>
      </c>
      <c r="O90">
        <v>173</v>
      </c>
      <c r="P90" s="6">
        <v>17626</v>
      </c>
      <c r="Q90" s="6">
        <v>0</v>
      </c>
      <c r="R90" s="6">
        <v>23570</v>
      </c>
      <c r="S90" s="6">
        <v>26274</v>
      </c>
      <c r="T90" s="6">
        <v>197690</v>
      </c>
      <c r="U90" s="6">
        <v>104477</v>
      </c>
      <c r="V90" s="6">
        <v>93213</v>
      </c>
    </row>
    <row r="91" spans="1:22" x14ac:dyDescent="0.25">
      <c r="A91">
        <v>2026</v>
      </c>
      <c r="B91" s="1" t="s">
        <v>8</v>
      </c>
      <c r="C91" t="s">
        <v>36</v>
      </c>
      <c r="D91" s="1" t="s">
        <v>478</v>
      </c>
      <c r="E91" t="s">
        <v>153</v>
      </c>
      <c r="F91" s="6">
        <v>184790</v>
      </c>
      <c r="G91" s="6">
        <v>145687</v>
      </c>
      <c r="H91" s="6">
        <v>31204</v>
      </c>
      <c r="I91" s="6">
        <v>114483</v>
      </c>
      <c r="J91" s="6">
        <v>39103</v>
      </c>
      <c r="K91" s="6">
        <v>8250</v>
      </c>
      <c r="L91" s="6">
        <v>161836</v>
      </c>
      <c r="M91">
        <v>248</v>
      </c>
      <c r="N91">
        <v>67</v>
      </c>
      <c r="O91">
        <v>315</v>
      </c>
      <c r="P91" s="6">
        <v>17310</v>
      </c>
      <c r="Q91" s="6">
        <v>0</v>
      </c>
      <c r="R91" s="6">
        <v>30845</v>
      </c>
      <c r="S91" s="6">
        <v>33729</v>
      </c>
      <c r="T91" s="6">
        <v>244035</v>
      </c>
      <c r="U91" s="6">
        <v>132041</v>
      </c>
      <c r="V91" s="6">
        <v>111994</v>
      </c>
    </row>
    <row r="92" spans="1:22" x14ac:dyDescent="0.25">
      <c r="A92">
        <v>2026</v>
      </c>
      <c r="B92" s="1" t="s">
        <v>6</v>
      </c>
      <c r="C92" t="s">
        <v>34</v>
      </c>
      <c r="D92" s="1" t="s">
        <v>479</v>
      </c>
      <c r="E92" t="s">
        <v>154</v>
      </c>
      <c r="F92" s="6">
        <v>394323</v>
      </c>
      <c r="G92" s="6">
        <v>303098</v>
      </c>
      <c r="H92" s="6">
        <v>64918</v>
      </c>
      <c r="I92" s="6">
        <v>238180</v>
      </c>
      <c r="J92" s="6">
        <v>91225</v>
      </c>
      <c r="K92">
        <v>499</v>
      </c>
      <c r="L92" s="6">
        <v>329904</v>
      </c>
      <c r="M92">
        <v>0</v>
      </c>
      <c r="N92">
        <v>0</v>
      </c>
      <c r="O92">
        <v>0</v>
      </c>
      <c r="P92" s="6">
        <v>41799</v>
      </c>
      <c r="Q92" s="6">
        <v>0</v>
      </c>
      <c r="R92" s="6">
        <v>64099</v>
      </c>
      <c r="S92" s="6">
        <v>71770</v>
      </c>
      <c r="T92" s="6">
        <v>507572</v>
      </c>
      <c r="U92" s="6">
        <v>279979</v>
      </c>
      <c r="V92" s="6">
        <v>227593</v>
      </c>
    </row>
    <row r="93" spans="1:22" x14ac:dyDescent="0.25">
      <c r="A93">
        <v>2026</v>
      </c>
      <c r="B93" s="1" t="s">
        <v>10</v>
      </c>
      <c r="C93" t="s">
        <v>38</v>
      </c>
      <c r="D93" s="1" t="s">
        <v>480</v>
      </c>
      <c r="E93" t="s">
        <v>155</v>
      </c>
      <c r="F93" s="6">
        <v>211573</v>
      </c>
      <c r="G93" s="6">
        <v>171214</v>
      </c>
      <c r="H93" s="6">
        <v>36672</v>
      </c>
      <c r="I93" s="6">
        <v>134542</v>
      </c>
      <c r="J93" s="6">
        <v>40359</v>
      </c>
      <c r="K93">
        <v>0</v>
      </c>
      <c r="L93" s="6">
        <v>174901</v>
      </c>
      <c r="M93">
        <v>0</v>
      </c>
      <c r="N93">
        <v>0</v>
      </c>
      <c r="O93">
        <v>0</v>
      </c>
      <c r="P93" s="6">
        <v>18182</v>
      </c>
      <c r="Q93" s="6">
        <v>0</v>
      </c>
      <c r="R93" s="6">
        <v>37684</v>
      </c>
      <c r="S93" s="6">
        <v>41414</v>
      </c>
      <c r="T93" s="6">
        <v>272181</v>
      </c>
      <c r="U93" s="6">
        <v>152724</v>
      </c>
      <c r="V93" s="6">
        <v>119457</v>
      </c>
    </row>
    <row r="94" spans="1:22" x14ac:dyDescent="0.25">
      <c r="A94">
        <v>2026</v>
      </c>
      <c r="B94" s="1" t="s">
        <v>7</v>
      </c>
      <c r="C94" t="s">
        <v>35</v>
      </c>
      <c r="D94" s="1" t="s">
        <v>481</v>
      </c>
      <c r="E94" t="s">
        <v>156</v>
      </c>
      <c r="F94" s="6">
        <v>201289</v>
      </c>
      <c r="G94" s="6">
        <v>157632</v>
      </c>
      <c r="H94" s="6">
        <v>33762</v>
      </c>
      <c r="I94" s="6">
        <v>123870</v>
      </c>
      <c r="J94" s="6">
        <v>43657</v>
      </c>
      <c r="K94" s="6">
        <v>13471</v>
      </c>
      <c r="L94" s="6">
        <v>180998</v>
      </c>
      <c r="M94">
        <v>193</v>
      </c>
      <c r="N94">
        <v>54</v>
      </c>
      <c r="O94">
        <v>247</v>
      </c>
      <c r="P94" s="6">
        <v>26401</v>
      </c>
      <c r="Q94" s="6">
        <v>0</v>
      </c>
      <c r="R94" s="6">
        <v>33690</v>
      </c>
      <c r="S94" s="6">
        <v>37554</v>
      </c>
      <c r="T94" s="6">
        <v>278890</v>
      </c>
      <c r="U94" s="6">
        <v>150464</v>
      </c>
      <c r="V94" s="6">
        <v>128426</v>
      </c>
    </row>
    <row r="95" spans="1:22" x14ac:dyDescent="0.25">
      <c r="A95">
        <v>2026</v>
      </c>
      <c r="B95" s="1" t="s">
        <v>7</v>
      </c>
      <c r="C95" t="s">
        <v>35</v>
      </c>
      <c r="D95" s="1" t="s">
        <v>482</v>
      </c>
      <c r="E95" t="s">
        <v>157</v>
      </c>
      <c r="F95" s="6">
        <v>199971</v>
      </c>
      <c r="G95" s="6">
        <v>156600</v>
      </c>
      <c r="H95" s="6">
        <v>33541</v>
      </c>
      <c r="I95" s="6">
        <v>123059</v>
      </c>
      <c r="J95" s="6">
        <v>43371</v>
      </c>
      <c r="K95" s="6">
        <v>15632</v>
      </c>
      <c r="L95" s="6">
        <v>182062</v>
      </c>
      <c r="M95">
        <v>190</v>
      </c>
      <c r="N95">
        <v>53</v>
      </c>
      <c r="O95">
        <v>243</v>
      </c>
      <c r="P95" s="6">
        <v>24960</v>
      </c>
      <c r="Q95" s="6">
        <v>0</v>
      </c>
      <c r="R95" s="6">
        <v>32906</v>
      </c>
      <c r="S95" s="6">
        <v>36681</v>
      </c>
      <c r="T95" s="6">
        <v>276852</v>
      </c>
      <c r="U95" s="6">
        <v>148209</v>
      </c>
      <c r="V95" s="6">
        <v>128643</v>
      </c>
    </row>
    <row r="96" spans="1:22" x14ac:dyDescent="0.25">
      <c r="A96">
        <v>2026</v>
      </c>
      <c r="B96" s="1" t="s">
        <v>12</v>
      </c>
      <c r="C96" t="s">
        <v>40</v>
      </c>
      <c r="D96" s="1" t="s">
        <v>483</v>
      </c>
      <c r="E96" t="s">
        <v>158</v>
      </c>
      <c r="F96" s="6">
        <v>221698</v>
      </c>
      <c r="G96" s="6">
        <v>175266</v>
      </c>
      <c r="H96" s="6">
        <v>37539</v>
      </c>
      <c r="I96" s="6">
        <v>137727</v>
      </c>
      <c r="J96" s="6">
        <v>46432</v>
      </c>
      <c r="K96">
        <v>0</v>
      </c>
      <c r="L96" s="6">
        <v>184159</v>
      </c>
      <c r="M96">
        <v>359</v>
      </c>
      <c r="N96">
        <v>95</v>
      </c>
      <c r="O96">
        <v>454</v>
      </c>
      <c r="P96" s="6">
        <v>22765</v>
      </c>
      <c r="Q96" s="6">
        <v>0</v>
      </c>
      <c r="R96" s="6">
        <v>36069</v>
      </c>
      <c r="S96" s="6">
        <v>39882</v>
      </c>
      <c r="T96" s="6">
        <v>283329</v>
      </c>
      <c r="U96" s="6">
        <v>160850</v>
      </c>
      <c r="V96" s="6">
        <v>122479</v>
      </c>
    </row>
    <row r="97" spans="1:22" x14ac:dyDescent="0.25">
      <c r="A97">
        <v>2026</v>
      </c>
      <c r="B97" s="1" t="s">
        <v>6</v>
      </c>
      <c r="C97" t="s">
        <v>34</v>
      </c>
      <c r="D97" s="1" t="s">
        <v>484</v>
      </c>
      <c r="E97" t="s">
        <v>159</v>
      </c>
      <c r="F97" s="6">
        <v>324190</v>
      </c>
      <c r="G97" s="6">
        <v>249189</v>
      </c>
      <c r="H97" s="6">
        <v>53373</v>
      </c>
      <c r="I97" s="6">
        <v>195816</v>
      </c>
      <c r="J97" s="6">
        <v>75001</v>
      </c>
      <c r="K97" s="6">
        <v>7392</v>
      </c>
      <c r="L97" s="6">
        <v>278209</v>
      </c>
      <c r="M97">
        <v>0</v>
      </c>
      <c r="N97">
        <v>0</v>
      </c>
      <c r="O97">
        <v>0</v>
      </c>
      <c r="P97" s="6">
        <v>35104</v>
      </c>
      <c r="Q97" s="6">
        <v>0</v>
      </c>
      <c r="R97" s="6">
        <v>56584</v>
      </c>
      <c r="S97" s="6">
        <v>63357</v>
      </c>
      <c r="T97" s="6">
        <v>433254</v>
      </c>
      <c r="U97" s="6">
        <v>230920</v>
      </c>
      <c r="V97" s="6">
        <v>202334</v>
      </c>
    </row>
    <row r="98" spans="1:22" x14ac:dyDescent="0.25">
      <c r="A98">
        <v>2026</v>
      </c>
      <c r="B98" s="1" t="s">
        <v>12</v>
      </c>
      <c r="C98" t="s">
        <v>40</v>
      </c>
      <c r="D98" s="1" t="s">
        <v>485</v>
      </c>
      <c r="E98" t="s">
        <v>160</v>
      </c>
      <c r="F98" s="6">
        <v>175897</v>
      </c>
      <c r="G98" s="6">
        <v>139057</v>
      </c>
      <c r="H98" s="6">
        <v>29784</v>
      </c>
      <c r="I98" s="6">
        <v>109273</v>
      </c>
      <c r="J98" s="6">
        <v>36840</v>
      </c>
      <c r="K98" s="6">
        <v>5242</v>
      </c>
      <c r="L98" s="6">
        <v>151355</v>
      </c>
      <c r="M98">
        <v>284</v>
      </c>
      <c r="N98">
        <v>76</v>
      </c>
      <c r="O98">
        <v>360</v>
      </c>
      <c r="P98" s="6">
        <v>18062</v>
      </c>
      <c r="Q98" s="6">
        <v>0</v>
      </c>
      <c r="R98" s="6">
        <v>29830</v>
      </c>
      <c r="S98" s="6">
        <v>32984</v>
      </c>
      <c r="T98" s="6">
        <v>232591</v>
      </c>
      <c r="U98" s="6">
        <v>127619</v>
      </c>
      <c r="V98" s="6">
        <v>104972</v>
      </c>
    </row>
    <row r="99" spans="1:22" x14ac:dyDescent="0.25">
      <c r="A99">
        <v>2026</v>
      </c>
      <c r="B99" s="1" t="s">
        <v>5</v>
      </c>
      <c r="C99" t="s">
        <v>33</v>
      </c>
      <c r="D99" s="1" t="s">
        <v>486</v>
      </c>
      <c r="E99" t="s">
        <v>161</v>
      </c>
      <c r="F99" s="6">
        <v>126533</v>
      </c>
      <c r="G99" s="6">
        <v>96123</v>
      </c>
      <c r="H99" s="6">
        <v>20588</v>
      </c>
      <c r="I99" s="6">
        <v>75535</v>
      </c>
      <c r="J99" s="6">
        <v>30410</v>
      </c>
      <c r="K99" s="6">
        <v>4789</v>
      </c>
      <c r="L99" s="6">
        <v>110734</v>
      </c>
      <c r="M99">
        <v>248</v>
      </c>
      <c r="N99">
        <v>79</v>
      </c>
      <c r="O99">
        <v>327</v>
      </c>
      <c r="P99" s="6">
        <v>12548</v>
      </c>
      <c r="Q99" s="6">
        <v>0</v>
      </c>
      <c r="R99" s="6">
        <v>20687</v>
      </c>
      <c r="S99" s="6">
        <v>23043</v>
      </c>
      <c r="T99" s="6">
        <v>167339</v>
      </c>
      <c r="U99" s="6">
        <v>88331</v>
      </c>
      <c r="V99" s="6">
        <v>79008</v>
      </c>
    </row>
    <row r="100" spans="1:22" x14ac:dyDescent="0.25">
      <c r="A100">
        <v>2026</v>
      </c>
      <c r="B100" s="1" t="s">
        <v>8</v>
      </c>
      <c r="C100" t="s">
        <v>36</v>
      </c>
      <c r="D100" s="1" t="s">
        <v>487</v>
      </c>
      <c r="E100" t="s">
        <v>162</v>
      </c>
      <c r="F100" s="6">
        <v>211466</v>
      </c>
      <c r="G100" s="6">
        <v>166718</v>
      </c>
      <c r="H100" s="6">
        <v>35708</v>
      </c>
      <c r="I100" s="6">
        <v>131010</v>
      </c>
      <c r="J100" s="6">
        <v>44748</v>
      </c>
      <c r="K100" s="6">
        <v>10683</v>
      </c>
      <c r="L100" s="6">
        <v>186441</v>
      </c>
      <c r="M100">
        <v>284</v>
      </c>
      <c r="N100">
        <v>77</v>
      </c>
      <c r="O100">
        <v>361</v>
      </c>
      <c r="P100" s="6">
        <v>20169</v>
      </c>
      <c r="Q100" s="6">
        <v>0</v>
      </c>
      <c r="R100" s="6">
        <v>34538</v>
      </c>
      <c r="S100" s="6">
        <v>37768</v>
      </c>
      <c r="T100" s="6">
        <v>279277</v>
      </c>
      <c r="U100" s="6">
        <v>151463</v>
      </c>
      <c r="V100" s="6">
        <v>127814</v>
      </c>
    </row>
    <row r="101" spans="1:22" x14ac:dyDescent="0.25">
      <c r="A101">
        <v>2026</v>
      </c>
      <c r="B101" s="1" t="s">
        <v>13</v>
      </c>
      <c r="C101" t="s">
        <v>41</v>
      </c>
      <c r="D101" s="1" t="s">
        <v>488</v>
      </c>
      <c r="E101" t="s">
        <v>163</v>
      </c>
      <c r="F101" s="6">
        <v>300859</v>
      </c>
      <c r="G101" s="6">
        <v>239659</v>
      </c>
      <c r="H101" s="6">
        <v>51332</v>
      </c>
      <c r="I101" s="6">
        <v>188327</v>
      </c>
      <c r="J101" s="6">
        <v>61200</v>
      </c>
      <c r="K101" s="6">
        <v>6723</v>
      </c>
      <c r="L101" s="6">
        <v>256250</v>
      </c>
      <c r="M101">
        <v>549</v>
      </c>
      <c r="N101">
        <v>140</v>
      </c>
      <c r="O101">
        <v>689</v>
      </c>
      <c r="P101" s="6">
        <v>30270</v>
      </c>
      <c r="Q101" s="6">
        <v>0</v>
      </c>
      <c r="R101" s="6">
        <v>52423</v>
      </c>
      <c r="S101" s="6">
        <v>57644</v>
      </c>
      <c r="T101" s="6">
        <v>397276</v>
      </c>
      <c r="U101" s="6">
        <v>219146</v>
      </c>
      <c r="V101" s="6">
        <v>178130</v>
      </c>
    </row>
    <row r="102" spans="1:22" x14ac:dyDescent="0.25">
      <c r="A102">
        <v>2026</v>
      </c>
      <c r="B102" s="1" t="s">
        <v>5</v>
      </c>
      <c r="C102" t="s">
        <v>33</v>
      </c>
      <c r="D102" s="1" t="s">
        <v>489</v>
      </c>
      <c r="E102" t="s">
        <v>164</v>
      </c>
      <c r="F102" s="6">
        <v>150345</v>
      </c>
      <c r="G102" s="6">
        <v>114212</v>
      </c>
      <c r="H102" s="6">
        <v>24462</v>
      </c>
      <c r="I102" s="6">
        <v>89750</v>
      </c>
      <c r="J102" s="6">
        <v>36133</v>
      </c>
      <c r="K102">
        <v>0</v>
      </c>
      <c r="L102" s="6">
        <v>125883</v>
      </c>
      <c r="M102">
        <v>295</v>
      </c>
      <c r="N102">
        <v>94</v>
      </c>
      <c r="O102">
        <v>389</v>
      </c>
      <c r="P102" s="6">
        <v>14910</v>
      </c>
      <c r="Q102" s="6">
        <v>0</v>
      </c>
      <c r="R102" s="6">
        <v>26039</v>
      </c>
      <c r="S102" s="6">
        <v>29003</v>
      </c>
      <c r="T102" s="6">
        <v>196224</v>
      </c>
      <c r="U102" s="6">
        <v>104955</v>
      </c>
      <c r="V102" s="6">
        <v>91269</v>
      </c>
    </row>
    <row r="103" spans="1:22" x14ac:dyDescent="0.25">
      <c r="A103">
        <v>2026</v>
      </c>
      <c r="B103" s="1" t="s">
        <v>7</v>
      </c>
      <c r="C103" t="s">
        <v>35</v>
      </c>
      <c r="D103" s="1" t="s">
        <v>490</v>
      </c>
      <c r="E103" t="s">
        <v>165</v>
      </c>
      <c r="F103" s="6">
        <v>216148</v>
      </c>
      <c r="G103" s="6">
        <v>169268</v>
      </c>
      <c r="H103" s="6">
        <v>36254</v>
      </c>
      <c r="I103" s="6">
        <v>133014</v>
      </c>
      <c r="J103" s="6">
        <v>46880</v>
      </c>
      <c r="K103" s="6">
        <v>19353</v>
      </c>
      <c r="L103" s="6">
        <v>199247</v>
      </c>
      <c r="M103">
        <v>207</v>
      </c>
      <c r="N103">
        <v>57</v>
      </c>
      <c r="O103">
        <v>264</v>
      </c>
      <c r="P103" s="6">
        <v>27421</v>
      </c>
      <c r="Q103" s="6">
        <v>0</v>
      </c>
      <c r="R103" s="6">
        <v>35126</v>
      </c>
      <c r="S103" s="6">
        <v>39156</v>
      </c>
      <c r="T103" s="6">
        <v>301214</v>
      </c>
      <c r="U103" s="6">
        <v>160642</v>
      </c>
      <c r="V103" s="6">
        <v>140572</v>
      </c>
    </row>
    <row r="104" spans="1:22" x14ac:dyDescent="0.25">
      <c r="A104">
        <v>2026</v>
      </c>
      <c r="B104" s="1" t="s">
        <v>6</v>
      </c>
      <c r="C104" t="s">
        <v>34</v>
      </c>
      <c r="D104" s="1" t="s">
        <v>491</v>
      </c>
      <c r="E104" t="s">
        <v>166</v>
      </c>
      <c r="F104" s="6">
        <v>251877</v>
      </c>
      <c r="G104" s="6">
        <v>193606</v>
      </c>
      <c r="H104" s="6">
        <v>41467</v>
      </c>
      <c r="I104" s="6">
        <v>152139</v>
      </c>
      <c r="J104" s="6">
        <v>58271</v>
      </c>
      <c r="K104" s="6">
        <v>13389</v>
      </c>
      <c r="L104" s="6">
        <v>223799</v>
      </c>
      <c r="M104">
        <v>0</v>
      </c>
      <c r="N104">
        <v>0</v>
      </c>
      <c r="O104">
        <v>0</v>
      </c>
      <c r="P104" s="6">
        <v>27860</v>
      </c>
      <c r="Q104" s="6">
        <v>0</v>
      </c>
      <c r="R104" s="6">
        <v>44954</v>
      </c>
      <c r="S104" s="6">
        <v>50334</v>
      </c>
      <c r="T104" s="6">
        <v>346947</v>
      </c>
      <c r="U104" s="6">
        <v>179999</v>
      </c>
      <c r="V104" s="6">
        <v>166948</v>
      </c>
    </row>
    <row r="105" spans="1:22" x14ac:dyDescent="0.25">
      <c r="A105">
        <v>2026</v>
      </c>
      <c r="B105" s="1" t="s">
        <v>9</v>
      </c>
      <c r="C105" t="s">
        <v>37</v>
      </c>
      <c r="D105" s="1" t="s">
        <v>492</v>
      </c>
      <c r="E105" t="s">
        <v>167</v>
      </c>
      <c r="F105" s="6">
        <v>171639</v>
      </c>
      <c r="G105" s="6">
        <v>136065</v>
      </c>
      <c r="H105" s="6">
        <v>29143</v>
      </c>
      <c r="I105" s="6">
        <v>106922</v>
      </c>
      <c r="J105" s="6">
        <v>35574</v>
      </c>
      <c r="K105" s="6">
        <v>3547</v>
      </c>
      <c r="L105" s="6">
        <v>146043</v>
      </c>
      <c r="M105">
        <v>152</v>
      </c>
      <c r="N105">
        <v>39</v>
      </c>
      <c r="O105">
        <v>191</v>
      </c>
      <c r="P105" s="6">
        <v>16308</v>
      </c>
      <c r="Q105" s="6">
        <v>0</v>
      </c>
      <c r="R105" s="6">
        <v>29241</v>
      </c>
      <c r="S105" s="6">
        <v>32157</v>
      </c>
      <c r="T105" s="6">
        <v>223940</v>
      </c>
      <c r="U105" s="6">
        <v>123382</v>
      </c>
      <c r="V105" s="6">
        <v>100558</v>
      </c>
    </row>
    <row r="106" spans="1:22" x14ac:dyDescent="0.25">
      <c r="A106">
        <v>2026</v>
      </c>
      <c r="B106" s="1" t="s">
        <v>12</v>
      </c>
      <c r="C106" t="s">
        <v>40</v>
      </c>
      <c r="D106" s="1" t="s">
        <v>493</v>
      </c>
      <c r="E106" t="s">
        <v>168</v>
      </c>
      <c r="F106" s="6">
        <v>64381</v>
      </c>
      <c r="G106" s="6">
        <v>50897</v>
      </c>
      <c r="H106" s="6">
        <v>10902</v>
      </c>
      <c r="I106" s="6">
        <v>39995</v>
      </c>
      <c r="J106" s="6">
        <v>13484</v>
      </c>
      <c r="K106" s="6">
        <v>8764</v>
      </c>
      <c r="L106" s="6">
        <v>62243</v>
      </c>
      <c r="M106">
        <v>105</v>
      </c>
      <c r="N106">
        <v>28</v>
      </c>
      <c r="O106">
        <v>133</v>
      </c>
      <c r="P106" s="6">
        <v>6790</v>
      </c>
      <c r="Q106">
        <v>0</v>
      </c>
      <c r="R106" s="6">
        <v>10918</v>
      </c>
      <c r="S106" s="6">
        <v>12072</v>
      </c>
      <c r="T106" s="6">
        <v>92156</v>
      </c>
      <c r="U106" s="6">
        <v>46890</v>
      </c>
      <c r="V106" s="6">
        <v>45266</v>
      </c>
    </row>
    <row r="107" spans="1:22" x14ac:dyDescent="0.25">
      <c r="A107">
        <v>2026</v>
      </c>
      <c r="B107" s="1" t="s">
        <v>6</v>
      </c>
      <c r="C107" t="s">
        <v>34</v>
      </c>
      <c r="D107" s="1" t="s">
        <v>494</v>
      </c>
      <c r="E107" t="s">
        <v>169</v>
      </c>
      <c r="F107" s="6">
        <v>462295</v>
      </c>
      <c r="G107" s="6">
        <v>355344</v>
      </c>
      <c r="H107" s="6">
        <v>76109</v>
      </c>
      <c r="I107" s="6">
        <v>279235</v>
      </c>
      <c r="J107" s="6">
        <v>106951</v>
      </c>
      <c r="K107" s="6">
        <v>4719</v>
      </c>
      <c r="L107" s="6">
        <v>390905</v>
      </c>
      <c r="M107">
        <v>0</v>
      </c>
      <c r="N107">
        <v>0</v>
      </c>
      <c r="O107">
        <v>0</v>
      </c>
      <c r="P107" s="6">
        <v>48911</v>
      </c>
      <c r="Q107" s="6">
        <v>0</v>
      </c>
      <c r="R107" s="6">
        <v>75010</v>
      </c>
      <c r="S107" s="6">
        <v>83988</v>
      </c>
      <c r="T107" s="6">
        <v>598814</v>
      </c>
      <c r="U107" s="6">
        <v>328146</v>
      </c>
      <c r="V107" s="6">
        <v>270668</v>
      </c>
    </row>
    <row r="108" spans="1:22" x14ac:dyDescent="0.25">
      <c r="A108">
        <v>2026</v>
      </c>
      <c r="B108" s="1" t="s">
        <v>10</v>
      </c>
      <c r="C108" t="s">
        <v>38</v>
      </c>
      <c r="D108" s="1" t="s">
        <v>495</v>
      </c>
      <c r="E108" t="s">
        <v>170</v>
      </c>
      <c r="F108" s="6">
        <v>163784</v>
      </c>
      <c r="G108" s="6">
        <v>132541</v>
      </c>
      <c r="H108" s="6">
        <v>28388</v>
      </c>
      <c r="I108" s="6">
        <v>104153</v>
      </c>
      <c r="J108" s="6">
        <v>31243</v>
      </c>
      <c r="K108">
        <v>0</v>
      </c>
      <c r="L108" s="6">
        <v>135396</v>
      </c>
      <c r="M108">
        <v>0</v>
      </c>
      <c r="N108">
        <v>0</v>
      </c>
      <c r="O108">
        <v>0</v>
      </c>
      <c r="P108" s="6">
        <v>14075</v>
      </c>
      <c r="Q108" s="6">
        <v>0</v>
      </c>
      <c r="R108" s="6">
        <v>27501</v>
      </c>
      <c r="S108" s="6">
        <v>30223</v>
      </c>
      <c r="T108" s="6">
        <v>207195</v>
      </c>
      <c r="U108" s="6">
        <v>118228</v>
      </c>
      <c r="V108" s="6">
        <v>88967</v>
      </c>
    </row>
    <row r="109" spans="1:22" x14ac:dyDescent="0.25">
      <c r="A109">
        <v>2026</v>
      </c>
      <c r="B109" s="1" t="s">
        <v>13</v>
      </c>
      <c r="C109" t="s">
        <v>41</v>
      </c>
      <c r="D109" s="1" t="s">
        <v>496</v>
      </c>
      <c r="E109" t="s">
        <v>171</v>
      </c>
      <c r="F109" s="6">
        <v>591739</v>
      </c>
      <c r="G109" s="6">
        <v>471369</v>
      </c>
      <c r="H109" s="6">
        <v>100959</v>
      </c>
      <c r="I109" s="6">
        <v>370410</v>
      </c>
      <c r="J109" s="6">
        <v>120370</v>
      </c>
      <c r="K109" s="6">
        <v>14616</v>
      </c>
      <c r="L109" s="6">
        <v>505396</v>
      </c>
      <c r="M109" s="6">
        <v>1076</v>
      </c>
      <c r="N109">
        <v>275</v>
      </c>
      <c r="O109" s="6">
        <v>1351</v>
      </c>
      <c r="P109" s="6">
        <v>60397</v>
      </c>
      <c r="Q109" s="6">
        <v>0</v>
      </c>
      <c r="R109" s="6">
        <v>107704</v>
      </c>
      <c r="S109" s="6">
        <v>118431</v>
      </c>
      <c r="T109" s="6">
        <v>793279</v>
      </c>
      <c r="U109" s="6">
        <v>431884</v>
      </c>
      <c r="V109" s="6">
        <v>361395</v>
      </c>
    </row>
    <row r="110" spans="1:22" x14ac:dyDescent="0.25">
      <c r="A110">
        <v>2026</v>
      </c>
      <c r="B110" s="1" t="s">
        <v>7</v>
      </c>
      <c r="C110" t="s">
        <v>35</v>
      </c>
      <c r="D110" s="1" t="s">
        <v>497</v>
      </c>
      <c r="E110" t="s">
        <v>172</v>
      </c>
      <c r="F110" s="6">
        <v>418480</v>
      </c>
      <c r="G110" s="6">
        <v>327717</v>
      </c>
      <c r="H110" s="6">
        <v>70192</v>
      </c>
      <c r="I110" s="6">
        <v>257525</v>
      </c>
      <c r="J110" s="6">
        <v>90763</v>
      </c>
      <c r="K110" s="6">
        <v>4849</v>
      </c>
      <c r="L110" s="6">
        <v>353137</v>
      </c>
      <c r="M110">
        <v>400</v>
      </c>
      <c r="N110">
        <v>111</v>
      </c>
      <c r="O110">
        <v>511</v>
      </c>
      <c r="P110" s="6">
        <v>52132</v>
      </c>
      <c r="Q110" s="6">
        <v>0</v>
      </c>
      <c r="R110" s="6">
        <v>68555</v>
      </c>
      <c r="S110" s="6">
        <v>76419</v>
      </c>
      <c r="T110" s="6">
        <v>550754</v>
      </c>
      <c r="U110" s="6">
        <v>310057</v>
      </c>
      <c r="V110" s="6">
        <v>240697</v>
      </c>
    </row>
    <row r="111" spans="1:22" x14ac:dyDescent="0.25">
      <c r="A111">
        <v>2026</v>
      </c>
      <c r="B111" s="1" t="s">
        <v>6</v>
      </c>
      <c r="C111" t="s">
        <v>34</v>
      </c>
      <c r="D111" s="1" t="s">
        <v>498</v>
      </c>
      <c r="E111" t="s">
        <v>173</v>
      </c>
      <c r="F111" s="6">
        <v>1402732</v>
      </c>
      <c r="G111" s="6">
        <v>1078213</v>
      </c>
      <c r="H111" s="6">
        <v>230936</v>
      </c>
      <c r="I111" s="6">
        <v>847277</v>
      </c>
      <c r="J111" s="6">
        <v>324519</v>
      </c>
      <c r="K111" s="6">
        <v>31911</v>
      </c>
      <c r="L111" s="6">
        <v>1203707</v>
      </c>
      <c r="M111">
        <v>0</v>
      </c>
      <c r="N111">
        <v>0</v>
      </c>
      <c r="O111">
        <v>0</v>
      </c>
      <c r="P111" s="6">
        <v>151883</v>
      </c>
      <c r="Q111" s="6">
        <v>0</v>
      </c>
      <c r="R111" s="6">
        <v>267110</v>
      </c>
      <c r="S111" s="6">
        <v>299078</v>
      </c>
      <c r="T111" s="6">
        <v>1921778</v>
      </c>
      <c r="U111" s="6">
        <v>999160</v>
      </c>
      <c r="V111" s="6">
        <v>922618</v>
      </c>
    </row>
    <row r="112" spans="1:22" x14ac:dyDescent="0.25">
      <c r="A112">
        <v>2026</v>
      </c>
      <c r="B112" s="1" t="s">
        <v>13</v>
      </c>
      <c r="C112" t="s">
        <v>41</v>
      </c>
      <c r="D112" s="1" t="s">
        <v>499</v>
      </c>
      <c r="E112" t="s">
        <v>174</v>
      </c>
      <c r="F112" s="6">
        <v>839060</v>
      </c>
      <c r="G112" s="6">
        <v>668381</v>
      </c>
      <c r="H112" s="6">
        <v>143156</v>
      </c>
      <c r="I112" s="6">
        <v>525225</v>
      </c>
      <c r="J112" s="6">
        <v>170679</v>
      </c>
      <c r="K112">
        <v>0</v>
      </c>
      <c r="L112" s="6">
        <v>695904</v>
      </c>
      <c r="M112" s="6">
        <v>1526</v>
      </c>
      <c r="N112">
        <v>390</v>
      </c>
      <c r="O112" s="6">
        <v>1916</v>
      </c>
      <c r="P112" s="6">
        <v>84419</v>
      </c>
      <c r="Q112" s="6">
        <v>0</v>
      </c>
      <c r="R112" s="6">
        <v>154410</v>
      </c>
      <c r="S112" s="6">
        <v>169789</v>
      </c>
      <c r="T112" s="6">
        <v>1106438</v>
      </c>
      <c r="U112" s="6">
        <v>611170</v>
      </c>
      <c r="V112" s="6">
        <v>495268</v>
      </c>
    </row>
    <row r="113" spans="1:22" x14ac:dyDescent="0.25">
      <c r="A113">
        <v>2026</v>
      </c>
      <c r="B113" s="1" t="s">
        <v>12</v>
      </c>
      <c r="C113" t="s">
        <v>40</v>
      </c>
      <c r="D113" s="1" t="s">
        <v>500</v>
      </c>
      <c r="E113" t="s">
        <v>175</v>
      </c>
      <c r="F113" s="6">
        <v>177070</v>
      </c>
      <c r="G113" s="6">
        <v>139984</v>
      </c>
      <c r="H113" s="6">
        <v>29982</v>
      </c>
      <c r="I113" s="6">
        <v>110002</v>
      </c>
      <c r="J113" s="6">
        <v>37086</v>
      </c>
      <c r="K113">
        <v>0</v>
      </c>
      <c r="L113" s="6">
        <v>147088</v>
      </c>
      <c r="M113">
        <v>287</v>
      </c>
      <c r="N113">
        <v>76</v>
      </c>
      <c r="O113">
        <v>363</v>
      </c>
      <c r="P113" s="6">
        <v>18183</v>
      </c>
      <c r="Q113" s="6">
        <v>0</v>
      </c>
      <c r="R113" s="6">
        <v>28921</v>
      </c>
      <c r="S113" s="6">
        <v>31978</v>
      </c>
      <c r="T113" s="6">
        <v>226533</v>
      </c>
      <c r="U113" s="6">
        <v>128472</v>
      </c>
      <c r="V113" s="6">
        <v>98061</v>
      </c>
    </row>
    <row r="114" spans="1:22" x14ac:dyDescent="0.25">
      <c r="A114">
        <v>2026</v>
      </c>
      <c r="B114" s="1" t="s">
        <v>11</v>
      </c>
      <c r="C114" t="s">
        <v>39</v>
      </c>
      <c r="D114" s="1" t="s">
        <v>501</v>
      </c>
      <c r="E114" t="s">
        <v>176</v>
      </c>
      <c r="F114" s="6">
        <v>183057</v>
      </c>
      <c r="G114" s="6">
        <v>142041</v>
      </c>
      <c r="H114" s="6">
        <v>30423</v>
      </c>
      <c r="I114" s="6">
        <v>111618</v>
      </c>
      <c r="J114" s="6">
        <v>41016</v>
      </c>
      <c r="K114">
        <v>0</v>
      </c>
      <c r="L114" s="6">
        <v>152634</v>
      </c>
      <c r="M114">
        <v>265</v>
      </c>
      <c r="N114">
        <v>76</v>
      </c>
      <c r="O114">
        <v>341</v>
      </c>
      <c r="P114" s="6">
        <v>18460</v>
      </c>
      <c r="Q114" s="6">
        <v>0</v>
      </c>
      <c r="R114" s="6">
        <v>30677</v>
      </c>
      <c r="S114" s="6">
        <v>34338</v>
      </c>
      <c r="T114" s="6">
        <v>236450</v>
      </c>
      <c r="U114" s="6">
        <v>130343</v>
      </c>
      <c r="V114" s="6">
        <v>106107</v>
      </c>
    </row>
    <row r="115" spans="1:22" x14ac:dyDescent="0.25">
      <c r="A115">
        <v>2026</v>
      </c>
      <c r="B115" s="1" t="s">
        <v>7</v>
      </c>
      <c r="C115" t="s">
        <v>35</v>
      </c>
      <c r="D115" s="1" t="s">
        <v>502</v>
      </c>
      <c r="E115" t="s">
        <v>177</v>
      </c>
      <c r="F115" s="6">
        <v>323861</v>
      </c>
      <c r="G115" s="6">
        <v>253619</v>
      </c>
      <c r="H115" s="6">
        <v>54322</v>
      </c>
      <c r="I115" s="6">
        <v>199297</v>
      </c>
      <c r="J115" s="6">
        <v>70242</v>
      </c>
      <c r="K115" s="6">
        <v>12289</v>
      </c>
      <c r="L115" s="6">
        <v>281828</v>
      </c>
      <c r="M115">
        <v>309</v>
      </c>
      <c r="N115">
        <v>86</v>
      </c>
      <c r="O115">
        <v>395</v>
      </c>
      <c r="P115" s="6">
        <v>39808</v>
      </c>
      <c r="Q115" s="6">
        <v>0</v>
      </c>
      <c r="R115" s="6">
        <v>56802</v>
      </c>
      <c r="S115" s="6">
        <v>63319</v>
      </c>
      <c r="T115" s="6">
        <v>442152</v>
      </c>
      <c r="U115" s="6">
        <v>239414</v>
      </c>
      <c r="V115" s="6">
        <v>202738</v>
      </c>
    </row>
    <row r="116" spans="1:22" x14ac:dyDescent="0.25">
      <c r="A116">
        <v>2026</v>
      </c>
      <c r="B116" s="1" t="s">
        <v>11</v>
      </c>
      <c r="C116" t="s">
        <v>39</v>
      </c>
      <c r="D116" s="1" t="s">
        <v>503</v>
      </c>
      <c r="E116" t="s">
        <v>178</v>
      </c>
      <c r="F116" s="6">
        <v>168431</v>
      </c>
      <c r="G116" s="6">
        <v>130692</v>
      </c>
      <c r="H116" s="6">
        <v>27992</v>
      </c>
      <c r="I116" s="6">
        <v>102700</v>
      </c>
      <c r="J116" s="6">
        <v>37739</v>
      </c>
      <c r="K116" s="6">
        <v>9006</v>
      </c>
      <c r="L116" s="6">
        <v>149445</v>
      </c>
      <c r="M116">
        <v>246</v>
      </c>
      <c r="N116">
        <v>71</v>
      </c>
      <c r="O116">
        <v>317</v>
      </c>
      <c r="P116" s="6">
        <v>17888</v>
      </c>
      <c r="Q116" s="6">
        <v>0</v>
      </c>
      <c r="R116" s="6">
        <v>27870</v>
      </c>
      <c r="S116" s="6">
        <v>31197</v>
      </c>
      <c r="T116" s="6">
        <v>226717</v>
      </c>
      <c r="U116" s="6">
        <v>120833</v>
      </c>
      <c r="V116" s="6">
        <v>105884</v>
      </c>
    </row>
    <row r="117" spans="1:22" x14ac:dyDescent="0.25">
      <c r="A117">
        <v>2026</v>
      </c>
      <c r="B117" s="1" t="s">
        <v>10</v>
      </c>
      <c r="C117" t="s">
        <v>38</v>
      </c>
      <c r="D117" s="1" t="s">
        <v>504</v>
      </c>
      <c r="E117" t="s">
        <v>179</v>
      </c>
      <c r="F117" s="6">
        <v>582858</v>
      </c>
      <c r="G117" s="6">
        <v>471673</v>
      </c>
      <c r="H117" s="6">
        <v>101024</v>
      </c>
      <c r="I117" s="6">
        <v>370649</v>
      </c>
      <c r="J117" s="6">
        <v>111185</v>
      </c>
      <c r="K117">
        <v>0</v>
      </c>
      <c r="L117" s="6">
        <v>481834</v>
      </c>
      <c r="M117">
        <v>0</v>
      </c>
      <c r="N117">
        <v>0</v>
      </c>
      <c r="O117">
        <v>0</v>
      </c>
      <c r="P117" s="6">
        <v>50090</v>
      </c>
      <c r="Q117" s="6">
        <v>0</v>
      </c>
      <c r="R117" s="6">
        <v>105852</v>
      </c>
      <c r="S117" s="6">
        <v>116329</v>
      </c>
      <c r="T117" s="6">
        <v>754105</v>
      </c>
      <c r="U117" s="6">
        <v>420739</v>
      </c>
      <c r="V117" s="6">
        <v>333366</v>
      </c>
    </row>
    <row r="118" spans="1:22" x14ac:dyDescent="0.25">
      <c r="A118">
        <v>2026</v>
      </c>
      <c r="B118" s="1" t="s">
        <v>6</v>
      </c>
      <c r="C118" t="s">
        <v>34</v>
      </c>
      <c r="D118" s="1" t="s">
        <v>505</v>
      </c>
      <c r="E118" t="s">
        <v>180</v>
      </c>
      <c r="F118" s="6">
        <v>65753</v>
      </c>
      <c r="G118" s="6">
        <v>50541</v>
      </c>
      <c r="H118" s="6">
        <v>10825</v>
      </c>
      <c r="I118" s="6">
        <v>39716</v>
      </c>
      <c r="J118" s="6">
        <v>15212</v>
      </c>
      <c r="K118" s="6">
        <v>7575</v>
      </c>
      <c r="L118" s="6">
        <v>62503</v>
      </c>
      <c r="M118">
        <v>0</v>
      </c>
      <c r="N118">
        <v>0</v>
      </c>
      <c r="O118">
        <v>0</v>
      </c>
      <c r="P118" s="6">
        <v>7022</v>
      </c>
      <c r="Q118">
        <v>0</v>
      </c>
      <c r="R118" s="6">
        <v>10520</v>
      </c>
      <c r="S118" s="6">
        <v>11779</v>
      </c>
      <c r="T118" s="6">
        <v>91824</v>
      </c>
      <c r="U118" s="6">
        <v>46738</v>
      </c>
      <c r="V118" s="6">
        <v>45086</v>
      </c>
    </row>
    <row r="119" spans="1:22" x14ac:dyDescent="0.25">
      <c r="A119">
        <v>2026</v>
      </c>
      <c r="B119" s="1" t="s">
        <v>7</v>
      </c>
      <c r="C119" t="s">
        <v>35</v>
      </c>
      <c r="D119" s="1" t="s">
        <v>506</v>
      </c>
      <c r="E119" t="s">
        <v>181</v>
      </c>
      <c r="F119" s="6">
        <v>247497</v>
      </c>
      <c r="G119" s="6">
        <v>193818</v>
      </c>
      <c r="H119" s="6">
        <v>41513</v>
      </c>
      <c r="I119" s="6">
        <v>152305</v>
      </c>
      <c r="J119" s="6">
        <v>53679</v>
      </c>
      <c r="K119">
        <v>0</v>
      </c>
      <c r="L119" s="6">
        <v>205984</v>
      </c>
      <c r="M119">
        <v>237</v>
      </c>
      <c r="N119">
        <v>66</v>
      </c>
      <c r="O119">
        <v>303</v>
      </c>
      <c r="P119" s="6">
        <v>30379</v>
      </c>
      <c r="Q119" s="6">
        <v>0</v>
      </c>
      <c r="R119" s="6">
        <v>40480</v>
      </c>
      <c r="S119" s="6">
        <v>45124</v>
      </c>
      <c r="T119" s="6">
        <v>322270</v>
      </c>
      <c r="U119" s="6">
        <v>182922</v>
      </c>
      <c r="V119" s="6">
        <v>139348</v>
      </c>
    </row>
    <row r="120" spans="1:22" x14ac:dyDescent="0.25">
      <c r="A120">
        <v>2026</v>
      </c>
      <c r="B120" s="1" t="s">
        <v>12</v>
      </c>
      <c r="C120" t="s">
        <v>40</v>
      </c>
      <c r="D120" s="1" t="s">
        <v>507</v>
      </c>
      <c r="E120" t="s">
        <v>182</v>
      </c>
      <c r="F120" s="6">
        <v>730390</v>
      </c>
      <c r="G120" s="6">
        <v>577417</v>
      </c>
      <c r="H120" s="6">
        <v>123673</v>
      </c>
      <c r="I120" s="6">
        <v>453744</v>
      </c>
      <c r="J120" s="6">
        <v>152973</v>
      </c>
      <c r="K120" s="6">
        <v>4838</v>
      </c>
      <c r="L120" s="6">
        <v>611555</v>
      </c>
      <c r="M120" s="6">
        <v>1179</v>
      </c>
      <c r="N120">
        <v>312</v>
      </c>
      <c r="O120" s="6">
        <v>1491</v>
      </c>
      <c r="P120" s="6">
        <v>75503</v>
      </c>
      <c r="Q120" s="6">
        <v>0</v>
      </c>
      <c r="R120" s="6">
        <v>123091</v>
      </c>
      <c r="S120" s="6">
        <v>136103</v>
      </c>
      <c r="T120" s="6">
        <v>947743</v>
      </c>
      <c r="U120" s="6">
        <v>530425</v>
      </c>
      <c r="V120" s="6">
        <v>417318</v>
      </c>
    </row>
    <row r="121" spans="1:22" x14ac:dyDescent="0.25">
      <c r="A121">
        <v>2026</v>
      </c>
      <c r="B121" s="1" t="s">
        <v>10</v>
      </c>
      <c r="C121" t="s">
        <v>38</v>
      </c>
      <c r="D121" s="1" t="s">
        <v>508</v>
      </c>
      <c r="E121" t="s">
        <v>183</v>
      </c>
      <c r="F121" s="6">
        <v>118706</v>
      </c>
      <c r="G121" s="6">
        <v>96062</v>
      </c>
      <c r="H121" s="6">
        <v>20575</v>
      </c>
      <c r="I121" s="6">
        <v>75487</v>
      </c>
      <c r="J121" s="6">
        <v>22644</v>
      </c>
      <c r="K121">
        <v>0</v>
      </c>
      <c r="L121" s="6">
        <v>98131</v>
      </c>
      <c r="M121">
        <v>0</v>
      </c>
      <c r="N121">
        <v>0</v>
      </c>
      <c r="O121">
        <v>0</v>
      </c>
      <c r="P121" s="6">
        <v>10201</v>
      </c>
      <c r="Q121" s="6">
        <v>0</v>
      </c>
      <c r="R121" s="6">
        <v>21469</v>
      </c>
      <c r="S121" s="6">
        <v>23594</v>
      </c>
      <c r="T121" s="6">
        <v>153395</v>
      </c>
      <c r="U121" s="6">
        <v>85688</v>
      </c>
      <c r="V121" s="6">
        <v>67707</v>
      </c>
    </row>
    <row r="122" spans="1:22" x14ac:dyDescent="0.25">
      <c r="A122">
        <v>2026</v>
      </c>
      <c r="B122" s="1" t="s">
        <v>7</v>
      </c>
      <c r="C122" t="s">
        <v>35</v>
      </c>
      <c r="D122" s="1" t="s">
        <v>509</v>
      </c>
      <c r="E122" t="s">
        <v>184</v>
      </c>
      <c r="F122" s="6">
        <v>100773</v>
      </c>
      <c r="G122" s="6">
        <v>78917</v>
      </c>
      <c r="H122" s="6">
        <v>16903</v>
      </c>
      <c r="I122" s="6">
        <v>62014</v>
      </c>
      <c r="J122" s="6">
        <v>21856</v>
      </c>
      <c r="K122" s="6">
        <v>4602</v>
      </c>
      <c r="L122" s="6">
        <v>88472</v>
      </c>
      <c r="M122">
        <v>97</v>
      </c>
      <c r="N122">
        <v>26</v>
      </c>
      <c r="O122">
        <v>123</v>
      </c>
      <c r="P122" s="6">
        <v>12369</v>
      </c>
      <c r="Q122" s="6">
        <v>0</v>
      </c>
      <c r="R122" s="6">
        <v>16388</v>
      </c>
      <c r="S122" s="6">
        <v>18268</v>
      </c>
      <c r="T122" s="6">
        <v>135620</v>
      </c>
      <c r="U122" s="6">
        <v>74479</v>
      </c>
      <c r="V122" s="6">
        <v>61141</v>
      </c>
    </row>
    <row r="123" spans="1:22" x14ac:dyDescent="0.25">
      <c r="A123">
        <v>2026</v>
      </c>
      <c r="B123" s="1" t="s">
        <v>6</v>
      </c>
      <c r="C123" t="s">
        <v>34</v>
      </c>
      <c r="D123" s="1" t="s">
        <v>510</v>
      </c>
      <c r="E123" t="s">
        <v>185</v>
      </c>
      <c r="F123" s="6">
        <v>148472</v>
      </c>
      <c r="G123" s="6">
        <v>114123</v>
      </c>
      <c r="H123" s="6">
        <v>24444</v>
      </c>
      <c r="I123" s="6">
        <v>89679</v>
      </c>
      <c r="J123" s="6">
        <v>34349</v>
      </c>
      <c r="K123">
        <v>0</v>
      </c>
      <c r="L123" s="6">
        <v>124028</v>
      </c>
      <c r="M123">
        <v>0</v>
      </c>
      <c r="N123">
        <v>0</v>
      </c>
      <c r="O123">
        <v>0</v>
      </c>
      <c r="P123" s="6">
        <v>15708</v>
      </c>
      <c r="Q123" s="6">
        <v>0</v>
      </c>
      <c r="R123" s="6">
        <v>24960</v>
      </c>
      <c r="S123" s="6">
        <v>27947</v>
      </c>
      <c r="T123" s="6">
        <v>192643</v>
      </c>
      <c r="U123" s="6">
        <v>105387</v>
      </c>
      <c r="V123" s="6">
        <v>87256</v>
      </c>
    </row>
    <row r="124" spans="1:22" x14ac:dyDescent="0.25">
      <c r="A124">
        <v>2026</v>
      </c>
      <c r="B124" s="1" t="s">
        <v>6</v>
      </c>
      <c r="C124" t="s">
        <v>34</v>
      </c>
      <c r="D124" s="1" t="s">
        <v>511</v>
      </c>
      <c r="E124" t="s">
        <v>186</v>
      </c>
      <c r="F124" s="6">
        <v>489326</v>
      </c>
      <c r="G124" s="6">
        <v>376122</v>
      </c>
      <c r="H124" s="6">
        <v>80560</v>
      </c>
      <c r="I124" s="6">
        <v>295562</v>
      </c>
      <c r="J124" s="6">
        <v>113204</v>
      </c>
      <c r="K124">
        <v>0</v>
      </c>
      <c r="L124" s="6">
        <v>408766</v>
      </c>
      <c r="M124">
        <v>0</v>
      </c>
      <c r="N124">
        <v>0</v>
      </c>
      <c r="O124">
        <v>0</v>
      </c>
      <c r="P124" s="6">
        <v>51771</v>
      </c>
      <c r="Q124" s="6">
        <v>0</v>
      </c>
      <c r="R124" s="6">
        <v>78800</v>
      </c>
      <c r="S124" s="6">
        <v>88231</v>
      </c>
      <c r="T124" s="6">
        <v>627568</v>
      </c>
      <c r="U124" s="6">
        <v>347333</v>
      </c>
      <c r="V124" s="6">
        <v>280235</v>
      </c>
    </row>
    <row r="125" spans="1:22" x14ac:dyDescent="0.25">
      <c r="A125">
        <v>2026</v>
      </c>
      <c r="B125" s="1" t="s">
        <v>7</v>
      </c>
      <c r="C125" t="s">
        <v>35</v>
      </c>
      <c r="D125" s="1" t="s">
        <v>512</v>
      </c>
      <c r="E125" t="s">
        <v>187</v>
      </c>
      <c r="F125" s="6">
        <v>607568</v>
      </c>
      <c r="G125" s="6">
        <v>475794</v>
      </c>
      <c r="H125" s="6">
        <v>101907</v>
      </c>
      <c r="I125" s="6">
        <v>373887</v>
      </c>
      <c r="J125" s="6">
        <v>131774</v>
      </c>
      <c r="K125">
        <v>0</v>
      </c>
      <c r="L125" s="6">
        <v>505661</v>
      </c>
      <c r="M125">
        <v>582</v>
      </c>
      <c r="N125">
        <v>162</v>
      </c>
      <c r="O125">
        <v>744</v>
      </c>
      <c r="P125" s="6">
        <v>74575</v>
      </c>
      <c r="Q125" s="6">
        <v>0</v>
      </c>
      <c r="R125" s="6">
        <v>102571</v>
      </c>
      <c r="S125" s="6">
        <v>114337</v>
      </c>
      <c r="T125" s="6">
        <v>797888</v>
      </c>
      <c r="U125" s="6">
        <v>449044</v>
      </c>
      <c r="V125" s="6">
        <v>348844</v>
      </c>
    </row>
    <row r="126" spans="1:22" x14ac:dyDescent="0.25">
      <c r="A126">
        <v>2026</v>
      </c>
      <c r="B126" s="1" t="s">
        <v>12</v>
      </c>
      <c r="C126" t="s">
        <v>40</v>
      </c>
      <c r="D126" s="1" t="s">
        <v>513</v>
      </c>
      <c r="E126" t="s">
        <v>188</v>
      </c>
      <c r="F126" s="6">
        <v>184468</v>
      </c>
      <c r="G126" s="6">
        <v>145833</v>
      </c>
      <c r="H126" s="6">
        <v>31235</v>
      </c>
      <c r="I126" s="6">
        <v>114598</v>
      </c>
      <c r="J126" s="6">
        <v>38635</v>
      </c>
      <c r="K126" s="6">
        <v>6165</v>
      </c>
      <c r="L126" s="6">
        <v>159398</v>
      </c>
      <c r="M126">
        <v>298</v>
      </c>
      <c r="N126">
        <v>79</v>
      </c>
      <c r="O126">
        <v>377</v>
      </c>
      <c r="P126" s="6">
        <v>19577</v>
      </c>
      <c r="Q126" s="6">
        <v>0</v>
      </c>
      <c r="R126" s="6">
        <v>28791</v>
      </c>
      <c r="S126" s="6">
        <v>31834</v>
      </c>
      <c r="T126" s="6">
        <v>239977</v>
      </c>
      <c r="U126" s="6">
        <v>134473</v>
      </c>
      <c r="V126" s="6">
        <v>105504</v>
      </c>
    </row>
    <row r="127" spans="1:22" x14ac:dyDescent="0.25">
      <c r="A127">
        <v>2026</v>
      </c>
      <c r="B127" s="1" t="s">
        <v>7</v>
      </c>
      <c r="C127" t="s">
        <v>35</v>
      </c>
      <c r="D127" s="1" t="s">
        <v>514</v>
      </c>
      <c r="E127" t="s">
        <v>189</v>
      </c>
      <c r="F127" s="6">
        <v>267678</v>
      </c>
      <c r="G127" s="6">
        <v>209622</v>
      </c>
      <c r="H127" s="6">
        <v>44898</v>
      </c>
      <c r="I127" s="6">
        <v>164724</v>
      </c>
      <c r="J127" s="6">
        <v>58056</v>
      </c>
      <c r="K127">
        <v>0</v>
      </c>
      <c r="L127" s="6">
        <v>222780</v>
      </c>
      <c r="M127">
        <v>257</v>
      </c>
      <c r="N127">
        <v>71</v>
      </c>
      <c r="O127">
        <v>328</v>
      </c>
      <c r="P127" s="6">
        <v>32856</v>
      </c>
      <c r="Q127" s="6">
        <v>0</v>
      </c>
      <c r="R127" s="6">
        <v>45115</v>
      </c>
      <c r="S127" s="6">
        <v>50291</v>
      </c>
      <c r="T127" s="6">
        <v>351370</v>
      </c>
      <c r="U127" s="6">
        <v>197837</v>
      </c>
      <c r="V127" s="6">
        <v>153533</v>
      </c>
    </row>
    <row r="128" spans="1:22" x14ac:dyDescent="0.25">
      <c r="A128">
        <v>2026</v>
      </c>
      <c r="B128" s="1" t="s">
        <v>10</v>
      </c>
      <c r="C128" t="s">
        <v>38</v>
      </c>
      <c r="D128" s="1" t="s">
        <v>515</v>
      </c>
      <c r="E128" t="s">
        <v>190</v>
      </c>
      <c r="F128" s="6">
        <v>150581</v>
      </c>
      <c r="G128" s="6">
        <v>121857</v>
      </c>
      <c r="H128" s="6">
        <v>26100</v>
      </c>
      <c r="I128" s="6">
        <v>95757</v>
      </c>
      <c r="J128" s="6">
        <v>28724</v>
      </c>
      <c r="K128" s="6">
        <v>0</v>
      </c>
      <c r="L128" s="6">
        <v>124481</v>
      </c>
      <c r="M128">
        <v>0</v>
      </c>
      <c r="N128">
        <v>0</v>
      </c>
      <c r="O128">
        <v>0</v>
      </c>
      <c r="P128" s="6">
        <v>12941</v>
      </c>
      <c r="Q128" s="6">
        <v>0</v>
      </c>
      <c r="R128" s="6">
        <v>25166</v>
      </c>
      <c r="S128" s="6">
        <v>27657</v>
      </c>
      <c r="T128" s="6">
        <v>190245</v>
      </c>
      <c r="U128" s="6">
        <v>108698</v>
      </c>
      <c r="V128" s="6">
        <v>81547</v>
      </c>
    </row>
    <row r="129" spans="1:22" x14ac:dyDescent="0.25">
      <c r="A129">
        <v>2026</v>
      </c>
      <c r="B129" s="1" t="s">
        <v>12</v>
      </c>
      <c r="C129" t="s">
        <v>40</v>
      </c>
      <c r="D129" s="1" t="s">
        <v>516</v>
      </c>
      <c r="E129" t="s">
        <v>191</v>
      </c>
      <c r="F129" s="6">
        <v>81785</v>
      </c>
      <c r="G129" s="6">
        <v>64656</v>
      </c>
      <c r="H129" s="6">
        <v>13848</v>
      </c>
      <c r="I129" s="6">
        <v>50808</v>
      </c>
      <c r="J129" s="6">
        <v>17129</v>
      </c>
      <c r="K129" s="6">
        <v>3961</v>
      </c>
      <c r="L129" s="6">
        <v>71898</v>
      </c>
      <c r="M129">
        <v>132</v>
      </c>
      <c r="N129">
        <v>36</v>
      </c>
      <c r="O129">
        <v>168</v>
      </c>
      <c r="P129" s="6">
        <v>8440</v>
      </c>
      <c r="Q129">
        <v>0</v>
      </c>
      <c r="R129" s="6">
        <v>13193</v>
      </c>
      <c r="S129" s="6">
        <v>14588</v>
      </c>
      <c r="T129" s="6">
        <v>108287</v>
      </c>
      <c r="U129" s="6">
        <v>59380</v>
      </c>
      <c r="V129" s="6">
        <v>48907</v>
      </c>
    </row>
    <row r="130" spans="1:22" x14ac:dyDescent="0.25">
      <c r="A130">
        <v>2026</v>
      </c>
      <c r="B130" s="1" t="s">
        <v>7</v>
      </c>
      <c r="C130" t="s">
        <v>35</v>
      </c>
      <c r="D130" s="1" t="s">
        <v>517</v>
      </c>
      <c r="E130" t="s">
        <v>192</v>
      </c>
      <c r="F130" s="6">
        <v>443525</v>
      </c>
      <c r="G130" s="6">
        <v>347329</v>
      </c>
      <c r="H130" s="6">
        <v>74392</v>
      </c>
      <c r="I130" s="6">
        <v>272937</v>
      </c>
      <c r="J130" s="6">
        <v>96196</v>
      </c>
      <c r="K130">
        <v>0</v>
      </c>
      <c r="L130" s="6">
        <v>369133</v>
      </c>
      <c r="M130">
        <v>425</v>
      </c>
      <c r="N130">
        <v>118</v>
      </c>
      <c r="O130">
        <v>543</v>
      </c>
      <c r="P130" s="6">
        <v>54440</v>
      </c>
      <c r="Q130" s="6">
        <v>0</v>
      </c>
      <c r="R130" s="6">
        <v>71950</v>
      </c>
      <c r="S130" s="6">
        <v>80204</v>
      </c>
      <c r="T130" s="6">
        <v>576270</v>
      </c>
      <c r="U130" s="6">
        <v>327802</v>
      </c>
      <c r="V130" s="6">
        <v>248468</v>
      </c>
    </row>
    <row r="131" spans="1:22" x14ac:dyDescent="0.25">
      <c r="A131">
        <v>2026</v>
      </c>
      <c r="B131" s="1" t="s">
        <v>12</v>
      </c>
      <c r="C131" t="s">
        <v>40</v>
      </c>
      <c r="D131" s="1" t="s">
        <v>518</v>
      </c>
      <c r="E131" t="s">
        <v>193</v>
      </c>
      <c r="F131" s="6">
        <v>531301</v>
      </c>
      <c r="G131" s="6">
        <v>420025</v>
      </c>
      <c r="H131" s="6">
        <v>89963</v>
      </c>
      <c r="I131" s="6">
        <v>330062</v>
      </c>
      <c r="J131" s="6">
        <v>111276</v>
      </c>
      <c r="K131">
        <v>0</v>
      </c>
      <c r="L131" s="6">
        <v>441338</v>
      </c>
      <c r="M131">
        <v>858</v>
      </c>
      <c r="N131">
        <v>228</v>
      </c>
      <c r="O131" s="6">
        <v>1086</v>
      </c>
      <c r="P131" s="6">
        <v>54558</v>
      </c>
      <c r="Q131" s="6">
        <v>0</v>
      </c>
      <c r="R131" s="6">
        <v>92351</v>
      </c>
      <c r="S131" s="6">
        <v>102113</v>
      </c>
      <c r="T131" s="6">
        <v>691446</v>
      </c>
      <c r="U131" s="6">
        <v>385478</v>
      </c>
      <c r="V131" s="6">
        <v>305968</v>
      </c>
    </row>
    <row r="132" spans="1:22" x14ac:dyDescent="0.25">
      <c r="A132">
        <v>2026</v>
      </c>
      <c r="B132" s="1" t="s">
        <v>6</v>
      </c>
      <c r="C132" t="s">
        <v>34</v>
      </c>
      <c r="D132" s="1" t="s">
        <v>519</v>
      </c>
      <c r="E132" t="s">
        <v>194</v>
      </c>
      <c r="F132" s="6">
        <v>118069</v>
      </c>
      <c r="G132" s="6">
        <v>90754</v>
      </c>
      <c r="H132" s="6">
        <v>19438</v>
      </c>
      <c r="I132" s="6">
        <v>71316</v>
      </c>
      <c r="J132" s="6">
        <v>27315</v>
      </c>
      <c r="K132">
        <v>0</v>
      </c>
      <c r="L132" s="6">
        <v>98631</v>
      </c>
      <c r="M132">
        <v>0</v>
      </c>
      <c r="N132">
        <v>0</v>
      </c>
      <c r="O132">
        <v>0</v>
      </c>
      <c r="P132" s="6">
        <v>12492</v>
      </c>
      <c r="Q132" s="6">
        <v>0</v>
      </c>
      <c r="R132" s="6">
        <v>19537</v>
      </c>
      <c r="S132" s="6">
        <v>21875</v>
      </c>
      <c r="T132" s="6">
        <v>152535</v>
      </c>
      <c r="U132" s="6">
        <v>83808</v>
      </c>
      <c r="V132" s="6">
        <v>68727</v>
      </c>
    </row>
    <row r="133" spans="1:22" x14ac:dyDescent="0.25">
      <c r="A133">
        <v>2026</v>
      </c>
      <c r="B133" s="1" t="s">
        <v>11</v>
      </c>
      <c r="C133" t="s">
        <v>39</v>
      </c>
      <c r="D133" s="1" t="s">
        <v>520</v>
      </c>
      <c r="E133" t="s">
        <v>195</v>
      </c>
      <c r="F133" s="6">
        <v>265793</v>
      </c>
      <c r="G133" s="6">
        <v>206238</v>
      </c>
      <c r="H133" s="6">
        <v>44173</v>
      </c>
      <c r="I133" s="6">
        <v>162065</v>
      </c>
      <c r="J133" s="6">
        <v>59555</v>
      </c>
      <c r="K133">
        <v>0</v>
      </c>
      <c r="L133" s="6">
        <v>221620</v>
      </c>
      <c r="M133">
        <v>386</v>
      </c>
      <c r="N133">
        <v>112</v>
      </c>
      <c r="O133">
        <v>498</v>
      </c>
      <c r="P133" s="6">
        <v>26803</v>
      </c>
      <c r="Q133" s="6">
        <v>0</v>
      </c>
      <c r="R133" s="6">
        <v>50845</v>
      </c>
      <c r="S133" s="6">
        <v>56914</v>
      </c>
      <c r="T133" s="6">
        <v>356680</v>
      </c>
      <c r="U133" s="6">
        <v>189255</v>
      </c>
      <c r="V133" s="6">
        <v>167425</v>
      </c>
    </row>
    <row r="134" spans="1:22" x14ac:dyDescent="0.25">
      <c r="A134">
        <v>2026</v>
      </c>
      <c r="B134" s="1" t="s">
        <v>9</v>
      </c>
      <c r="C134" t="s">
        <v>37</v>
      </c>
      <c r="D134" s="1" t="s">
        <v>521</v>
      </c>
      <c r="E134" t="s">
        <v>196</v>
      </c>
      <c r="F134" s="6">
        <v>216333</v>
      </c>
      <c r="G134" s="6">
        <v>171495</v>
      </c>
      <c r="H134" s="6">
        <v>36732</v>
      </c>
      <c r="I134" s="6">
        <v>134763</v>
      </c>
      <c r="J134" s="6">
        <v>44838</v>
      </c>
      <c r="K134" s="6">
        <v>6569</v>
      </c>
      <c r="L134" s="6">
        <v>186170</v>
      </c>
      <c r="M134">
        <v>190</v>
      </c>
      <c r="N134">
        <v>50</v>
      </c>
      <c r="O134">
        <v>240</v>
      </c>
      <c r="P134" s="6">
        <v>21146</v>
      </c>
      <c r="Q134" s="6">
        <v>0</v>
      </c>
      <c r="R134" s="6">
        <v>37234</v>
      </c>
      <c r="S134" s="6">
        <v>40947</v>
      </c>
      <c r="T134" s="6">
        <v>285737</v>
      </c>
      <c r="U134" s="6">
        <v>156100</v>
      </c>
      <c r="V134" s="6">
        <v>129637</v>
      </c>
    </row>
    <row r="135" spans="1:22" x14ac:dyDescent="0.25">
      <c r="A135">
        <v>2026</v>
      </c>
      <c r="B135" s="1" t="s">
        <v>11</v>
      </c>
      <c r="C135" t="s">
        <v>39</v>
      </c>
      <c r="D135" s="1" t="s">
        <v>522</v>
      </c>
      <c r="E135" t="s">
        <v>197</v>
      </c>
      <c r="F135" s="6">
        <v>222558</v>
      </c>
      <c r="G135" s="6">
        <v>172690</v>
      </c>
      <c r="H135" s="6">
        <v>36988</v>
      </c>
      <c r="I135" s="6">
        <v>135702</v>
      </c>
      <c r="J135" s="6">
        <v>49868</v>
      </c>
      <c r="K135">
        <v>0</v>
      </c>
      <c r="L135" s="6">
        <v>185570</v>
      </c>
      <c r="M135">
        <v>323</v>
      </c>
      <c r="N135">
        <v>93</v>
      </c>
      <c r="O135">
        <v>416</v>
      </c>
      <c r="P135" s="6">
        <v>22444</v>
      </c>
      <c r="Q135" s="6">
        <v>0</v>
      </c>
      <c r="R135" s="6">
        <v>38444</v>
      </c>
      <c r="S135" s="6">
        <v>43032</v>
      </c>
      <c r="T135" s="6">
        <v>289906</v>
      </c>
      <c r="U135" s="6">
        <v>158469</v>
      </c>
      <c r="V135" s="6">
        <v>131437</v>
      </c>
    </row>
    <row r="136" spans="1:22" x14ac:dyDescent="0.25">
      <c r="A136">
        <v>2026</v>
      </c>
      <c r="B136" s="1" t="s">
        <v>9</v>
      </c>
      <c r="C136" t="s">
        <v>37</v>
      </c>
      <c r="D136" s="1" t="s">
        <v>523</v>
      </c>
      <c r="E136" t="s">
        <v>198</v>
      </c>
      <c r="F136" s="6">
        <v>117608</v>
      </c>
      <c r="G136" s="6">
        <v>93233</v>
      </c>
      <c r="H136" s="6">
        <v>19969</v>
      </c>
      <c r="I136" s="6">
        <v>73264</v>
      </c>
      <c r="J136" s="6">
        <v>24375</v>
      </c>
      <c r="K136" s="6">
        <v>3088</v>
      </c>
      <c r="L136" s="6">
        <v>100727</v>
      </c>
      <c r="M136">
        <v>105</v>
      </c>
      <c r="N136">
        <v>27</v>
      </c>
      <c r="O136">
        <v>132</v>
      </c>
      <c r="P136" s="6">
        <v>11359</v>
      </c>
      <c r="Q136" s="6">
        <v>0</v>
      </c>
      <c r="R136" s="6">
        <v>20339</v>
      </c>
      <c r="S136" s="6">
        <v>22367</v>
      </c>
      <c r="T136" s="6">
        <v>154924</v>
      </c>
      <c r="U136" s="6">
        <v>84728</v>
      </c>
      <c r="V136" s="6">
        <v>70196</v>
      </c>
    </row>
    <row r="137" spans="1:22" x14ac:dyDescent="0.25">
      <c r="A137">
        <v>2026</v>
      </c>
      <c r="B137" s="1" t="s">
        <v>5</v>
      </c>
      <c r="C137" t="s">
        <v>33</v>
      </c>
      <c r="D137" s="1" t="s">
        <v>524</v>
      </c>
      <c r="E137" t="s">
        <v>199</v>
      </c>
      <c r="F137" s="6">
        <v>475375</v>
      </c>
      <c r="G137" s="6">
        <v>361124</v>
      </c>
      <c r="H137" s="6">
        <v>77347</v>
      </c>
      <c r="I137" s="6">
        <v>283777</v>
      </c>
      <c r="J137" s="6">
        <v>114251</v>
      </c>
      <c r="K137">
        <v>0</v>
      </c>
      <c r="L137" s="6">
        <v>398028</v>
      </c>
      <c r="M137">
        <v>936</v>
      </c>
      <c r="N137">
        <v>296</v>
      </c>
      <c r="O137" s="6">
        <v>1232</v>
      </c>
      <c r="P137" s="6">
        <v>47142</v>
      </c>
      <c r="Q137" s="6">
        <v>0</v>
      </c>
      <c r="R137" s="6">
        <v>82619</v>
      </c>
      <c r="S137" s="6">
        <v>92026</v>
      </c>
      <c r="T137" s="6">
        <v>621047</v>
      </c>
      <c r="U137" s="6">
        <v>331855</v>
      </c>
      <c r="V137" s="6">
        <v>289192</v>
      </c>
    </row>
    <row r="138" spans="1:22" x14ac:dyDescent="0.25">
      <c r="A138">
        <v>2026</v>
      </c>
      <c r="B138" s="1" t="s">
        <v>7</v>
      </c>
      <c r="C138" t="s">
        <v>35</v>
      </c>
      <c r="D138" s="1" t="s">
        <v>525</v>
      </c>
      <c r="E138" t="s">
        <v>200</v>
      </c>
      <c r="F138" s="6">
        <v>159063</v>
      </c>
      <c r="G138" s="6">
        <v>124564</v>
      </c>
      <c r="H138" s="6">
        <v>26680</v>
      </c>
      <c r="I138" s="6">
        <v>97884</v>
      </c>
      <c r="J138" s="6">
        <v>34499</v>
      </c>
      <c r="K138">
        <v>0</v>
      </c>
      <c r="L138" s="6">
        <v>132383</v>
      </c>
      <c r="M138">
        <v>152</v>
      </c>
      <c r="N138">
        <v>42</v>
      </c>
      <c r="O138">
        <v>194</v>
      </c>
      <c r="P138" s="6">
        <v>19524</v>
      </c>
      <c r="Q138" s="6">
        <v>0</v>
      </c>
      <c r="R138" s="6">
        <v>26638</v>
      </c>
      <c r="S138" s="6">
        <v>29694</v>
      </c>
      <c r="T138" s="6">
        <v>208433</v>
      </c>
      <c r="U138" s="6">
        <v>117560</v>
      </c>
      <c r="V138" s="6">
        <v>90873</v>
      </c>
    </row>
    <row r="139" spans="1:22" x14ac:dyDescent="0.25">
      <c r="A139">
        <v>2026</v>
      </c>
      <c r="B139" s="1" t="s">
        <v>7</v>
      </c>
      <c r="C139" t="s">
        <v>35</v>
      </c>
      <c r="D139" s="1" t="s">
        <v>526</v>
      </c>
      <c r="E139" t="s">
        <v>201</v>
      </c>
      <c r="F139" s="6">
        <v>304942</v>
      </c>
      <c r="G139" s="6">
        <v>238803</v>
      </c>
      <c r="H139" s="6">
        <v>51148</v>
      </c>
      <c r="I139" s="6">
        <v>187655</v>
      </c>
      <c r="J139" s="6">
        <v>66139</v>
      </c>
      <c r="K139">
        <v>0</v>
      </c>
      <c r="L139" s="6">
        <v>253794</v>
      </c>
      <c r="M139">
        <v>293</v>
      </c>
      <c r="N139">
        <v>81</v>
      </c>
      <c r="O139">
        <v>374</v>
      </c>
      <c r="P139" s="6">
        <v>37430</v>
      </c>
      <c r="Q139" s="6">
        <v>0</v>
      </c>
      <c r="R139" s="6">
        <v>52428</v>
      </c>
      <c r="S139" s="6">
        <v>58442</v>
      </c>
      <c r="T139" s="6">
        <v>402468</v>
      </c>
      <c r="U139" s="6">
        <v>225378</v>
      </c>
      <c r="V139" s="6">
        <v>177090</v>
      </c>
    </row>
    <row r="140" spans="1:22" x14ac:dyDescent="0.25">
      <c r="A140">
        <v>2026</v>
      </c>
      <c r="B140" s="1" t="s">
        <v>6</v>
      </c>
      <c r="C140" t="s">
        <v>34</v>
      </c>
      <c r="D140" s="1" t="s">
        <v>527</v>
      </c>
      <c r="E140" t="s">
        <v>202</v>
      </c>
      <c r="F140" s="6">
        <v>483707</v>
      </c>
      <c r="G140" s="6">
        <v>371802</v>
      </c>
      <c r="H140" s="6">
        <v>79634</v>
      </c>
      <c r="I140" s="6">
        <v>292168</v>
      </c>
      <c r="J140" s="6">
        <v>111905</v>
      </c>
      <c r="K140" s="6">
        <v>0</v>
      </c>
      <c r="L140" s="6">
        <v>404073</v>
      </c>
      <c r="M140">
        <v>0</v>
      </c>
      <c r="N140">
        <v>0</v>
      </c>
      <c r="O140">
        <v>0</v>
      </c>
      <c r="P140" s="6">
        <v>51177</v>
      </c>
      <c r="Q140" s="6">
        <v>0</v>
      </c>
      <c r="R140" s="6">
        <v>86902</v>
      </c>
      <c r="S140" s="6">
        <v>97303</v>
      </c>
      <c r="T140" s="6">
        <v>639455</v>
      </c>
      <c r="U140" s="6">
        <v>343345</v>
      </c>
      <c r="V140" s="6">
        <v>296110</v>
      </c>
    </row>
    <row r="141" spans="1:22" x14ac:dyDescent="0.25">
      <c r="A141">
        <v>2026</v>
      </c>
      <c r="B141" s="1" t="s">
        <v>12</v>
      </c>
      <c r="C141" t="s">
        <v>40</v>
      </c>
      <c r="D141" s="1" t="s">
        <v>528</v>
      </c>
      <c r="E141" t="s">
        <v>203</v>
      </c>
      <c r="F141" s="6">
        <v>273755</v>
      </c>
      <c r="G141" s="6">
        <v>216420</v>
      </c>
      <c r="H141" s="6">
        <v>46354</v>
      </c>
      <c r="I141" s="6">
        <v>170066</v>
      </c>
      <c r="J141" s="6">
        <v>57335</v>
      </c>
      <c r="K141">
        <v>0</v>
      </c>
      <c r="L141" s="6">
        <v>227401</v>
      </c>
      <c r="M141">
        <v>442</v>
      </c>
      <c r="N141">
        <v>117</v>
      </c>
      <c r="O141">
        <v>559</v>
      </c>
      <c r="P141" s="6">
        <v>28111</v>
      </c>
      <c r="Q141" s="6">
        <v>0</v>
      </c>
      <c r="R141" s="6">
        <v>45168</v>
      </c>
      <c r="S141" s="6">
        <v>49943</v>
      </c>
      <c r="T141" s="6">
        <v>351182</v>
      </c>
      <c r="U141" s="6">
        <v>198618</v>
      </c>
      <c r="V141" s="6">
        <v>152564</v>
      </c>
    </row>
    <row r="142" spans="1:22" x14ac:dyDescent="0.25">
      <c r="A142">
        <v>2026</v>
      </c>
      <c r="B142" s="1" t="s">
        <v>7</v>
      </c>
      <c r="C142" t="s">
        <v>35</v>
      </c>
      <c r="D142" s="1" t="s">
        <v>529</v>
      </c>
      <c r="E142" t="s">
        <v>204</v>
      </c>
      <c r="F142" s="6">
        <v>540470</v>
      </c>
      <c r="G142" s="6">
        <v>423249</v>
      </c>
      <c r="H142" s="6">
        <v>90653</v>
      </c>
      <c r="I142" s="6">
        <v>332596</v>
      </c>
      <c r="J142" s="6">
        <v>117221</v>
      </c>
      <c r="K142">
        <v>0</v>
      </c>
      <c r="L142" s="6">
        <v>449817</v>
      </c>
      <c r="M142">
        <v>516</v>
      </c>
      <c r="N142">
        <v>143</v>
      </c>
      <c r="O142">
        <v>659</v>
      </c>
      <c r="P142" s="6">
        <v>66429</v>
      </c>
      <c r="Q142" s="6">
        <v>0</v>
      </c>
      <c r="R142" s="6">
        <v>97282</v>
      </c>
      <c r="S142" s="6">
        <v>108442</v>
      </c>
      <c r="T142" s="6">
        <v>722629</v>
      </c>
      <c r="U142" s="6">
        <v>399541</v>
      </c>
      <c r="V142" s="6">
        <v>323088</v>
      </c>
    </row>
    <row r="143" spans="1:22" x14ac:dyDescent="0.25">
      <c r="A143">
        <v>2026</v>
      </c>
      <c r="B143" s="1" t="s">
        <v>10</v>
      </c>
      <c r="C143" t="s">
        <v>38</v>
      </c>
      <c r="D143" s="1" t="s">
        <v>530</v>
      </c>
      <c r="E143" t="s">
        <v>205</v>
      </c>
      <c r="F143" s="6">
        <v>1333712</v>
      </c>
      <c r="G143" s="6">
        <v>1079295</v>
      </c>
      <c r="H143" s="6">
        <v>231167</v>
      </c>
      <c r="I143" s="6">
        <v>848128</v>
      </c>
      <c r="J143" s="6">
        <v>254417</v>
      </c>
      <c r="K143">
        <v>0</v>
      </c>
      <c r="L143" s="6">
        <v>1102545</v>
      </c>
      <c r="M143">
        <v>0</v>
      </c>
      <c r="N143">
        <v>0</v>
      </c>
      <c r="O143">
        <v>0</v>
      </c>
      <c r="P143" s="6">
        <v>114616</v>
      </c>
      <c r="Q143" s="6">
        <v>0</v>
      </c>
      <c r="R143" s="6">
        <v>231875</v>
      </c>
      <c r="S143" s="6">
        <v>254826</v>
      </c>
      <c r="T143" s="6">
        <v>1703862</v>
      </c>
      <c r="U143" s="6">
        <v>962744</v>
      </c>
      <c r="V143" s="6">
        <v>741118</v>
      </c>
    </row>
    <row r="144" spans="1:22" x14ac:dyDescent="0.25">
      <c r="A144">
        <v>2026</v>
      </c>
      <c r="B144" s="1" t="s">
        <v>10</v>
      </c>
      <c r="C144" t="s">
        <v>38</v>
      </c>
      <c r="D144" s="1" t="s">
        <v>531</v>
      </c>
      <c r="E144" t="s">
        <v>206</v>
      </c>
      <c r="F144" s="6">
        <v>309519</v>
      </c>
      <c r="G144" s="6">
        <v>250476</v>
      </c>
      <c r="H144" s="6">
        <v>53648</v>
      </c>
      <c r="I144" s="6">
        <v>196828</v>
      </c>
      <c r="J144" s="6">
        <v>59043</v>
      </c>
      <c r="K144">
        <v>0</v>
      </c>
      <c r="L144" s="6">
        <v>255871</v>
      </c>
      <c r="M144">
        <v>0</v>
      </c>
      <c r="N144">
        <v>0</v>
      </c>
      <c r="O144">
        <v>0</v>
      </c>
      <c r="P144" s="6">
        <v>26599</v>
      </c>
      <c r="Q144" s="6">
        <v>0</v>
      </c>
      <c r="R144" s="6">
        <v>54223</v>
      </c>
      <c r="S144" s="6">
        <v>59590</v>
      </c>
      <c r="T144" s="6">
        <v>396283</v>
      </c>
      <c r="U144" s="6">
        <v>223427</v>
      </c>
      <c r="V144" s="6">
        <v>172856</v>
      </c>
    </row>
    <row r="145" spans="1:22" x14ac:dyDescent="0.25">
      <c r="A145">
        <v>2026</v>
      </c>
      <c r="B145" s="1" t="s">
        <v>9</v>
      </c>
      <c r="C145" t="s">
        <v>37</v>
      </c>
      <c r="D145" s="1" t="s">
        <v>532</v>
      </c>
      <c r="E145" t="s">
        <v>207</v>
      </c>
      <c r="F145" s="6">
        <v>5641386</v>
      </c>
      <c r="G145" s="6">
        <v>4472147</v>
      </c>
      <c r="H145" s="6">
        <v>957862</v>
      </c>
      <c r="I145" s="6">
        <v>3514285</v>
      </c>
      <c r="J145" s="6">
        <v>1169239</v>
      </c>
      <c r="K145">
        <v>0</v>
      </c>
      <c r="L145" s="6">
        <v>4683524</v>
      </c>
      <c r="M145" s="6">
        <v>4971</v>
      </c>
      <c r="N145" s="6">
        <v>1299</v>
      </c>
      <c r="O145" s="6">
        <v>6270</v>
      </c>
      <c r="P145" s="6">
        <v>536009</v>
      </c>
      <c r="Q145" s="6">
        <v>0</v>
      </c>
      <c r="R145" s="6">
        <v>1034222</v>
      </c>
      <c r="S145" s="6">
        <v>1137357</v>
      </c>
      <c r="T145" s="6">
        <v>7397382</v>
      </c>
      <c r="U145" s="6">
        <v>4055264</v>
      </c>
      <c r="V145" s="6">
        <v>3342118</v>
      </c>
    </row>
    <row r="146" spans="1:22" x14ac:dyDescent="0.25">
      <c r="A146">
        <v>2026</v>
      </c>
      <c r="B146" s="1" t="s">
        <v>7</v>
      </c>
      <c r="C146" t="s">
        <v>35</v>
      </c>
      <c r="D146" s="1" t="s">
        <v>533</v>
      </c>
      <c r="E146" t="s">
        <v>208</v>
      </c>
      <c r="F146" s="6">
        <v>380963</v>
      </c>
      <c r="G146" s="6">
        <v>298337</v>
      </c>
      <c r="H146" s="6">
        <v>63899</v>
      </c>
      <c r="I146" s="6">
        <v>234438</v>
      </c>
      <c r="J146" s="6">
        <v>82626</v>
      </c>
      <c r="K146" s="6">
        <v>5217</v>
      </c>
      <c r="L146" s="6">
        <v>322281</v>
      </c>
      <c r="M146">
        <v>364</v>
      </c>
      <c r="N146">
        <v>101</v>
      </c>
      <c r="O146">
        <v>465</v>
      </c>
      <c r="P146" s="6">
        <v>47557</v>
      </c>
      <c r="Q146" s="6">
        <v>0</v>
      </c>
      <c r="R146" s="6">
        <v>63266</v>
      </c>
      <c r="S146" s="6">
        <v>70524</v>
      </c>
      <c r="T146" s="6">
        <v>504093</v>
      </c>
      <c r="U146" s="6">
        <v>282359</v>
      </c>
      <c r="V146" s="6">
        <v>221734</v>
      </c>
    </row>
    <row r="147" spans="1:22" x14ac:dyDescent="0.25">
      <c r="A147">
        <v>2026</v>
      </c>
      <c r="B147" s="1" t="s">
        <v>9</v>
      </c>
      <c r="C147" t="s">
        <v>37</v>
      </c>
      <c r="D147" s="1" t="s">
        <v>534</v>
      </c>
      <c r="E147" t="s">
        <v>209</v>
      </c>
      <c r="F147" s="6">
        <v>188661</v>
      </c>
      <c r="G147" s="6">
        <v>149559</v>
      </c>
      <c r="H147" s="6">
        <v>32033</v>
      </c>
      <c r="I147" s="6">
        <v>117526</v>
      </c>
      <c r="J147" s="6">
        <v>39102</v>
      </c>
      <c r="K147" s="6">
        <v>3338</v>
      </c>
      <c r="L147" s="6">
        <v>159966</v>
      </c>
      <c r="M147">
        <v>166</v>
      </c>
      <c r="N147">
        <v>43</v>
      </c>
      <c r="O147">
        <v>209</v>
      </c>
      <c r="P147" s="6">
        <v>18214</v>
      </c>
      <c r="Q147" s="6">
        <v>0</v>
      </c>
      <c r="R147" s="6">
        <v>31645</v>
      </c>
      <c r="S147" s="6">
        <v>34801</v>
      </c>
      <c r="T147" s="6">
        <v>244835</v>
      </c>
      <c r="U147" s="6">
        <v>135905</v>
      </c>
      <c r="V147" s="6">
        <v>108930</v>
      </c>
    </row>
    <row r="148" spans="1:22" x14ac:dyDescent="0.25">
      <c r="A148">
        <v>2026</v>
      </c>
      <c r="B148" s="1" t="s">
        <v>7</v>
      </c>
      <c r="C148" t="s">
        <v>35</v>
      </c>
      <c r="D148" s="1" t="s">
        <v>535</v>
      </c>
      <c r="E148" t="s">
        <v>210</v>
      </c>
      <c r="F148" s="6">
        <v>171282</v>
      </c>
      <c r="G148" s="6">
        <v>134133</v>
      </c>
      <c r="H148" s="6">
        <v>28729</v>
      </c>
      <c r="I148" s="6">
        <v>105404</v>
      </c>
      <c r="J148" s="6">
        <v>37149</v>
      </c>
      <c r="K148" s="6">
        <v>0</v>
      </c>
      <c r="L148" s="6">
        <v>142553</v>
      </c>
      <c r="M148">
        <v>163</v>
      </c>
      <c r="N148">
        <v>45</v>
      </c>
      <c r="O148">
        <v>208</v>
      </c>
      <c r="P148" s="6">
        <v>21024</v>
      </c>
      <c r="Q148" s="6">
        <v>0</v>
      </c>
      <c r="R148" s="6">
        <v>30229</v>
      </c>
      <c r="S148" s="6">
        <v>33697</v>
      </c>
      <c r="T148" s="6">
        <v>227711</v>
      </c>
      <c r="U148" s="6">
        <v>126591</v>
      </c>
      <c r="V148" s="6">
        <v>101120</v>
      </c>
    </row>
    <row r="149" spans="1:22" x14ac:dyDescent="0.25">
      <c r="A149">
        <v>2026</v>
      </c>
      <c r="B149" s="1" t="s">
        <v>7</v>
      </c>
      <c r="C149" t="s">
        <v>35</v>
      </c>
      <c r="D149" s="1" t="s">
        <v>536</v>
      </c>
      <c r="E149" t="s">
        <v>211</v>
      </c>
      <c r="F149" s="6">
        <v>342124</v>
      </c>
      <c r="G149" s="6">
        <v>267921</v>
      </c>
      <c r="H149" s="6">
        <v>57385</v>
      </c>
      <c r="I149" s="6">
        <v>210536</v>
      </c>
      <c r="J149" s="6">
        <v>74203</v>
      </c>
      <c r="K149" s="6">
        <v>87</v>
      </c>
      <c r="L149" s="6">
        <v>284826</v>
      </c>
      <c r="M149">
        <v>328</v>
      </c>
      <c r="N149">
        <v>91</v>
      </c>
      <c r="O149">
        <v>419</v>
      </c>
      <c r="P149" s="6">
        <v>41994</v>
      </c>
      <c r="Q149" s="6">
        <v>0</v>
      </c>
      <c r="R149" s="6">
        <v>64702</v>
      </c>
      <c r="S149" s="6">
        <v>72125</v>
      </c>
      <c r="T149" s="6">
        <v>464066</v>
      </c>
      <c r="U149" s="6">
        <v>252859</v>
      </c>
      <c r="V149" s="6">
        <v>211207</v>
      </c>
    </row>
    <row r="150" spans="1:22" x14ac:dyDescent="0.25">
      <c r="A150">
        <v>2026</v>
      </c>
      <c r="B150" s="1" t="s">
        <v>10</v>
      </c>
      <c r="C150" t="s">
        <v>38</v>
      </c>
      <c r="D150" s="1" t="s">
        <v>537</v>
      </c>
      <c r="E150" t="s">
        <v>212</v>
      </c>
      <c r="F150" s="6">
        <v>2572056</v>
      </c>
      <c r="G150" s="6">
        <v>2081415</v>
      </c>
      <c r="H150" s="6">
        <v>445806</v>
      </c>
      <c r="I150" s="6">
        <v>1635609</v>
      </c>
      <c r="J150" s="6">
        <v>490641</v>
      </c>
      <c r="K150">
        <v>0</v>
      </c>
      <c r="L150" s="6">
        <v>2126250</v>
      </c>
      <c r="M150">
        <v>0</v>
      </c>
      <c r="N150">
        <v>0</v>
      </c>
      <c r="O150">
        <v>0</v>
      </c>
      <c r="P150" s="6">
        <v>221037</v>
      </c>
      <c r="Q150" s="6">
        <v>0</v>
      </c>
      <c r="R150" s="6">
        <v>470040</v>
      </c>
      <c r="S150" s="6">
        <v>516566</v>
      </c>
      <c r="T150" s="6">
        <v>3333893</v>
      </c>
      <c r="U150" s="6">
        <v>1856646</v>
      </c>
      <c r="V150" s="6">
        <v>1477247</v>
      </c>
    </row>
    <row r="151" spans="1:22" x14ac:dyDescent="0.25">
      <c r="A151">
        <v>2026</v>
      </c>
      <c r="B151" s="1" t="s">
        <v>13</v>
      </c>
      <c r="C151" t="s">
        <v>41</v>
      </c>
      <c r="D151" s="1" t="s">
        <v>538</v>
      </c>
      <c r="E151" t="s">
        <v>213</v>
      </c>
      <c r="F151" s="6">
        <v>745635</v>
      </c>
      <c r="G151" s="6">
        <v>593960</v>
      </c>
      <c r="H151" s="6">
        <v>127217</v>
      </c>
      <c r="I151" s="6">
        <v>466743</v>
      </c>
      <c r="J151" s="6">
        <v>151675</v>
      </c>
      <c r="K151">
        <v>0</v>
      </c>
      <c r="L151" s="6">
        <v>618418</v>
      </c>
      <c r="M151" s="6">
        <v>1358</v>
      </c>
      <c r="N151">
        <v>347</v>
      </c>
      <c r="O151" s="6">
        <v>1705</v>
      </c>
      <c r="P151" s="6">
        <v>75020</v>
      </c>
      <c r="Q151" s="6">
        <v>0</v>
      </c>
      <c r="R151" s="6">
        <v>122904</v>
      </c>
      <c r="S151" s="6">
        <v>135146</v>
      </c>
      <c r="T151" s="6">
        <v>953193</v>
      </c>
      <c r="U151" s="6">
        <v>543121</v>
      </c>
      <c r="V151" s="6">
        <v>410072</v>
      </c>
    </row>
    <row r="152" spans="1:22" x14ac:dyDescent="0.25">
      <c r="A152">
        <v>2026</v>
      </c>
      <c r="B152" s="1" t="s">
        <v>13</v>
      </c>
      <c r="C152" t="s">
        <v>41</v>
      </c>
      <c r="D152" s="1" t="s">
        <v>539</v>
      </c>
      <c r="E152" t="s">
        <v>214</v>
      </c>
      <c r="F152" s="6">
        <v>127207</v>
      </c>
      <c r="G152" s="6">
        <v>101331</v>
      </c>
      <c r="H152" s="6">
        <v>21703</v>
      </c>
      <c r="I152" s="6">
        <v>79628</v>
      </c>
      <c r="J152" s="6">
        <v>25876</v>
      </c>
      <c r="K152" s="6">
        <v>6377</v>
      </c>
      <c r="L152" s="6">
        <v>111881</v>
      </c>
      <c r="M152">
        <v>232</v>
      </c>
      <c r="N152">
        <v>59</v>
      </c>
      <c r="O152">
        <v>291</v>
      </c>
      <c r="P152" s="6">
        <v>13435</v>
      </c>
      <c r="Q152" s="6">
        <v>0</v>
      </c>
      <c r="R152" s="6">
        <v>21827</v>
      </c>
      <c r="S152" s="6">
        <v>24000</v>
      </c>
      <c r="T152" s="6">
        <v>171434</v>
      </c>
      <c r="U152" s="6">
        <v>93294</v>
      </c>
      <c r="V152" s="6">
        <v>78140</v>
      </c>
    </row>
    <row r="153" spans="1:22" x14ac:dyDescent="0.25">
      <c r="A153">
        <v>2026</v>
      </c>
      <c r="B153" s="1" t="s">
        <v>11</v>
      </c>
      <c r="C153" t="s">
        <v>39</v>
      </c>
      <c r="D153" s="1" t="s">
        <v>540</v>
      </c>
      <c r="E153" t="s">
        <v>215</v>
      </c>
      <c r="F153" s="6">
        <v>193682</v>
      </c>
      <c r="G153" s="6">
        <v>150285</v>
      </c>
      <c r="H153" s="6">
        <v>32188</v>
      </c>
      <c r="I153" s="6">
        <v>118097</v>
      </c>
      <c r="J153" s="6">
        <v>43397</v>
      </c>
      <c r="K153">
        <v>0</v>
      </c>
      <c r="L153" s="6">
        <v>161494</v>
      </c>
      <c r="M153">
        <v>282</v>
      </c>
      <c r="N153">
        <v>81</v>
      </c>
      <c r="O153">
        <v>363</v>
      </c>
      <c r="P153" s="6">
        <v>19532</v>
      </c>
      <c r="Q153" s="6">
        <v>0</v>
      </c>
      <c r="R153" s="6">
        <v>30546</v>
      </c>
      <c r="S153" s="6">
        <v>34192</v>
      </c>
      <c r="T153" s="6">
        <v>246127</v>
      </c>
      <c r="U153" s="6">
        <v>137910</v>
      </c>
      <c r="V153" s="6">
        <v>108217</v>
      </c>
    </row>
    <row r="154" spans="1:22" x14ac:dyDescent="0.25">
      <c r="A154">
        <v>2026</v>
      </c>
      <c r="B154" s="1" t="s">
        <v>10</v>
      </c>
      <c r="C154" t="s">
        <v>38</v>
      </c>
      <c r="D154" s="1" t="s">
        <v>541</v>
      </c>
      <c r="E154" t="s">
        <v>216</v>
      </c>
      <c r="F154" s="6">
        <v>671117</v>
      </c>
      <c r="G154" s="6">
        <v>543096</v>
      </c>
      <c r="H154" s="6">
        <v>116323</v>
      </c>
      <c r="I154" s="6">
        <v>426773</v>
      </c>
      <c r="J154" s="6">
        <v>128021</v>
      </c>
      <c r="K154">
        <v>0</v>
      </c>
      <c r="L154" s="6">
        <v>554794</v>
      </c>
      <c r="M154">
        <v>0</v>
      </c>
      <c r="N154">
        <v>0</v>
      </c>
      <c r="O154">
        <v>0</v>
      </c>
      <c r="P154" s="6">
        <v>57674</v>
      </c>
      <c r="Q154" s="6">
        <v>0</v>
      </c>
      <c r="R154" s="6">
        <v>112402</v>
      </c>
      <c r="S154" s="6">
        <v>123528</v>
      </c>
      <c r="T154" s="6">
        <v>848398</v>
      </c>
      <c r="U154" s="6">
        <v>484447</v>
      </c>
      <c r="V154" s="6">
        <v>363951</v>
      </c>
    </row>
    <row r="155" spans="1:22" x14ac:dyDescent="0.25">
      <c r="A155">
        <v>2026</v>
      </c>
      <c r="B155" s="1" t="s">
        <v>7</v>
      </c>
      <c r="C155" t="s">
        <v>35</v>
      </c>
      <c r="D155" s="1" t="s">
        <v>542</v>
      </c>
      <c r="E155" t="s">
        <v>217</v>
      </c>
      <c r="F155" s="6">
        <v>222686</v>
      </c>
      <c r="G155" s="6">
        <v>174388</v>
      </c>
      <c r="H155" s="6">
        <v>37351</v>
      </c>
      <c r="I155" s="6">
        <v>137037</v>
      </c>
      <c r="J155" s="6">
        <v>48298</v>
      </c>
      <c r="K155">
        <v>0</v>
      </c>
      <c r="L155" s="6">
        <v>185335</v>
      </c>
      <c r="M155">
        <v>213</v>
      </c>
      <c r="N155">
        <v>58</v>
      </c>
      <c r="O155">
        <v>271</v>
      </c>
      <c r="P155" s="6">
        <v>27333</v>
      </c>
      <c r="Q155" s="6">
        <v>0</v>
      </c>
      <c r="R155" s="6">
        <v>36236</v>
      </c>
      <c r="S155" s="6">
        <v>40393</v>
      </c>
      <c r="T155" s="6">
        <v>289568</v>
      </c>
      <c r="U155" s="6">
        <v>164582</v>
      </c>
      <c r="V155" s="6">
        <v>124986</v>
      </c>
    </row>
    <row r="156" spans="1:22" x14ac:dyDescent="0.25">
      <c r="A156">
        <v>2026</v>
      </c>
      <c r="B156" s="1" t="s">
        <v>12</v>
      </c>
      <c r="C156" t="s">
        <v>40</v>
      </c>
      <c r="D156" s="1" t="s">
        <v>543</v>
      </c>
      <c r="E156" t="s">
        <v>218</v>
      </c>
      <c r="F156" s="6">
        <v>117926</v>
      </c>
      <c r="G156" s="6">
        <v>93227</v>
      </c>
      <c r="H156" s="6">
        <v>19968</v>
      </c>
      <c r="I156" s="6">
        <v>73259</v>
      </c>
      <c r="J156" s="6">
        <v>24699</v>
      </c>
      <c r="K156" s="6">
        <v>13292</v>
      </c>
      <c r="L156" s="6">
        <v>111250</v>
      </c>
      <c r="M156">
        <v>190</v>
      </c>
      <c r="N156">
        <v>51</v>
      </c>
      <c r="O156">
        <v>241</v>
      </c>
      <c r="P156" s="6">
        <v>12109</v>
      </c>
      <c r="Q156" s="6">
        <v>0</v>
      </c>
      <c r="R156" s="6">
        <v>18847</v>
      </c>
      <c r="S156" s="6">
        <v>20839</v>
      </c>
      <c r="T156" s="6">
        <v>163286</v>
      </c>
      <c r="U156" s="6">
        <v>85559</v>
      </c>
      <c r="V156" s="6">
        <v>77727</v>
      </c>
    </row>
    <row r="157" spans="1:22" x14ac:dyDescent="0.25">
      <c r="A157">
        <v>2026</v>
      </c>
      <c r="B157" s="1" t="s">
        <v>6</v>
      </c>
      <c r="C157" t="s">
        <v>34</v>
      </c>
      <c r="D157" s="1" t="s">
        <v>544</v>
      </c>
      <c r="E157" t="s">
        <v>219</v>
      </c>
      <c r="F157" s="6">
        <v>129983</v>
      </c>
      <c r="G157" s="6">
        <v>99912</v>
      </c>
      <c r="H157" s="6">
        <v>21399</v>
      </c>
      <c r="I157" s="6">
        <v>78513</v>
      </c>
      <c r="J157" s="6">
        <v>30071</v>
      </c>
      <c r="K157" s="6">
        <v>3808</v>
      </c>
      <c r="L157" s="6">
        <v>112392</v>
      </c>
      <c r="M157">
        <v>0</v>
      </c>
      <c r="N157">
        <v>0</v>
      </c>
      <c r="O157">
        <v>0</v>
      </c>
      <c r="P157" s="6">
        <v>14164</v>
      </c>
      <c r="Q157" s="6">
        <v>0</v>
      </c>
      <c r="R157" s="6">
        <v>20713</v>
      </c>
      <c r="S157" s="6">
        <v>23192</v>
      </c>
      <c r="T157" s="6">
        <v>170461</v>
      </c>
      <c r="U157" s="6">
        <v>92677</v>
      </c>
      <c r="V157" s="6">
        <v>77784</v>
      </c>
    </row>
    <row r="158" spans="1:22" x14ac:dyDescent="0.25">
      <c r="A158">
        <v>2026</v>
      </c>
      <c r="B158" s="1" t="s">
        <v>11</v>
      </c>
      <c r="C158" t="s">
        <v>39</v>
      </c>
      <c r="D158" s="1" t="s">
        <v>545</v>
      </c>
      <c r="E158" t="s">
        <v>220</v>
      </c>
      <c r="F158" s="6">
        <v>237334</v>
      </c>
      <c r="G158" s="6">
        <v>184155</v>
      </c>
      <c r="H158" s="6">
        <v>39443</v>
      </c>
      <c r="I158" s="6">
        <v>144712</v>
      </c>
      <c r="J158" s="6">
        <v>53179</v>
      </c>
      <c r="K158">
        <v>0</v>
      </c>
      <c r="L158" s="6">
        <v>197891</v>
      </c>
      <c r="M158">
        <v>345</v>
      </c>
      <c r="N158">
        <v>100</v>
      </c>
      <c r="O158">
        <v>445</v>
      </c>
      <c r="P158" s="6">
        <v>23934</v>
      </c>
      <c r="Q158" s="6">
        <v>0</v>
      </c>
      <c r="R158" s="6">
        <v>40728</v>
      </c>
      <c r="S158" s="6">
        <v>45589</v>
      </c>
      <c r="T158" s="6">
        <v>308587</v>
      </c>
      <c r="U158" s="6">
        <v>168991</v>
      </c>
      <c r="V158" s="6">
        <v>139596</v>
      </c>
    </row>
    <row r="159" spans="1:22" x14ac:dyDescent="0.25">
      <c r="A159">
        <v>2026</v>
      </c>
      <c r="B159" s="1" t="s">
        <v>11</v>
      </c>
      <c r="C159" t="s">
        <v>39</v>
      </c>
      <c r="D159" s="1" t="s">
        <v>546</v>
      </c>
      <c r="E159" t="s">
        <v>221</v>
      </c>
      <c r="F159" s="6">
        <v>883388</v>
      </c>
      <c r="G159" s="6">
        <v>685452</v>
      </c>
      <c r="H159" s="6">
        <v>146813</v>
      </c>
      <c r="I159" s="6">
        <v>538639</v>
      </c>
      <c r="J159" s="6">
        <v>197936</v>
      </c>
      <c r="K159">
        <v>0</v>
      </c>
      <c r="L159" s="6">
        <v>736575</v>
      </c>
      <c r="M159" s="6">
        <v>1286</v>
      </c>
      <c r="N159">
        <v>372</v>
      </c>
      <c r="O159" s="6">
        <v>1658</v>
      </c>
      <c r="P159" s="6">
        <v>89084</v>
      </c>
      <c r="Q159" s="6">
        <v>0</v>
      </c>
      <c r="R159" s="6">
        <v>173292</v>
      </c>
      <c r="S159" s="6">
        <v>193974</v>
      </c>
      <c r="T159" s="6">
        <v>1194583</v>
      </c>
      <c r="U159" s="6">
        <v>629009</v>
      </c>
      <c r="V159" s="6">
        <v>565574</v>
      </c>
    </row>
    <row r="160" spans="1:22" x14ac:dyDescent="0.25">
      <c r="A160">
        <v>2026</v>
      </c>
      <c r="B160" s="1" t="s">
        <v>12</v>
      </c>
      <c r="C160" t="s">
        <v>40</v>
      </c>
      <c r="D160" s="1" t="s">
        <v>547</v>
      </c>
      <c r="E160" t="s">
        <v>222</v>
      </c>
      <c r="F160" s="6">
        <v>173886</v>
      </c>
      <c r="G160" s="6">
        <v>137467</v>
      </c>
      <c r="H160" s="6">
        <v>29444</v>
      </c>
      <c r="I160" s="6">
        <v>108023</v>
      </c>
      <c r="J160" s="6">
        <v>36419</v>
      </c>
      <c r="K160">
        <v>718</v>
      </c>
      <c r="L160" s="6">
        <v>145160</v>
      </c>
      <c r="M160">
        <v>282</v>
      </c>
      <c r="N160">
        <v>74</v>
      </c>
      <c r="O160">
        <v>356</v>
      </c>
      <c r="P160" s="6">
        <v>17931</v>
      </c>
      <c r="Q160" s="6">
        <v>0</v>
      </c>
      <c r="R160" s="6">
        <v>29440</v>
      </c>
      <c r="S160" s="6">
        <v>32553</v>
      </c>
      <c r="T160" s="6">
        <v>225440</v>
      </c>
      <c r="U160" s="6">
        <v>126236</v>
      </c>
      <c r="V160" s="6">
        <v>99204</v>
      </c>
    </row>
    <row r="161" spans="1:22" x14ac:dyDescent="0.25">
      <c r="A161">
        <v>2026</v>
      </c>
      <c r="B161" s="1" t="s">
        <v>12</v>
      </c>
      <c r="C161" t="s">
        <v>40</v>
      </c>
      <c r="D161" s="1" t="s">
        <v>548</v>
      </c>
      <c r="E161" t="s">
        <v>223</v>
      </c>
      <c r="F161" s="6">
        <v>1057676</v>
      </c>
      <c r="G161" s="6">
        <v>836156</v>
      </c>
      <c r="H161" s="6">
        <v>179091</v>
      </c>
      <c r="I161" s="6">
        <v>657065</v>
      </c>
      <c r="J161" s="6">
        <v>221520</v>
      </c>
      <c r="K161">
        <v>106</v>
      </c>
      <c r="L161" s="6">
        <v>878691</v>
      </c>
      <c r="M161" s="6">
        <v>1708</v>
      </c>
      <c r="N161">
        <v>453</v>
      </c>
      <c r="O161" s="6">
        <v>2161</v>
      </c>
      <c r="P161" s="6">
        <v>108628</v>
      </c>
      <c r="Q161" s="6">
        <v>0</v>
      </c>
      <c r="R161" s="6">
        <v>186261</v>
      </c>
      <c r="S161" s="6">
        <v>205951</v>
      </c>
      <c r="T161" s="6">
        <v>1381692</v>
      </c>
      <c r="U161" s="6">
        <v>767401</v>
      </c>
      <c r="V161" s="6">
        <v>614291</v>
      </c>
    </row>
    <row r="162" spans="1:22" x14ac:dyDescent="0.25">
      <c r="A162">
        <v>2026</v>
      </c>
      <c r="B162" s="1" t="s">
        <v>9</v>
      </c>
      <c r="C162" t="s">
        <v>37</v>
      </c>
      <c r="D162" s="1" t="s">
        <v>549</v>
      </c>
      <c r="E162" t="s">
        <v>224</v>
      </c>
      <c r="F162" s="6">
        <v>2893962</v>
      </c>
      <c r="G162" s="6">
        <v>2294156</v>
      </c>
      <c r="H162" s="6">
        <v>491371</v>
      </c>
      <c r="I162" s="6">
        <v>1802785</v>
      </c>
      <c r="J162" s="6">
        <v>599806</v>
      </c>
      <c r="K162">
        <v>0</v>
      </c>
      <c r="L162" s="6">
        <v>2402591</v>
      </c>
      <c r="M162" s="6">
        <v>2550</v>
      </c>
      <c r="N162">
        <v>667</v>
      </c>
      <c r="O162" s="6">
        <v>3217</v>
      </c>
      <c r="P162" s="6">
        <v>274966</v>
      </c>
      <c r="Q162" s="6">
        <v>0</v>
      </c>
      <c r="R162" s="6">
        <v>530887</v>
      </c>
      <c r="S162" s="6">
        <v>583828</v>
      </c>
      <c r="T162" s="6">
        <v>3795489</v>
      </c>
      <c r="U162" s="6">
        <v>2080301</v>
      </c>
      <c r="V162" s="6">
        <v>1715188</v>
      </c>
    </row>
    <row r="163" spans="1:22" x14ac:dyDescent="0.25">
      <c r="A163">
        <v>2026</v>
      </c>
      <c r="B163" s="1" t="s">
        <v>9</v>
      </c>
      <c r="C163" t="s">
        <v>37</v>
      </c>
      <c r="D163" s="1" t="s">
        <v>550</v>
      </c>
      <c r="E163" t="s">
        <v>225</v>
      </c>
      <c r="F163" s="6">
        <v>262631</v>
      </c>
      <c r="G163" s="6">
        <v>208198</v>
      </c>
      <c r="H163" s="6">
        <v>44593</v>
      </c>
      <c r="I163" s="6">
        <v>163605</v>
      </c>
      <c r="J163" s="6">
        <v>54433</v>
      </c>
      <c r="K163">
        <v>0</v>
      </c>
      <c r="L163" s="6">
        <v>218038</v>
      </c>
      <c r="M163">
        <v>232</v>
      </c>
      <c r="N163">
        <v>60</v>
      </c>
      <c r="O163">
        <v>292</v>
      </c>
      <c r="P163" s="6">
        <v>24954</v>
      </c>
      <c r="Q163" s="6">
        <v>0</v>
      </c>
      <c r="R163" s="6">
        <v>44576</v>
      </c>
      <c r="S163" s="6">
        <v>49022</v>
      </c>
      <c r="T163" s="6">
        <v>336882</v>
      </c>
      <c r="U163" s="6">
        <v>188791</v>
      </c>
      <c r="V163" s="6">
        <v>148091</v>
      </c>
    </row>
    <row r="164" spans="1:22" x14ac:dyDescent="0.25">
      <c r="A164">
        <v>2026</v>
      </c>
      <c r="B164" s="1" t="s">
        <v>12</v>
      </c>
      <c r="C164" t="s">
        <v>40</v>
      </c>
      <c r="D164" s="1" t="s">
        <v>551</v>
      </c>
      <c r="E164" t="s">
        <v>226</v>
      </c>
      <c r="F164" s="6">
        <v>224261</v>
      </c>
      <c r="G164" s="6">
        <v>177291</v>
      </c>
      <c r="H164" s="6">
        <v>37973</v>
      </c>
      <c r="I164" s="6">
        <v>139318</v>
      </c>
      <c r="J164" s="6">
        <v>46970</v>
      </c>
      <c r="K164">
        <v>0</v>
      </c>
      <c r="L164" s="6">
        <v>186288</v>
      </c>
      <c r="M164">
        <v>362</v>
      </c>
      <c r="N164">
        <v>95</v>
      </c>
      <c r="O164">
        <v>457</v>
      </c>
      <c r="P164" s="6">
        <v>23029</v>
      </c>
      <c r="Q164" s="6">
        <v>0</v>
      </c>
      <c r="R164" s="6">
        <v>38214</v>
      </c>
      <c r="S164" s="6">
        <v>42254</v>
      </c>
      <c r="T164" s="6">
        <v>290242</v>
      </c>
      <c r="U164" s="6">
        <v>162709</v>
      </c>
      <c r="V164" s="6">
        <v>127533</v>
      </c>
    </row>
    <row r="165" spans="1:22" x14ac:dyDescent="0.25">
      <c r="A165">
        <v>2026</v>
      </c>
      <c r="B165" s="1" t="s">
        <v>9</v>
      </c>
      <c r="C165" t="s">
        <v>37</v>
      </c>
      <c r="D165" s="1" t="s">
        <v>552</v>
      </c>
      <c r="E165" t="s">
        <v>227</v>
      </c>
      <c r="F165" s="6">
        <v>112383</v>
      </c>
      <c r="G165" s="6">
        <v>89090</v>
      </c>
      <c r="H165" s="6">
        <v>19081</v>
      </c>
      <c r="I165" s="6">
        <v>70009</v>
      </c>
      <c r="J165" s="6">
        <v>23293</v>
      </c>
      <c r="K165" s="6">
        <v>16215</v>
      </c>
      <c r="L165" s="6">
        <v>109517</v>
      </c>
      <c r="M165">
        <v>102</v>
      </c>
      <c r="N165">
        <v>27</v>
      </c>
      <c r="O165">
        <v>129</v>
      </c>
      <c r="P165" s="6">
        <v>10678</v>
      </c>
      <c r="Q165" s="6">
        <v>0</v>
      </c>
      <c r="R165" s="6">
        <v>20014</v>
      </c>
      <c r="S165" s="6">
        <v>22010</v>
      </c>
      <c r="T165" s="6">
        <v>162348</v>
      </c>
      <c r="U165" s="6">
        <v>80789</v>
      </c>
      <c r="V165" s="6">
        <v>81559</v>
      </c>
    </row>
    <row r="166" spans="1:22" x14ac:dyDescent="0.25">
      <c r="A166">
        <v>2026</v>
      </c>
      <c r="B166" s="1" t="s">
        <v>8</v>
      </c>
      <c r="C166" t="s">
        <v>36</v>
      </c>
      <c r="D166" s="1" t="s">
        <v>553</v>
      </c>
      <c r="E166" t="s">
        <v>228</v>
      </c>
      <c r="F166" s="6">
        <v>264597</v>
      </c>
      <c r="G166" s="6">
        <v>208606</v>
      </c>
      <c r="H166" s="6">
        <v>44680</v>
      </c>
      <c r="I166" s="6">
        <v>163926</v>
      </c>
      <c r="J166" s="6">
        <v>55991</v>
      </c>
      <c r="K166">
        <v>0</v>
      </c>
      <c r="L166" s="6">
        <v>219917</v>
      </c>
      <c r="M166">
        <v>353</v>
      </c>
      <c r="N166">
        <v>95</v>
      </c>
      <c r="O166">
        <v>448</v>
      </c>
      <c r="P166" s="6">
        <v>24436</v>
      </c>
      <c r="Q166" s="6">
        <v>0</v>
      </c>
      <c r="R166" s="6">
        <v>43546</v>
      </c>
      <c r="S166" s="6">
        <v>47618</v>
      </c>
      <c r="T166" s="6">
        <v>335965</v>
      </c>
      <c r="U166" s="6">
        <v>188716</v>
      </c>
      <c r="V166" s="6">
        <v>147249</v>
      </c>
    </row>
    <row r="167" spans="1:22" x14ac:dyDescent="0.25">
      <c r="A167">
        <v>2026</v>
      </c>
      <c r="B167" s="1" t="s">
        <v>10</v>
      </c>
      <c r="C167" t="s">
        <v>38</v>
      </c>
      <c r="D167" s="1" t="s">
        <v>554</v>
      </c>
      <c r="E167" t="s">
        <v>229</v>
      </c>
      <c r="F167" s="6">
        <v>164800</v>
      </c>
      <c r="G167" s="6">
        <v>133363</v>
      </c>
      <c r="H167" s="6">
        <v>28565</v>
      </c>
      <c r="I167" s="6">
        <v>104798</v>
      </c>
      <c r="J167" s="6">
        <v>31437</v>
      </c>
      <c r="K167">
        <v>903</v>
      </c>
      <c r="L167" s="6">
        <v>137138</v>
      </c>
      <c r="M167">
        <v>0</v>
      </c>
      <c r="N167">
        <v>0</v>
      </c>
      <c r="O167">
        <v>0</v>
      </c>
      <c r="P167" s="6">
        <v>14185</v>
      </c>
      <c r="Q167" s="6">
        <v>0</v>
      </c>
      <c r="R167" s="6">
        <v>31717</v>
      </c>
      <c r="S167" s="6">
        <v>34856</v>
      </c>
      <c r="T167" s="6">
        <v>217896</v>
      </c>
      <c r="U167" s="6">
        <v>118983</v>
      </c>
      <c r="V167" s="6">
        <v>98913</v>
      </c>
    </row>
    <row r="168" spans="1:22" x14ac:dyDescent="0.25">
      <c r="A168">
        <v>2026</v>
      </c>
      <c r="B168" s="1" t="s">
        <v>10</v>
      </c>
      <c r="C168" t="s">
        <v>38</v>
      </c>
      <c r="D168" s="1" t="s">
        <v>555</v>
      </c>
      <c r="E168" t="s">
        <v>230</v>
      </c>
      <c r="F168" s="6">
        <v>236276</v>
      </c>
      <c r="G168" s="6">
        <v>191205</v>
      </c>
      <c r="H168" s="6">
        <v>40953</v>
      </c>
      <c r="I168" s="6">
        <v>150252</v>
      </c>
      <c r="J168" s="6">
        <v>45071</v>
      </c>
      <c r="K168" s="6">
        <v>9532</v>
      </c>
      <c r="L168" s="6">
        <v>204855</v>
      </c>
      <c r="M168">
        <v>0</v>
      </c>
      <c r="N168">
        <v>0</v>
      </c>
      <c r="O168">
        <v>0</v>
      </c>
      <c r="P168" s="6">
        <v>20787</v>
      </c>
      <c r="Q168" s="6">
        <v>0</v>
      </c>
      <c r="R168" s="6">
        <v>40278</v>
      </c>
      <c r="S168" s="6">
        <v>44265</v>
      </c>
      <c r="T168" s="6">
        <v>310185</v>
      </c>
      <c r="U168" s="6">
        <v>171039</v>
      </c>
      <c r="V168" s="6">
        <v>139146</v>
      </c>
    </row>
    <row r="169" spans="1:22" x14ac:dyDescent="0.25">
      <c r="A169">
        <v>2026</v>
      </c>
      <c r="B169" s="1" t="s">
        <v>6</v>
      </c>
      <c r="C169" t="s">
        <v>34</v>
      </c>
      <c r="D169" s="1" t="s">
        <v>556</v>
      </c>
      <c r="E169" t="s">
        <v>231</v>
      </c>
      <c r="F169" s="6">
        <v>260021</v>
      </c>
      <c r="G169" s="6">
        <v>199865</v>
      </c>
      <c r="H169" s="6">
        <v>42808</v>
      </c>
      <c r="I169" s="6">
        <v>157057</v>
      </c>
      <c r="J169" s="6">
        <v>60156</v>
      </c>
      <c r="K169">
        <v>0</v>
      </c>
      <c r="L169" s="6">
        <v>217213</v>
      </c>
      <c r="M169">
        <v>0</v>
      </c>
      <c r="N169">
        <v>0</v>
      </c>
      <c r="O169">
        <v>0</v>
      </c>
      <c r="P169" s="6">
        <v>27510</v>
      </c>
      <c r="Q169" s="6">
        <v>0</v>
      </c>
      <c r="R169" s="6">
        <v>48221</v>
      </c>
      <c r="S169" s="6">
        <v>53992</v>
      </c>
      <c r="T169" s="6">
        <v>346936</v>
      </c>
      <c r="U169" s="6">
        <v>184567</v>
      </c>
      <c r="V169" s="6">
        <v>162369</v>
      </c>
    </row>
    <row r="170" spans="1:22" x14ac:dyDescent="0.25">
      <c r="A170">
        <v>2026</v>
      </c>
      <c r="B170" s="1" t="s">
        <v>11</v>
      </c>
      <c r="C170" t="s">
        <v>39</v>
      </c>
      <c r="D170" s="1" t="s">
        <v>557</v>
      </c>
      <c r="E170" t="s">
        <v>232</v>
      </c>
      <c r="F170" s="6">
        <v>222277</v>
      </c>
      <c r="G170" s="6">
        <v>172472</v>
      </c>
      <c r="H170" s="6">
        <v>36941</v>
      </c>
      <c r="I170" s="6">
        <v>135531</v>
      </c>
      <c r="J170" s="6">
        <v>49805</v>
      </c>
      <c r="K170" s="6">
        <v>13100</v>
      </c>
      <c r="L170" s="6">
        <v>198436</v>
      </c>
      <c r="M170">
        <v>323</v>
      </c>
      <c r="N170">
        <v>93</v>
      </c>
      <c r="O170">
        <v>416</v>
      </c>
      <c r="P170" s="6">
        <v>22583</v>
      </c>
      <c r="Q170" s="6">
        <v>0</v>
      </c>
      <c r="R170" s="6">
        <v>38966</v>
      </c>
      <c r="S170" s="6">
        <v>43617</v>
      </c>
      <c r="T170" s="6">
        <v>304018</v>
      </c>
      <c r="U170" s="6">
        <v>158437</v>
      </c>
      <c r="V170" s="6">
        <v>145581</v>
      </c>
    </row>
    <row r="171" spans="1:22" x14ac:dyDescent="0.25">
      <c r="A171">
        <v>2026</v>
      </c>
      <c r="B171" s="1" t="s">
        <v>8</v>
      </c>
      <c r="C171" t="s">
        <v>36</v>
      </c>
      <c r="D171" s="1" t="s">
        <v>558</v>
      </c>
      <c r="E171" t="s">
        <v>233</v>
      </c>
      <c r="F171" s="6">
        <v>514320</v>
      </c>
      <c r="G171" s="6">
        <v>405485</v>
      </c>
      <c r="H171" s="6">
        <v>86849</v>
      </c>
      <c r="I171" s="6">
        <v>318636</v>
      </c>
      <c r="J171" s="6">
        <v>108835</v>
      </c>
      <c r="K171" s="6">
        <v>1353</v>
      </c>
      <c r="L171" s="6">
        <v>428824</v>
      </c>
      <c r="M171">
        <v>687</v>
      </c>
      <c r="N171">
        <v>185</v>
      </c>
      <c r="O171">
        <v>872</v>
      </c>
      <c r="P171" s="6">
        <v>47520</v>
      </c>
      <c r="Q171" s="6">
        <v>0</v>
      </c>
      <c r="R171" s="6">
        <v>87156</v>
      </c>
      <c r="S171" s="6">
        <v>95307</v>
      </c>
      <c r="T171" s="6">
        <v>659679</v>
      </c>
      <c r="U171" s="6">
        <v>366844</v>
      </c>
      <c r="V171" s="6">
        <v>292835</v>
      </c>
    </row>
    <row r="172" spans="1:22" x14ac:dyDescent="0.25">
      <c r="A172">
        <v>2026</v>
      </c>
      <c r="B172" s="1" t="s">
        <v>5</v>
      </c>
      <c r="C172" t="s">
        <v>33</v>
      </c>
      <c r="D172" s="1" t="s">
        <v>559</v>
      </c>
      <c r="E172" t="s">
        <v>234</v>
      </c>
      <c r="F172" s="6">
        <v>272319</v>
      </c>
      <c r="G172" s="6">
        <v>206870</v>
      </c>
      <c r="H172" s="6">
        <v>44308</v>
      </c>
      <c r="I172" s="6">
        <v>162562</v>
      </c>
      <c r="J172" s="6">
        <v>65449</v>
      </c>
      <c r="K172">
        <v>0</v>
      </c>
      <c r="L172" s="6">
        <v>228011</v>
      </c>
      <c r="M172">
        <v>535</v>
      </c>
      <c r="N172">
        <v>170</v>
      </c>
      <c r="O172">
        <v>705</v>
      </c>
      <c r="P172" s="6">
        <v>27006</v>
      </c>
      <c r="Q172" s="6">
        <v>0</v>
      </c>
      <c r="R172" s="6">
        <v>46465</v>
      </c>
      <c r="S172" s="6">
        <v>51755</v>
      </c>
      <c r="T172" s="6">
        <v>353942</v>
      </c>
      <c r="U172" s="6">
        <v>190104</v>
      </c>
      <c r="V172" s="6">
        <v>163838</v>
      </c>
    </row>
    <row r="173" spans="1:22" x14ac:dyDescent="0.25">
      <c r="A173">
        <v>2026</v>
      </c>
      <c r="B173" s="1" t="s">
        <v>11</v>
      </c>
      <c r="C173" t="s">
        <v>39</v>
      </c>
      <c r="D173" s="1" t="s">
        <v>560</v>
      </c>
      <c r="E173" t="s">
        <v>235</v>
      </c>
      <c r="F173" s="6">
        <v>180735</v>
      </c>
      <c r="G173" s="6">
        <v>140238</v>
      </c>
      <c r="H173" s="6">
        <v>30037</v>
      </c>
      <c r="I173" s="6">
        <v>110201</v>
      </c>
      <c r="J173" s="6">
        <v>40497</v>
      </c>
      <c r="K173" s="6">
        <v>2737</v>
      </c>
      <c r="L173" s="6">
        <v>153435</v>
      </c>
      <c r="M173">
        <v>262</v>
      </c>
      <c r="N173">
        <v>76</v>
      </c>
      <c r="O173">
        <v>338</v>
      </c>
      <c r="P173" s="6">
        <v>18497</v>
      </c>
      <c r="Q173" s="6">
        <v>0</v>
      </c>
      <c r="R173" s="6">
        <v>29894</v>
      </c>
      <c r="S173" s="6">
        <v>33461</v>
      </c>
      <c r="T173" s="6">
        <v>235625</v>
      </c>
      <c r="U173" s="6">
        <v>128961</v>
      </c>
      <c r="V173" s="6">
        <v>106664</v>
      </c>
    </row>
    <row r="174" spans="1:22" x14ac:dyDescent="0.25">
      <c r="A174">
        <v>2026</v>
      </c>
      <c r="B174" s="1" t="s">
        <v>9</v>
      </c>
      <c r="C174" t="s">
        <v>37</v>
      </c>
      <c r="D174" s="1" t="s">
        <v>561</v>
      </c>
      <c r="E174" t="s">
        <v>236</v>
      </c>
      <c r="F174" s="6">
        <v>692706</v>
      </c>
      <c r="G174" s="6">
        <v>549135</v>
      </c>
      <c r="H174" s="6">
        <v>117616</v>
      </c>
      <c r="I174" s="6">
        <v>431519</v>
      </c>
      <c r="J174" s="6">
        <v>143571</v>
      </c>
      <c r="K174">
        <v>593</v>
      </c>
      <c r="L174" s="6">
        <v>575683</v>
      </c>
      <c r="M174">
        <v>610</v>
      </c>
      <c r="N174">
        <v>159</v>
      </c>
      <c r="O174">
        <v>769</v>
      </c>
      <c r="P174" s="6">
        <v>65817</v>
      </c>
      <c r="Q174" s="6">
        <v>0</v>
      </c>
      <c r="R174" s="6">
        <v>117874</v>
      </c>
      <c r="S174" s="6">
        <v>129628</v>
      </c>
      <c r="T174" s="6">
        <v>889771</v>
      </c>
      <c r="U174" s="6">
        <v>497946</v>
      </c>
      <c r="V174" s="6">
        <v>391825</v>
      </c>
    </row>
    <row r="175" spans="1:22" x14ac:dyDescent="0.25">
      <c r="A175">
        <v>2026</v>
      </c>
      <c r="B175" s="1" t="s">
        <v>7</v>
      </c>
      <c r="C175" t="s">
        <v>35</v>
      </c>
      <c r="D175" s="1" t="s">
        <v>562</v>
      </c>
      <c r="E175" t="s">
        <v>237</v>
      </c>
      <c r="F175" s="6">
        <v>2172609</v>
      </c>
      <c r="G175" s="6">
        <v>1701396</v>
      </c>
      <c r="H175" s="6">
        <v>364412</v>
      </c>
      <c r="I175" s="6">
        <v>1336984</v>
      </c>
      <c r="J175" s="6">
        <v>471213</v>
      </c>
      <c r="K175">
        <v>0</v>
      </c>
      <c r="L175" s="6">
        <v>1808197</v>
      </c>
      <c r="M175" s="6">
        <v>2078</v>
      </c>
      <c r="N175">
        <v>576</v>
      </c>
      <c r="O175" s="6">
        <v>2654</v>
      </c>
      <c r="P175" s="6">
        <v>266675</v>
      </c>
      <c r="Q175" s="6">
        <v>0</v>
      </c>
      <c r="R175" s="6">
        <v>370260</v>
      </c>
      <c r="S175" s="6">
        <v>412735</v>
      </c>
      <c r="T175" s="6">
        <v>2860521</v>
      </c>
      <c r="U175" s="6">
        <v>1605738</v>
      </c>
      <c r="V175" s="6">
        <v>1254783</v>
      </c>
    </row>
    <row r="176" spans="1:22" x14ac:dyDescent="0.25">
      <c r="A176">
        <v>2026</v>
      </c>
      <c r="B176" s="1" t="s">
        <v>10</v>
      </c>
      <c r="C176" t="s">
        <v>38</v>
      </c>
      <c r="D176" s="1" t="s">
        <v>563</v>
      </c>
      <c r="E176" t="s">
        <v>238</v>
      </c>
      <c r="F176" s="6">
        <v>179841</v>
      </c>
      <c r="G176" s="6">
        <v>145535</v>
      </c>
      <c r="H176" s="6">
        <v>31171</v>
      </c>
      <c r="I176" s="6">
        <v>114364</v>
      </c>
      <c r="J176" s="6">
        <v>34306</v>
      </c>
      <c r="K176">
        <v>691</v>
      </c>
      <c r="L176" s="6">
        <v>149361</v>
      </c>
      <c r="M176">
        <v>0</v>
      </c>
      <c r="N176">
        <v>0</v>
      </c>
      <c r="O176">
        <v>0</v>
      </c>
      <c r="P176" s="6">
        <v>15455</v>
      </c>
      <c r="Q176" s="6">
        <v>0</v>
      </c>
      <c r="R176" s="6">
        <v>32300</v>
      </c>
      <c r="S176" s="6">
        <v>35497</v>
      </c>
      <c r="T176" s="6">
        <v>232613</v>
      </c>
      <c r="U176" s="6">
        <v>129819</v>
      </c>
      <c r="V176" s="6">
        <v>102794</v>
      </c>
    </row>
    <row r="177" spans="1:22" x14ac:dyDescent="0.25">
      <c r="A177">
        <v>2026</v>
      </c>
      <c r="B177" s="1" t="s">
        <v>7</v>
      </c>
      <c r="C177" t="s">
        <v>35</v>
      </c>
      <c r="D177" s="1" t="s">
        <v>564</v>
      </c>
      <c r="E177" t="s">
        <v>239</v>
      </c>
      <c r="F177" s="6">
        <v>1371837</v>
      </c>
      <c r="G177" s="6">
        <v>1074302</v>
      </c>
      <c r="H177" s="6">
        <v>230099</v>
      </c>
      <c r="I177" s="6">
        <v>844203</v>
      </c>
      <c r="J177" s="6">
        <v>297535</v>
      </c>
      <c r="K177" s="6">
        <v>4861</v>
      </c>
      <c r="L177" s="6">
        <v>1146599</v>
      </c>
      <c r="M177" s="6">
        <v>1314</v>
      </c>
      <c r="N177">
        <v>364</v>
      </c>
      <c r="O177" s="6">
        <v>1678</v>
      </c>
      <c r="P177" s="6">
        <v>169538</v>
      </c>
      <c r="Q177" s="6">
        <v>0</v>
      </c>
      <c r="R177" s="6">
        <v>251628</v>
      </c>
      <c r="S177" s="6">
        <v>280494</v>
      </c>
      <c r="T177" s="6">
        <v>1849937</v>
      </c>
      <c r="U177" s="6">
        <v>1015055</v>
      </c>
      <c r="V177" s="6">
        <v>834882</v>
      </c>
    </row>
    <row r="178" spans="1:22" x14ac:dyDescent="0.25">
      <c r="A178">
        <v>2026</v>
      </c>
      <c r="B178" s="1" t="s">
        <v>13</v>
      </c>
      <c r="C178" t="s">
        <v>41</v>
      </c>
      <c r="D178" s="1" t="s">
        <v>565</v>
      </c>
      <c r="E178" t="s">
        <v>240</v>
      </c>
      <c r="F178" s="6">
        <v>332642</v>
      </c>
      <c r="G178" s="6">
        <v>264977</v>
      </c>
      <c r="H178" s="6">
        <v>56754</v>
      </c>
      <c r="I178" s="6">
        <v>208223</v>
      </c>
      <c r="J178" s="6">
        <v>67665</v>
      </c>
      <c r="K178">
        <v>0</v>
      </c>
      <c r="L178" s="6">
        <v>275888</v>
      </c>
      <c r="M178">
        <v>604</v>
      </c>
      <c r="N178">
        <v>155</v>
      </c>
      <c r="O178">
        <v>759</v>
      </c>
      <c r="P178" s="6">
        <v>33468</v>
      </c>
      <c r="Q178" s="6">
        <v>0</v>
      </c>
      <c r="R178" s="6">
        <v>57035</v>
      </c>
      <c r="S178" s="6">
        <v>62716</v>
      </c>
      <c r="T178" s="6">
        <v>429866</v>
      </c>
      <c r="U178" s="6">
        <v>242295</v>
      </c>
      <c r="V178" s="6">
        <v>187571</v>
      </c>
    </row>
    <row r="179" spans="1:22" x14ac:dyDescent="0.25">
      <c r="A179">
        <v>2026</v>
      </c>
      <c r="B179" s="1" t="s">
        <v>10</v>
      </c>
      <c r="C179" t="s">
        <v>38</v>
      </c>
      <c r="D179" s="1" t="s">
        <v>566</v>
      </c>
      <c r="E179" t="s">
        <v>241</v>
      </c>
      <c r="F179" s="6">
        <v>109999</v>
      </c>
      <c r="G179" s="6">
        <v>89016</v>
      </c>
      <c r="H179" s="6">
        <v>19066</v>
      </c>
      <c r="I179" s="6">
        <v>69950</v>
      </c>
      <c r="J179" s="6">
        <v>20983</v>
      </c>
      <c r="K179" s="6">
        <v>6906</v>
      </c>
      <c r="L179" s="6">
        <v>97839</v>
      </c>
      <c r="M179">
        <v>0</v>
      </c>
      <c r="N179">
        <v>0</v>
      </c>
      <c r="O179">
        <v>0</v>
      </c>
      <c r="P179" s="6">
        <v>9453</v>
      </c>
      <c r="Q179" s="6">
        <v>0</v>
      </c>
      <c r="R179" s="6">
        <v>18745</v>
      </c>
      <c r="S179" s="6">
        <v>20600</v>
      </c>
      <c r="T179" s="6">
        <v>146637</v>
      </c>
      <c r="U179" s="6">
        <v>79403</v>
      </c>
      <c r="V179" s="6">
        <v>67234</v>
      </c>
    </row>
    <row r="180" spans="1:22" x14ac:dyDescent="0.25">
      <c r="A180">
        <v>2026</v>
      </c>
      <c r="B180" s="1" t="s">
        <v>5</v>
      </c>
      <c r="C180" t="s">
        <v>33</v>
      </c>
      <c r="D180" s="1" t="s">
        <v>567</v>
      </c>
      <c r="E180" t="s">
        <v>242</v>
      </c>
      <c r="F180" s="6">
        <v>325342</v>
      </c>
      <c r="G180" s="6">
        <v>247150</v>
      </c>
      <c r="H180" s="6">
        <v>52936</v>
      </c>
      <c r="I180" s="6">
        <v>194214</v>
      </c>
      <c r="J180" s="6">
        <v>78192</v>
      </c>
      <c r="K180">
        <v>570</v>
      </c>
      <c r="L180" s="6">
        <v>272976</v>
      </c>
      <c r="M180">
        <v>640</v>
      </c>
      <c r="N180">
        <v>203</v>
      </c>
      <c r="O180">
        <v>843</v>
      </c>
      <c r="P180" s="6">
        <v>32300</v>
      </c>
      <c r="Q180" s="6">
        <v>0</v>
      </c>
      <c r="R180" s="6">
        <v>52273</v>
      </c>
      <c r="S180" s="6">
        <v>58225</v>
      </c>
      <c r="T180" s="6">
        <v>416617</v>
      </c>
      <c r="U180" s="6">
        <v>227154</v>
      </c>
      <c r="V180" s="6">
        <v>189463</v>
      </c>
    </row>
    <row r="181" spans="1:22" x14ac:dyDescent="0.25">
      <c r="A181">
        <v>2026</v>
      </c>
      <c r="B181" s="1" t="s">
        <v>9</v>
      </c>
      <c r="C181" t="s">
        <v>37</v>
      </c>
      <c r="D181" s="1" t="s">
        <v>568</v>
      </c>
      <c r="E181" t="s">
        <v>243</v>
      </c>
      <c r="F181" s="6">
        <v>450543</v>
      </c>
      <c r="G181" s="6">
        <v>357163</v>
      </c>
      <c r="H181" s="6">
        <v>76499</v>
      </c>
      <c r="I181" s="6">
        <v>280664</v>
      </c>
      <c r="J181" s="6">
        <v>93380</v>
      </c>
      <c r="K181" s="6">
        <v>8270</v>
      </c>
      <c r="L181" s="6">
        <v>382314</v>
      </c>
      <c r="M181">
        <v>397</v>
      </c>
      <c r="N181">
        <v>104</v>
      </c>
      <c r="O181">
        <v>501</v>
      </c>
      <c r="P181" s="6">
        <v>43066</v>
      </c>
      <c r="Q181" s="6">
        <v>0</v>
      </c>
      <c r="R181" s="6">
        <v>85579</v>
      </c>
      <c r="S181" s="6">
        <v>94113</v>
      </c>
      <c r="T181" s="6">
        <v>605573</v>
      </c>
      <c r="U181" s="6">
        <v>324128</v>
      </c>
      <c r="V181" s="6">
        <v>281445</v>
      </c>
    </row>
    <row r="182" spans="1:22" x14ac:dyDescent="0.25">
      <c r="A182">
        <v>2026</v>
      </c>
      <c r="B182" s="1" t="s">
        <v>9</v>
      </c>
      <c r="C182" t="s">
        <v>37</v>
      </c>
      <c r="D182" s="1" t="s">
        <v>569</v>
      </c>
      <c r="E182" t="s">
        <v>244</v>
      </c>
      <c r="F182" s="6">
        <v>198117</v>
      </c>
      <c r="G182" s="6">
        <v>157055</v>
      </c>
      <c r="H182" s="6">
        <v>33639</v>
      </c>
      <c r="I182" s="6">
        <v>123416</v>
      </c>
      <c r="J182" s="6">
        <v>41062</v>
      </c>
      <c r="K182">
        <v>0</v>
      </c>
      <c r="L182" s="6">
        <v>164478</v>
      </c>
      <c r="M182">
        <v>174</v>
      </c>
      <c r="N182">
        <v>45</v>
      </c>
      <c r="O182">
        <v>219</v>
      </c>
      <c r="P182" s="6">
        <v>18824</v>
      </c>
      <c r="Q182" s="6">
        <v>0</v>
      </c>
      <c r="R182" s="6">
        <v>32360</v>
      </c>
      <c r="S182" s="6">
        <v>35587</v>
      </c>
      <c r="T182" s="6">
        <v>251468</v>
      </c>
      <c r="U182" s="6">
        <v>142414</v>
      </c>
      <c r="V182" s="6">
        <v>109054</v>
      </c>
    </row>
    <row r="183" spans="1:22" x14ac:dyDescent="0.25">
      <c r="A183">
        <v>2026</v>
      </c>
      <c r="B183" s="1" t="s">
        <v>12</v>
      </c>
      <c r="C183" t="s">
        <v>40</v>
      </c>
      <c r="D183" s="1" t="s">
        <v>570</v>
      </c>
      <c r="E183" t="s">
        <v>245</v>
      </c>
      <c r="F183" s="6">
        <v>298567</v>
      </c>
      <c r="G183" s="6">
        <v>236035</v>
      </c>
      <c r="H183" s="6">
        <v>50555</v>
      </c>
      <c r="I183" s="6">
        <v>185480</v>
      </c>
      <c r="J183" s="6">
        <v>62532</v>
      </c>
      <c r="K183" s="6">
        <v>0</v>
      </c>
      <c r="L183" s="6">
        <v>248012</v>
      </c>
      <c r="M183">
        <v>483</v>
      </c>
      <c r="N183">
        <v>128</v>
      </c>
      <c r="O183">
        <v>611</v>
      </c>
      <c r="P183" s="6">
        <v>30659</v>
      </c>
      <c r="Q183" s="6">
        <v>0</v>
      </c>
      <c r="R183" s="6">
        <v>48158</v>
      </c>
      <c r="S183" s="6">
        <v>53248</v>
      </c>
      <c r="T183" s="6">
        <v>380688</v>
      </c>
      <c r="U183" s="6">
        <v>216622</v>
      </c>
      <c r="V183" s="6">
        <v>164066</v>
      </c>
    </row>
    <row r="184" spans="1:22" x14ac:dyDescent="0.25">
      <c r="A184">
        <v>2026</v>
      </c>
      <c r="B184" s="1" t="s">
        <v>11</v>
      </c>
      <c r="C184" t="s">
        <v>39</v>
      </c>
      <c r="D184" s="1" t="s">
        <v>571</v>
      </c>
      <c r="E184" t="s">
        <v>246</v>
      </c>
      <c r="F184" s="6">
        <v>620106</v>
      </c>
      <c r="G184" s="6">
        <v>481162</v>
      </c>
      <c r="H184" s="6">
        <v>103057</v>
      </c>
      <c r="I184" s="6">
        <v>378105</v>
      </c>
      <c r="J184" s="6">
        <v>138944</v>
      </c>
      <c r="K184">
        <v>0</v>
      </c>
      <c r="L184" s="6">
        <v>517049</v>
      </c>
      <c r="M184">
        <v>903</v>
      </c>
      <c r="N184">
        <v>260</v>
      </c>
      <c r="O184" s="6">
        <v>1163</v>
      </c>
      <c r="P184" s="6">
        <v>62534</v>
      </c>
      <c r="Q184" s="6">
        <v>0</v>
      </c>
      <c r="R184" s="6">
        <v>135827</v>
      </c>
      <c r="S184" s="6">
        <v>152038</v>
      </c>
      <c r="T184" s="6">
        <v>868611</v>
      </c>
      <c r="U184" s="6">
        <v>441541</v>
      </c>
      <c r="V184" s="6">
        <v>427070</v>
      </c>
    </row>
    <row r="185" spans="1:22" x14ac:dyDescent="0.25">
      <c r="A185">
        <v>2026</v>
      </c>
      <c r="B185" s="1" t="s">
        <v>7</v>
      </c>
      <c r="C185" t="s">
        <v>35</v>
      </c>
      <c r="D185" s="1" t="s">
        <v>572</v>
      </c>
      <c r="E185" t="s">
        <v>247</v>
      </c>
      <c r="F185" s="6">
        <v>176742</v>
      </c>
      <c r="G185" s="6">
        <v>138408</v>
      </c>
      <c r="H185" s="6">
        <v>29645</v>
      </c>
      <c r="I185" s="6">
        <v>108763</v>
      </c>
      <c r="J185" s="6">
        <v>38334</v>
      </c>
      <c r="K185" s="6">
        <v>4637</v>
      </c>
      <c r="L185" s="6">
        <v>151734</v>
      </c>
      <c r="M185">
        <v>168</v>
      </c>
      <c r="N185">
        <v>47</v>
      </c>
      <c r="O185">
        <v>215</v>
      </c>
      <c r="P185" s="6">
        <v>21779</v>
      </c>
      <c r="Q185" s="6">
        <v>0</v>
      </c>
      <c r="R185" s="6">
        <v>30033</v>
      </c>
      <c r="S185" s="6">
        <v>33479</v>
      </c>
      <c r="T185" s="6">
        <v>237240</v>
      </c>
      <c r="U185" s="6">
        <v>130711</v>
      </c>
      <c r="V185" s="6">
        <v>106529</v>
      </c>
    </row>
    <row r="186" spans="1:22" x14ac:dyDescent="0.25">
      <c r="A186">
        <v>2026</v>
      </c>
      <c r="B186" s="1" t="s">
        <v>9</v>
      </c>
      <c r="C186" t="s">
        <v>37</v>
      </c>
      <c r="D186" s="1" t="s">
        <v>573</v>
      </c>
      <c r="E186" t="s">
        <v>248</v>
      </c>
      <c r="F186" s="6">
        <v>381225</v>
      </c>
      <c r="G186" s="6">
        <v>302212</v>
      </c>
      <c r="H186" s="6">
        <v>64728</v>
      </c>
      <c r="I186" s="6">
        <v>237484</v>
      </c>
      <c r="J186" s="6">
        <v>79013</v>
      </c>
      <c r="K186">
        <v>0</v>
      </c>
      <c r="L186" s="6">
        <v>316497</v>
      </c>
      <c r="M186">
        <v>337</v>
      </c>
      <c r="N186">
        <v>88</v>
      </c>
      <c r="O186">
        <v>425</v>
      </c>
      <c r="P186" s="6">
        <v>36222</v>
      </c>
      <c r="Q186" s="6">
        <v>0</v>
      </c>
      <c r="R186" s="6">
        <v>65825</v>
      </c>
      <c r="S186" s="6">
        <v>72389</v>
      </c>
      <c r="T186" s="6">
        <v>491358</v>
      </c>
      <c r="U186" s="6">
        <v>274042</v>
      </c>
      <c r="V186" s="6">
        <v>217316</v>
      </c>
    </row>
    <row r="187" spans="1:22" x14ac:dyDescent="0.25">
      <c r="A187">
        <v>2026</v>
      </c>
      <c r="B187" s="1" t="s">
        <v>13</v>
      </c>
      <c r="C187" t="s">
        <v>41</v>
      </c>
      <c r="D187" s="1" t="s">
        <v>574</v>
      </c>
      <c r="E187" t="s">
        <v>249</v>
      </c>
      <c r="F187" s="6">
        <v>121642</v>
      </c>
      <c r="G187" s="6">
        <v>96898</v>
      </c>
      <c r="H187" s="6">
        <v>20754</v>
      </c>
      <c r="I187" s="6">
        <v>76144</v>
      </c>
      <c r="J187" s="6">
        <v>24744</v>
      </c>
      <c r="K187" s="6">
        <v>6922</v>
      </c>
      <c r="L187" s="6">
        <v>107810</v>
      </c>
      <c r="M187">
        <v>221</v>
      </c>
      <c r="N187">
        <v>56</v>
      </c>
      <c r="O187">
        <v>277</v>
      </c>
      <c r="P187" s="6">
        <v>12362</v>
      </c>
      <c r="Q187" s="6">
        <v>0</v>
      </c>
      <c r="R187" s="6">
        <v>19748</v>
      </c>
      <c r="S187" s="6">
        <v>21715</v>
      </c>
      <c r="T187" s="6">
        <v>161912</v>
      </c>
      <c r="U187" s="6">
        <v>88727</v>
      </c>
      <c r="V187" s="6">
        <v>73185</v>
      </c>
    </row>
    <row r="188" spans="1:22" x14ac:dyDescent="0.25">
      <c r="A188">
        <v>2026</v>
      </c>
      <c r="B188" s="1" t="s">
        <v>12</v>
      </c>
      <c r="C188" t="s">
        <v>40</v>
      </c>
      <c r="D188" s="1" t="s">
        <v>575</v>
      </c>
      <c r="E188" t="s">
        <v>250</v>
      </c>
      <c r="F188" s="6">
        <v>86369</v>
      </c>
      <c r="G188" s="6">
        <v>68280</v>
      </c>
      <c r="H188" s="6">
        <v>14625</v>
      </c>
      <c r="I188" s="6">
        <v>53655</v>
      </c>
      <c r="J188" s="6">
        <v>18089</v>
      </c>
      <c r="K188" s="6">
        <v>6499</v>
      </c>
      <c r="L188" s="6">
        <v>78243</v>
      </c>
      <c r="M188">
        <v>138</v>
      </c>
      <c r="N188">
        <v>37</v>
      </c>
      <c r="O188">
        <v>175</v>
      </c>
      <c r="P188" s="6">
        <v>9275</v>
      </c>
      <c r="Q188">
        <v>0</v>
      </c>
      <c r="R188" s="6">
        <v>13388</v>
      </c>
      <c r="S188" s="6">
        <v>14803</v>
      </c>
      <c r="T188" s="6">
        <v>115884</v>
      </c>
      <c r="U188" s="6">
        <v>63068</v>
      </c>
      <c r="V188" s="6">
        <v>52816</v>
      </c>
    </row>
    <row r="189" spans="1:22" x14ac:dyDescent="0.25">
      <c r="A189">
        <v>2026</v>
      </c>
      <c r="B189" s="1" t="s">
        <v>13</v>
      </c>
      <c r="C189" t="s">
        <v>41</v>
      </c>
      <c r="D189" s="1" t="s">
        <v>576</v>
      </c>
      <c r="E189" t="s">
        <v>251</v>
      </c>
      <c r="F189" s="6">
        <v>76153</v>
      </c>
      <c r="G189" s="6">
        <v>60662</v>
      </c>
      <c r="H189" s="6">
        <v>12992</v>
      </c>
      <c r="I189" s="6">
        <v>47670</v>
      </c>
      <c r="J189" s="6">
        <v>15491</v>
      </c>
      <c r="K189">
        <v>49</v>
      </c>
      <c r="L189" s="6">
        <v>63210</v>
      </c>
      <c r="M189">
        <v>138</v>
      </c>
      <c r="N189">
        <v>35</v>
      </c>
      <c r="O189">
        <v>173</v>
      </c>
      <c r="P189" s="6">
        <v>7664</v>
      </c>
      <c r="Q189">
        <v>0</v>
      </c>
      <c r="R189" s="6">
        <v>12407</v>
      </c>
      <c r="S189" s="6">
        <v>13643</v>
      </c>
      <c r="T189" s="6">
        <v>97097</v>
      </c>
      <c r="U189" s="6">
        <v>55472</v>
      </c>
      <c r="V189" s="6">
        <v>41625</v>
      </c>
    </row>
    <row r="190" spans="1:22" x14ac:dyDescent="0.25">
      <c r="A190">
        <v>2026</v>
      </c>
      <c r="B190" s="1" t="s">
        <v>13</v>
      </c>
      <c r="C190" t="s">
        <v>41</v>
      </c>
      <c r="D190" s="1" t="s">
        <v>577</v>
      </c>
      <c r="E190" t="s">
        <v>252</v>
      </c>
      <c r="F190" s="6">
        <v>77653</v>
      </c>
      <c r="G190" s="6">
        <v>61857</v>
      </c>
      <c r="H190" s="6">
        <v>13248</v>
      </c>
      <c r="I190" s="6">
        <v>48609</v>
      </c>
      <c r="J190" s="6">
        <v>15796</v>
      </c>
      <c r="K190" s="6">
        <v>0</v>
      </c>
      <c r="L190" s="6">
        <v>64405</v>
      </c>
      <c r="M190">
        <v>141</v>
      </c>
      <c r="N190">
        <v>36</v>
      </c>
      <c r="O190">
        <v>177</v>
      </c>
      <c r="P190" s="6">
        <v>7813</v>
      </c>
      <c r="Q190">
        <v>0</v>
      </c>
      <c r="R190" s="6">
        <v>13252</v>
      </c>
      <c r="S190" s="6">
        <v>14572</v>
      </c>
      <c r="T190" s="6">
        <v>100219</v>
      </c>
      <c r="U190" s="6">
        <v>56563</v>
      </c>
      <c r="V190" s="6">
        <v>43656</v>
      </c>
    </row>
    <row r="191" spans="1:22" x14ac:dyDescent="0.25">
      <c r="A191">
        <v>2026</v>
      </c>
      <c r="B191" s="1" t="s">
        <v>12</v>
      </c>
      <c r="C191" t="s">
        <v>40</v>
      </c>
      <c r="D191" s="1" t="s">
        <v>578</v>
      </c>
      <c r="E191" t="s">
        <v>253</v>
      </c>
      <c r="F191" s="6">
        <v>238945</v>
      </c>
      <c r="G191" s="6">
        <v>188900</v>
      </c>
      <c r="H191" s="6">
        <v>40460</v>
      </c>
      <c r="I191" s="6">
        <v>148440</v>
      </c>
      <c r="J191" s="6">
        <v>50045</v>
      </c>
      <c r="K191">
        <v>0</v>
      </c>
      <c r="L191" s="6">
        <v>198485</v>
      </c>
      <c r="M191">
        <v>386</v>
      </c>
      <c r="N191">
        <v>103</v>
      </c>
      <c r="O191">
        <v>489</v>
      </c>
      <c r="P191" s="6">
        <v>24536</v>
      </c>
      <c r="Q191" s="6">
        <v>0</v>
      </c>
      <c r="R191" s="6">
        <v>38149</v>
      </c>
      <c r="S191" s="6">
        <v>42182</v>
      </c>
      <c r="T191" s="6">
        <v>303841</v>
      </c>
      <c r="U191" s="6">
        <v>173362</v>
      </c>
      <c r="V191" s="6">
        <v>130479</v>
      </c>
    </row>
    <row r="192" spans="1:22" x14ac:dyDescent="0.25">
      <c r="A192">
        <v>2026</v>
      </c>
      <c r="B192" s="1" t="s">
        <v>13</v>
      </c>
      <c r="C192" t="s">
        <v>41</v>
      </c>
      <c r="D192" s="1" t="s">
        <v>579</v>
      </c>
      <c r="E192" t="s">
        <v>254</v>
      </c>
      <c r="F192" s="6">
        <v>691325</v>
      </c>
      <c r="G192" s="6">
        <v>550697</v>
      </c>
      <c r="H192" s="6">
        <v>117950</v>
      </c>
      <c r="I192" s="6">
        <v>432747</v>
      </c>
      <c r="J192" s="6">
        <v>140628</v>
      </c>
      <c r="K192" s="6">
        <v>0</v>
      </c>
      <c r="L192" s="6">
        <v>573375</v>
      </c>
      <c r="M192" s="6">
        <v>1259</v>
      </c>
      <c r="N192">
        <v>321</v>
      </c>
      <c r="O192" s="6">
        <v>1580</v>
      </c>
      <c r="P192" s="6">
        <v>69555</v>
      </c>
      <c r="Q192" s="6">
        <v>0</v>
      </c>
      <c r="R192" s="6">
        <v>114589</v>
      </c>
      <c r="S192" s="6">
        <v>126003</v>
      </c>
      <c r="T192" s="6">
        <v>885102</v>
      </c>
      <c r="U192" s="6">
        <v>503561</v>
      </c>
      <c r="V192" s="6">
        <v>381541</v>
      </c>
    </row>
    <row r="193" spans="1:22" x14ac:dyDescent="0.25">
      <c r="A193">
        <v>2026</v>
      </c>
      <c r="B193" s="1" t="s">
        <v>9</v>
      </c>
      <c r="C193" t="s">
        <v>37</v>
      </c>
      <c r="D193" s="1" t="s">
        <v>580</v>
      </c>
      <c r="E193" t="s">
        <v>255</v>
      </c>
      <c r="F193" s="6">
        <v>406550</v>
      </c>
      <c r="G193" s="6">
        <v>322288</v>
      </c>
      <c r="H193" s="6">
        <v>69029</v>
      </c>
      <c r="I193" s="6">
        <v>253259</v>
      </c>
      <c r="J193" s="6">
        <v>84262</v>
      </c>
      <c r="K193">
        <v>0</v>
      </c>
      <c r="L193" s="6">
        <v>337521</v>
      </c>
      <c r="M193">
        <v>359</v>
      </c>
      <c r="N193">
        <v>94</v>
      </c>
      <c r="O193">
        <v>453</v>
      </c>
      <c r="P193" s="6">
        <v>38628</v>
      </c>
      <c r="Q193" s="6">
        <v>0</v>
      </c>
      <c r="R193" s="6">
        <v>72193</v>
      </c>
      <c r="S193" s="6">
        <v>79392</v>
      </c>
      <c r="T193" s="6">
        <v>528187</v>
      </c>
      <c r="U193" s="6">
        <v>292246</v>
      </c>
      <c r="V193" s="6">
        <v>235941</v>
      </c>
    </row>
    <row r="194" spans="1:22" x14ac:dyDescent="0.25">
      <c r="A194">
        <v>2026</v>
      </c>
      <c r="B194" s="1" t="s">
        <v>12</v>
      </c>
      <c r="C194" t="s">
        <v>40</v>
      </c>
      <c r="D194" s="1" t="s">
        <v>581</v>
      </c>
      <c r="E194" t="s">
        <v>256</v>
      </c>
      <c r="F194" s="6">
        <v>88498</v>
      </c>
      <c r="G194" s="6">
        <v>69963</v>
      </c>
      <c r="H194" s="6">
        <v>14985</v>
      </c>
      <c r="I194" s="6">
        <v>54978</v>
      </c>
      <c r="J194" s="6">
        <v>18535</v>
      </c>
      <c r="K194" s="6">
        <v>0</v>
      </c>
      <c r="L194" s="6">
        <v>73513</v>
      </c>
      <c r="M194">
        <v>144</v>
      </c>
      <c r="N194">
        <v>38</v>
      </c>
      <c r="O194">
        <v>182</v>
      </c>
      <c r="P194" s="6">
        <v>9088</v>
      </c>
      <c r="Q194">
        <v>0</v>
      </c>
      <c r="R194" s="6">
        <v>14298</v>
      </c>
      <c r="S194" s="6">
        <v>15809</v>
      </c>
      <c r="T194" s="6">
        <v>112890</v>
      </c>
      <c r="U194" s="6">
        <v>64210</v>
      </c>
      <c r="V194" s="6">
        <v>48680</v>
      </c>
    </row>
    <row r="195" spans="1:22" x14ac:dyDescent="0.25">
      <c r="A195">
        <v>2026</v>
      </c>
      <c r="B195" s="1" t="s">
        <v>8</v>
      </c>
      <c r="C195" t="s">
        <v>36</v>
      </c>
      <c r="D195" s="1" t="s">
        <v>582</v>
      </c>
      <c r="E195" t="s">
        <v>257</v>
      </c>
      <c r="F195" s="6">
        <v>1761004</v>
      </c>
      <c r="G195" s="6">
        <v>1388360</v>
      </c>
      <c r="H195" s="6">
        <v>297365</v>
      </c>
      <c r="I195" s="6">
        <v>1090995</v>
      </c>
      <c r="J195" s="6">
        <v>372644</v>
      </c>
      <c r="K195" s="6">
        <v>0</v>
      </c>
      <c r="L195" s="6">
        <v>1463639</v>
      </c>
      <c r="M195" s="6">
        <v>2357</v>
      </c>
      <c r="N195">
        <v>633</v>
      </c>
      <c r="O195" s="6">
        <v>2990</v>
      </c>
      <c r="P195" s="6">
        <v>162629</v>
      </c>
      <c r="Q195" s="6">
        <v>0</v>
      </c>
      <c r="R195" s="6">
        <v>296654</v>
      </c>
      <c r="S195" s="6">
        <v>324397</v>
      </c>
      <c r="T195" s="6">
        <v>2250309</v>
      </c>
      <c r="U195" s="6">
        <v>1255981</v>
      </c>
      <c r="V195" s="6">
        <v>994328</v>
      </c>
    </row>
    <row r="196" spans="1:22" x14ac:dyDescent="0.25">
      <c r="A196">
        <v>2026</v>
      </c>
      <c r="B196" s="1" t="s">
        <v>7</v>
      </c>
      <c r="C196" t="s">
        <v>35</v>
      </c>
      <c r="D196" s="1" t="s">
        <v>583</v>
      </c>
      <c r="E196" t="s">
        <v>258</v>
      </c>
      <c r="F196" s="6">
        <v>224786</v>
      </c>
      <c r="G196" s="6">
        <v>176033</v>
      </c>
      <c r="H196" s="6">
        <v>37704</v>
      </c>
      <c r="I196" s="6">
        <v>138329</v>
      </c>
      <c r="J196" s="6">
        <v>48753</v>
      </c>
      <c r="K196" s="6">
        <v>4440</v>
      </c>
      <c r="L196" s="6">
        <v>191522</v>
      </c>
      <c r="M196">
        <v>215</v>
      </c>
      <c r="N196">
        <v>60</v>
      </c>
      <c r="O196">
        <v>275</v>
      </c>
      <c r="P196" s="6">
        <v>28229</v>
      </c>
      <c r="Q196" s="6">
        <v>0</v>
      </c>
      <c r="R196" s="6">
        <v>38391</v>
      </c>
      <c r="S196" s="6">
        <v>42795</v>
      </c>
      <c r="T196" s="6">
        <v>301212</v>
      </c>
      <c r="U196" s="6">
        <v>166773</v>
      </c>
      <c r="V196" s="6">
        <v>134439</v>
      </c>
    </row>
    <row r="197" spans="1:22" x14ac:dyDescent="0.25">
      <c r="A197">
        <v>2026</v>
      </c>
      <c r="B197" s="1" t="s">
        <v>10</v>
      </c>
      <c r="C197" t="s">
        <v>38</v>
      </c>
      <c r="D197" s="1" t="s">
        <v>584</v>
      </c>
      <c r="E197" t="s">
        <v>259</v>
      </c>
      <c r="F197" s="6">
        <v>537896</v>
      </c>
      <c r="G197" s="6">
        <v>435288</v>
      </c>
      <c r="H197" s="6">
        <v>93232</v>
      </c>
      <c r="I197" s="6">
        <v>342056</v>
      </c>
      <c r="J197" s="6">
        <v>102608</v>
      </c>
      <c r="K197">
        <v>0</v>
      </c>
      <c r="L197" s="6">
        <v>444664</v>
      </c>
      <c r="M197">
        <v>0</v>
      </c>
      <c r="N197">
        <v>0</v>
      </c>
      <c r="O197">
        <v>0</v>
      </c>
      <c r="P197" s="6">
        <v>46226</v>
      </c>
      <c r="Q197" s="6">
        <v>0</v>
      </c>
      <c r="R197" s="6">
        <v>91323</v>
      </c>
      <c r="S197" s="6">
        <v>100362</v>
      </c>
      <c r="T197" s="6">
        <v>682575</v>
      </c>
      <c r="U197" s="6">
        <v>388282</v>
      </c>
      <c r="V197" s="6">
        <v>294293</v>
      </c>
    </row>
    <row r="198" spans="1:22" x14ac:dyDescent="0.25">
      <c r="A198">
        <v>2026</v>
      </c>
      <c r="B198" s="1" t="s">
        <v>5</v>
      </c>
      <c r="C198" t="s">
        <v>33</v>
      </c>
      <c r="D198" s="1" t="s">
        <v>585</v>
      </c>
      <c r="E198" t="s">
        <v>260</v>
      </c>
      <c r="F198" s="6">
        <v>397577</v>
      </c>
      <c r="G198" s="6">
        <v>302024</v>
      </c>
      <c r="H198" s="6">
        <v>64689</v>
      </c>
      <c r="I198" s="6">
        <v>237335</v>
      </c>
      <c r="J198" s="6">
        <v>95553</v>
      </c>
      <c r="K198">
        <v>0</v>
      </c>
      <c r="L198" s="6">
        <v>332888</v>
      </c>
      <c r="M198">
        <v>781</v>
      </c>
      <c r="N198">
        <v>247</v>
      </c>
      <c r="O198" s="6">
        <v>1028</v>
      </c>
      <c r="P198" s="6">
        <v>39427</v>
      </c>
      <c r="Q198" s="6">
        <v>0</v>
      </c>
      <c r="R198" s="6">
        <v>69371</v>
      </c>
      <c r="S198" s="6">
        <v>77269</v>
      </c>
      <c r="T198" s="6">
        <v>519983</v>
      </c>
      <c r="U198" s="6">
        <v>277543</v>
      </c>
      <c r="V198" s="6">
        <v>242440</v>
      </c>
    </row>
    <row r="199" spans="1:22" x14ac:dyDescent="0.25">
      <c r="A199">
        <v>2026</v>
      </c>
      <c r="B199" s="1" t="s">
        <v>13</v>
      </c>
      <c r="C199" t="s">
        <v>41</v>
      </c>
      <c r="D199" s="1" t="s">
        <v>586</v>
      </c>
      <c r="E199" t="s">
        <v>261</v>
      </c>
      <c r="F199" s="6">
        <v>212316</v>
      </c>
      <c r="G199" s="6">
        <v>169127</v>
      </c>
      <c r="H199" s="6">
        <v>36224</v>
      </c>
      <c r="I199" s="6">
        <v>132903</v>
      </c>
      <c r="J199" s="6">
        <v>43189</v>
      </c>
      <c r="K199">
        <v>0</v>
      </c>
      <c r="L199" s="6">
        <v>176092</v>
      </c>
      <c r="M199">
        <v>386</v>
      </c>
      <c r="N199">
        <v>99</v>
      </c>
      <c r="O199">
        <v>485</v>
      </c>
      <c r="P199" s="6">
        <v>21362</v>
      </c>
      <c r="Q199" s="6">
        <v>0</v>
      </c>
      <c r="R199" s="6">
        <v>36118</v>
      </c>
      <c r="S199" s="6">
        <v>39715</v>
      </c>
      <c r="T199" s="6">
        <v>273772</v>
      </c>
      <c r="U199" s="6">
        <v>154652</v>
      </c>
      <c r="V199" s="6">
        <v>119120</v>
      </c>
    </row>
    <row r="200" spans="1:22" x14ac:dyDescent="0.25">
      <c r="A200">
        <v>2026</v>
      </c>
      <c r="B200" s="1" t="s">
        <v>6</v>
      </c>
      <c r="C200" t="s">
        <v>34</v>
      </c>
      <c r="D200" s="1" t="s">
        <v>587</v>
      </c>
      <c r="E200" t="s">
        <v>262</v>
      </c>
      <c r="F200" s="6">
        <v>180210</v>
      </c>
      <c r="G200" s="6">
        <v>138519</v>
      </c>
      <c r="H200" s="6">
        <v>29669</v>
      </c>
      <c r="I200" s="6">
        <v>108850</v>
      </c>
      <c r="J200" s="6">
        <v>41691</v>
      </c>
      <c r="K200" s="6">
        <v>7932</v>
      </c>
      <c r="L200" s="6">
        <v>158473</v>
      </c>
      <c r="M200">
        <v>0</v>
      </c>
      <c r="N200">
        <v>0</v>
      </c>
      <c r="O200">
        <v>0</v>
      </c>
      <c r="P200" s="6">
        <v>19647</v>
      </c>
      <c r="Q200" s="6">
        <v>0</v>
      </c>
      <c r="R200" s="6">
        <v>30579</v>
      </c>
      <c r="S200" s="6">
        <v>34239</v>
      </c>
      <c r="T200" s="6">
        <v>242938</v>
      </c>
      <c r="U200" s="6">
        <v>128497</v>
      </c>
      <c r="V200" s="6">
        <v>114441</v>
      </c>
    </row>
    <row r="201" spans="1:22" x14ac:dyDescent="0.25">
      <c r="A201">
        <v>2026</v>
      </c>
      <c r="B201" s="1" t="s">
        <v>10</v>
      </c>
      <c r="C201" t="s">
        <v>38</v>
      </c>
      <c r="D201" s="1" t="s">
        <v>588</v>
      </c>
      <c r="E201" t="s">
        <v>263</v>
      </c>
      <c r="F201" s="6">
        <v>1146200</v>
      </c>
      <c r="G201" s="6">
        <v>927553</v>
      </c>
      <c r="H201" s="6">
        <v>198667</v>
      </c>
      <c r="I201" s="6">
        <v>728886</v>
      </c>
      <c r="J201" s="6">
        <v>218647</v>
      </c>
      <c r="K201" s="6">
        <v>6989</v>
      </c>
      <c r="L201" s="6">
        <v>954522</v>
      </c>
      <c r="M201">
        <v>0</v>
      </c>
      <c r="N201">
        <v>0</v>
      </c>
      <c r="O201">
        <v>0</v>
      </c>
      <c r="P201" s="6">
        <v>98716</v>
      </c>
      <c r="Q201" s="6">
        <v>0</v>
      </c>
      <c r="R201" s="6">
        <v>191856</v>
      </c>
      <c r="S201" s="6">
        <v>210846</v>
      </c>
      <c r="T201" s="6">
        <v>1455940</v>
      </c>
      <c r="U201" s="6">
        <v>827602</v>
      </c>
      <c r="V201" s="6">
        <v>628338</v>
      </c>
    </row>
    <row r="202" spans="1:22" x14ac:dyDescent="0.25">
      <c r="A202">
        <v>2026</v>
      </c>
      <c r="B202" s="1" t="s">
        <v>12</v>
      </c>
      <c r="C202" t="s">
        <v>40</v>
      </c>
      <c r="D202" s="1" t="s">
        <v>589</v>
      </c>
      <c r="E202" t="s">
        <v>264</v>
      </c>
      <c r="F202" s="6">
        <v>255329</v>
      </c>
      <c r="G202" s="6">
        <v>201853</v>
      </c>
      <c r="H202" s="6">
        <v>43234</v>
      </c>
      <c r="I202" s="6">
        <v>158619</v>
      </c>
      <c r="J202" s="6">
        <v>53476</v>
      </c>
      <c r="K202" s="6">
        <v>3589</v>
      </c>
      <c r="L202" s="6">
        <v>215684</v>
      </c>
      <c r="M202">
        <v>411</v>
      </c>
      <c r="N202">
        <v>109</v>
      </c>
      <c r="O202">
        <v>520</v>
      </c>
      <c r="P202" s="6">
        <v>26589</v>
      </c>
      <c r="Q202" s="6">
        <v>0</v>
      </c>
      <c r="R202" s="6">
        <v>41984</v>
      </c>
      <c r="S202" s="6">
        <v>46422</v>
      </c>
      <c r="T202" s="6">
        <v>331199</v>
      </c>
      <c r="U202" s="6">
        <v>185619</v>
      </c>
      <c r="V202" s="6">
        <v>145580</v>
      </c>
    </row>
    <row r="203" spans="1:22" x14ac:dyDescent="0.25">
      <c r="A203">
        <v>2026</v>
      </c>
      <c r="B203" s="1" t="s">
        <v>7</v>
      </c>
      <c r="C203" t="s">
        <v>35</v>
      </c>
      <c r="D203" s="1" t="s">
        <v>590</v>
      </c>
      <c r="E203" t="s">
        <v>265</v>
      </c>
      <c r="F203" s="6">
        <v>214534</v>
      </c>
      <c r="G203" s="6">
        <v>168004</v>
      </c>
      <c r="H203" s="6">
        <v>35984</v>
      </c>
      <c r="I203" s="6">
        <v>132020</v>
      </c>
      <c r="J203" s="6">
        <v>46530</v>
      </c>
      <c r="K203" s="6">
        <v>0</v>
      </c>
      <c r="L203" s="6">
        <v>178550</v>
      </c>
      <c r="M203">
        <v>204</v>
      </c>
      <c r="N203">
        <v>57</v>
      </c>
      <c r="O203">
        <v>261</v>
      </c>
      <c r="P203" s="6">
        <v>26333</v>
      </c>
      <c r="Q203" s="6">
        <v>0</v>
      </c>
      <c r="R203" s="6">
        <v>34473</v>
      </c>
      <c r="S203" s="6">
        <v>38428</v>
      </c>
      <c r="T203" s="6">
        <v>278045</v>
      </c>
      <c r="U203" s="6">
        <v>158557</v>
      </c>
      <c r="V203" s="6">
        <v>119488</v>
      </c>
    </row>
    <row r="204" spans="1:22" x14ac:dyDescent="0.25">
      <c r="A204">
        <v>2026</v>
      </c>
      <c r="B204" s="1" t="s">
        <v>9</v>
      </c>
      <c r="C204" t="s">
        <v>37</v>
      </c>
      <c r="D204" s="1" t="s">
        <v>591</v>
      </c>
      <c r="E204" t="s">
        <v>266</v>
      </c>
      <c r="F204" s="6">
        <v>284154</v>
      </c>
      <c r="G204" s="6">
        <v>225260</v>
      </c>
      <c r="H204" s="6">
        <v>48247</v>
      </c>
      <c r="I204" s="6">
        <v>177013</v>
      </c>
      <c r="J204" s="6">
        <v>58894</v>
      </c>
      <c r="K204" s="6">
        <v>0</v>
      </c>
      <c r="L204" s="6">
        <v>235907</v>
      </c>
      <c r="M204">
        <v>251</v>
      </c>
      <c r="N204">
        <v>66</v>
      </c>
      <c r="O204">
        <v>317</v>
      </c>
      <c r="P204" s="6">
        <v>26999</v>
      </c>
      <c r="Q204" s="6">
        <v>0</v>
      </c>
      <c r="R204" s="6">
        <v>45941</v>
      </c>
      <c r="S204" s="6">
        <v>50522</v>
      </c>
      <c r="T204" s="6">
        <v>359686</v>
      </c>
      <c r="U204" s="6">
        <v>204263</v>
      </c>
      <c r="V204" s="6">
        <v>155423</v>
      </c>
    </row>
    <row r="205" spans="1:22" x14ac:dyDescent="0.25">
      <c r="A205">
        <v>2026</v>
      </c>
      <c r="B205" s="1" t="s">
        <v>5</v>
      </c>
      <c r="C205" t="s">
        <v>33</v>
      </c>
      <c r="D205" s="1" t="s">
        <v>592</v>
      </c>
      <c r="E205" t="s">
        <v>267</v>
      </c>
      <c r="F205" s="6">
        <v>480298</v>
      </c>
      <c r="G205" s="6">
        <v>364864</v>
      </c>
      <c r="H205" s="6">
        <v>78148</v>
      </c>
      <c r="I205" s="6">
        <v>286716</v>
      </c>
      <c r="J205" s="6">
        <v>115434</v>
      </c>
      <c r="K205">
        <v>0</v>
      </c>
      <c r="L205" s="6">
        <v>402150</v>
      </c>
      <c r="M205">
        <v>947</v>
      </c>
      <c r="N205">
        <v>299</v>
      </c>
      <c r="O205" s="6">
        <v>1246</v>
      </c>
      <c r="P205" s="6">
        <v>47631</v>
      </c>
      <c r="Q205" s="6">
        <v>0</v>
      </c>
      <c r="R205" s="6">
        <v>72439</v>
      </c>
      <c r="S205" s="6">
        <v>80686</v>
      </c>
      <c r="T205" s="6">
        <v>604152</v>
      </c>
      <c r="U205" s="6">
        <v>335293</v>
      </c>
      <c r="V205" s="6">
        <v>268859</v>
      </c>
    </row>
    <row r="206" spans="1:22" x14ac:dyDescent="0.25">
      <c r="A206">
        <v>2026</v>
      </c>
      <c r="B206" s="1" t="s">
        <v>7</v>
      </c>
      <c r="C206" t="s">
        <v>35</v>
      </c>
      <c r="D206" s="1" t="s">
        <v>593</v>
      </c>
      <c r="E206" t="s">
        <v>268</v>
      </c>
      <c r="F206" s="6">
        <v>185063</v>
      </c>
      <c r="G206" s="6">
        <v>144925</v>
      </c>
      <c r="H206" s="6">
        <v>31040</v>
      </c>
      <c r="I206" s="6">
        <v>113885</v>
      </c>
      <c r="J206" s="6">
        <v>40138</v>
      </c>
      <c r="K206" s="6">
        <v>3953</v>
      </c>
      <c r="L206" s="6">
        <v>157976</v>
      </c>
      <c r="M206">
        <v>177</v>
      </c>
      <c r="N206">
        <v>49</v>
      </c>
      <c r="O206">
        <v>226</v>
      </c>
      <c r="P206" s="6">
        <v>23277</v>
      </c>
      <c r="Q206" s="6">
        <v>0</v>
      </c>
      <c r="R206" s="6">
        <v>29772</v>
      </c>
      <c r="S206" s="6">
        <v>33188</v>
      </c>
      <c r="T206" s="6">
        <v>244439</v>
      </c>
      <c r="U206" s="6">
        <v>137338</v>
      </c>
      <c r="V206" s="6">
        <v>107101</v>
      </c>
    </row>
    <row r="207" spans="1:22" x14ac:dyDescent="0.25">
      <c r="A207">
        <v>2026</v>
      </c>
      <c r="B207" s="1" t="s">
        <v>6</v>
      </c>
      <c r="C207" t="s">
        <v>34</v>
      </c>
      <c r="D207" s="1" t="s">
        <v>594</v>
      </c>
      <c r="E207" t="s">
        <v>269</v>
      </c>
      <c r="F207" s="6">
        <v>97890</v>
      </c>
      <c r="G207" s="6">
        <v>75243</v>
      </c>
      <c r="H207" s="6">
        <v>16116</v>
      </c>
      <c r="I207" s="6">
        <v>59127</v>
      </c>
      <c r="J207" s="6">
        <v>22647</v>
      </c>
      <c r="K207" s="6">
        <v>11131</v>
      </c>
      <c r="L207" s="6">
        <v>92905</v>
      </c>
      <c r="M207">
        <v>0</v>
      </c>
      <c r="N207">
        <v>0</v>
      </c>
      <c r="O207">
        <v>0</v>
      </c>
      <c r="P207" s="6">
        <v>10774</v>
      </c>
      <c r="Q207" s="6">
        <v>0</v>
      </c>
      <c r="R207" s="6">
        <v>16792</v>
      </c>
      <c r="S207" s="6">
        <v>18802</v>
      </c>
      <c r="T207" s="6">
        <v>139273</v>
      </c>
      <c r="U207" s="6">
        <v>69901</v>
      </c>
      <c r="V207" s="6">
        <v>69372</v>
      </c>
    </row>
    <row r="208" spans="1:22" x14ac:dyDescent="0.25">
      <c r="A208">
        <v>2026</v>
      </c>
      <c r="B208" s="1" t="s">
        <v>9</v>
      </c>
      <c r="C208" t="s">
        <v>37</v>
      </c>
      <c r="D208" s="1" t="s">
        <v>595</v>
      </c>
      <c r="E208" t="s">
        <v>270</v>
      </c>
      <c r="F208" s="6">
        <v>210776</v>
      </c>
      <c r="G208" s="6">
        <v>167090</v>
      </c>
      <c r="H208" s="6">
        <v>35788</v>
      </c>
      <c r="I208" s="6">
        <v>131302</v>
      </c>
      <c r="J208" s="6">
        <v>43686</v>
      </c>
      <c r="K208" s="6">
        <v>4993</v>
      </c>
      <c r="L208" s="6">
        <v>179981</v>
      </c>
      <c r="M208">
        <v>185</v>
      </c>
      <c r="N208">
        <v>48</v>
      </c>
      <c r="O208">
        <v>233</v>
      </c>
      <c r="P208" s="6">
        <v>20027</v>
      </c>
      <c r="Q208" s="6">
        <v>0</v>
      </c>
      <c r="R208" s="6">
        <v>36649</v>
      </c>
      <c r="S208" s="6">
        <v>40303</v>
      </c>
      <c r="T208" s="6">
        <v>277193</v>
      </c>
      <c r="U208" s="6">
        <v>151514</v>
      </c>
      <c r="V208" s="6">
        <v>125679</v>
      </c>
    </row>
    <row r="209" spans="1:22" x14ac:dyDescent="0.25">
      <c r="A209">
        <v>2026</v>
      </c>
      <c r="B209" s="1" t="s">
        <v>13</v>
      </c>
      <c r="C209" t="s">
        <v>41</v>
      </c>
      <c r="D209" s="1" t="s">
        <v>596</v>
      </c>
      <c r="E209" t="s">
        <v>271</v>
      </c>
      <c r="F209" s="6">
        <v>181874</v>
      </c>
      <c r="G209" s="6">
        <v>144878</v>
      </c>
      <c r="H209" s="6">
        <v>31031</v>
      </c>
      <c r="I209" s="6">
        <v>113847</v>
      </c>
      <c r="J209" s="6">
        <v>36996</v>
      </c>
      <c r="K209" s="6">
        <v>4780</v>
      </c>
      <c r="L209" s="6">
        <v>155623</v>
      </c>
      <c r="M209">
        <v>331</v>
      </c>
      <c r="N209">
        <v>85</v>
      </c>
      <c r="O209">
        <v>416</v>
      </c>
      <c r="P209" s="6">
        <v>18299</v>
      </c>
      <c r="Q209" s="6">
        <v>0</v>
      </c>
      <c r="R209" s="6">
        <v>32740</v>
      </c>
      <c r="S209" s="6">
        <v>36001</v>
      </c>
      <c r="T209" s="6">
        <v>243079</v>
      </c>
      <c r="U209" s="6">
        <v>132477</v>
      </c>
      <c r="V209" s="6">
        <v>110602</v>
      </c>
    </row>
    <row r="210" spans="1:22" x14ac:dyDescent="0.25">
      <c r="A210">
        <v>2026</v>
      </c>
      <c r="B210" s="1" t="s">
        <v>10</v>
      </c>
      <c r="C210" t="s">
        <v>38</v>
      </c>
      <c r="D210" s="1" t="s">
        <v>597</v>
      </c>
      <c r="E210" t="s">
        <v>272</v>
      </c>
      <c r="F210" s="6">
        <v>808288</v>
      </c>
      <c r="G210" s="6">
        <v>654101</v>
      </c>
      <c r="H210" s="6">
        <v>140098</v>
      </c>
      <c r="I210" s="6">
        <v>514003</v>
      </c>
      <c r="J210" s="6">
        <v>154187</v>
      </c>
      <c r="K210">
        <v>0</v>
      </c>
      <c r="L210" s="6">
        <v>668190</v>
      </c>
      <c r="M210">
        <v>0</v>
      </c>
      <c r="N210">
        <v>0</v>
      </c>
      <c r="O210">
        <v>0</v>
      </c>
      <c r="P210" s="6">
        <v>69463</v>
      </c>
      <c r="Q210" s="6">
        <v>0</v>
      </c>
      <c r="R210" s="6">
        <v>145935</v>
      </c>
      <c r="S210" s="6">
        <v>160380</v>
      </c>
      <c r="T210" s="6">
        <v>1043968</v>
      </c>
      <c r="U210" s="6">
        <v>583466</v>
      </c>
      <c r="V210" s="6">
        <v>460502</v>
      </c>
    </row>
    <row r="211" spans="1:22" x14ac:dyDescent="0.25">
      <c r="A211">
        <v>2026</v>
      </c>
      <c r="B211" s="1" t="s">
        <v>8</v>
      </c>
      <c r="C211" t="s">
        <v>36</v>
      </c>
      <c r="D211" s="1" t="s">
        <v>598</v>
      </c>
      <c r="E211" t="s">
        <v>273</v>
      </c>
      <c r="F211" s="6">
        <v>1139304</v>
      </c>
      <c r="G211" s="6">
        <v>898217</v>
      </c>
      <c r="H211" s="6">
        <v>192384</v>
      </c>
      <c r="I211" s="6">
        <v>705833</v>
      </c>
      <c r="J211" s="6">
        <v>241087</v>
      </c>
      <c r="K211" s="6">
        <v>444</v>
      </c>
      <c r="L211" s="6">
        <v>947364</v>
      </c>
      <c r="M211" s="6">
        <v>1526</v>
      </c>
      <c r="N211">
        <v>410</v>
      </c>
      <c r="O211" s="6">
        <v>1936</v>
      </c>
      <c r="P211" s="6">
        <v>105215</v>
      </c>
      <c r="Q211" s="6">
        <v>0</v>
      </c>
      <c r="R211" s="6">
        <v>198288</v>
      </c>
      <c r="S211" s="6">
        <v>216832</v>
      </c>
      <c r="T211" s="6">
        <v>1469635</v>
      </c>
      <c r="U211" s="6">
        <v>812574</v>
      </c>
      <c r="V211" s="6">
        <v>657061</v>
      </c>
    </row>
    <row r="212" spans="1:22" x14ac:dyDescent="0.25">
      <c r="A212">
        <v>2026</v>
      </c>
      <c r="B212" s="1" t="s">
        <v>7</v>
      </c>
      <c r="C212" t="s">
        <v>35</v>
      </c>
      <c r="D212" s="1" t="s">
        <v>599</v>
      </c>
      <c r="E212" t="s">
        <v>274</v>
      </c>
      <c r="F212" s="6">
        <v>178641</v>
      </c>
      <c r="G212" s="6">
        <v>139896</v>
      </c>
      <c r="H212" s="6">
        <v>29964</v>
      </c>
      <c r="I212" s="6">
        <v>109932</v>
      </c>
      <c r="J212" s="6">
        <v>38745</v>
      </c>
      <c r="K212">
        <v>0</v>
      </c>
      <c r="L212" s="6">
        <v>148677</v>
      </c>
      <c r="M212">
        <v>171</v>
      </c>
      <c r="N212">
        <v>48</v>
      </c>
      <c r="O212">
        <v>219</v>
      </c>
      <c r="P212" s="6">
        <v>21937</v>
      </c>
      <c r="Q212" s="6">
        <v>0</v>
      </c>
      <c r="R212" s="6">
        <v>29642</v>
      </c>
      <c r="S212" s="6">
        <v>33042</v>
      </c>
      <c r="T212" s="6">
        <v>233517</v>
      </c>
      <c r="U212" s="6">
        <v>132040</v>
      </c>
      <c r="V212" s="6">
        <v>101477</v>
      </c>
    </row>
    <row r="213" spans="1:22" x14ac:dyDescent="0.25">
      <c r="A213">
        <v>2026</v>
      </c>
      <c r="B213" s="1" t="s">
        <v>6</v>
      </c>
      <c r="C213" t="s">
        <v>34</v>
      </c>
      <c r="D213" s="1" t="s">
        <v>600</v>
      </c>
      <c r="E213" t="s">
        <v>275</v>
      </c>
      <c r="F213" s="6">
        <v>157445</v>
      </c>
      <c r="G213" s="6">
        <v>121020</v>
      </c>
      <c r="H213" s="6">
        <v>25921</v>
      </c>
      <c r="I213" s="6">
        <v>95099</v>
      </c>
      <c r="J213" s="6">
        <v>36425</v>
      </c>
      <c r="K213" s="6">
        <v>12790</v>
      </c>
      <c r="L213" s="6">
        <v>144314</v>
      </c>
      <c r="M213">
        <v>0</v>
      </c>
      <c r="N213">
        <v>0</v>
      </c>
      <c r="O213">
        <v>0</v>
      </c>
      <c r="P213" s="6">
        <v>16658</v>
      </c>
      <c r="Q213" s="6">
        <v>0</v>
      </c>
      <c r="R213" s="6">
        <v>26463</v>
      </c>
      <c r="S213" s="6">
        <v>29630</v>
      </c>
      <c r="T213" s="6">
        <v>217065</v>
      </c>
      <c r="U213" s="6">
        <v>111757</v>
      </c>
      <c r="V213" s="6">
        <v>105308</v>
      </c>
    </row>
    <row r="214" spans="1:22" x14ac:dyDescent="0.25">
      <c r="A214">
        <v>2026</v>
      </c>
      <c r="B214" s="1" t="s">
        <v>8</v>
      </c>
      <c r="C214" t="s">
        <v>36</v>
      </c>
      <c r="D214" s="1" t="s">
        <v>601</v>
      </c>
      <c r="E214" t="s">
        <v>276</v>
      </c>
      <c r="F214" s="6">
        <v>193731</v>
      </c>
      <c r="G214" s="6">
        <v>152736</v>
      </c>
      <c r="H214" s="6">
        <v>32713</v>
      </c>
      <c r="I214" s="6">
        <v>120023</v>
      </c>
      <c r="J214" s="6">
        <v>40995</v>
      </c>
      <c r="K214" s="6">
        <v>4342</v>
      </c>
      <c r="L214" s="6">
        <v>165360</v>
      </c>
      <c r="M214">
        <v>259</v>
      </c>
      <c r="N214">
        <v>70</v>
      </c>
      <c r="O214">
        <v>329</v>
      </c>
      <c r="P214" s="6">
        <v>17891</v>
      </c>
      <c r="Q214" s="6">
        <v>0</v>
      </c>
      <c r="R214" s="6">
        <v>32206</v>
      </c>
      <c r="S214" s="6">
        <v>35217</v>
      </c>
      <c r="T214" s="6">
        <v>251003</v>
      </c>
      <c r="U214" s="6">
        <v>138173</v>
      </c>
      <c r="V214" s="6">
        <v>112830</v>
      </c>
    </row>
    <row r="215" spans="1:22" x14ac:dyDescent="0.25">
      <c r="A215">
        <v>2026</v>
      </c>
      <c r="B215" s="1" t="s">
        <v>7</v>
      </c>
      <c r="C215" t="s">
        <v>35</v>
      </c>
      <c r="D215" s="1" t="s">
        <v>602</v>
      </c>
      <c r="E215" t="s">
        <v>277</v>
      </c>
      <c r="F215" s="6">
        <v>193109</v>
      </c>
      <c r="G215" s="6">
        <v>151226</v>
      </c>
      <c r="H215" s="6">
        <v>32391</v>
      </c>
      <c r="I215" s="6">
        <v>118835</v>
      </c>
      <c r="J215" s="6">
        <v>41883</v>
      </c>
      <c r="K215" s="6">
        <v>8034</v>
      </c>
      <c r="L215" s="6">
        <v>168752</v>
      </c>
      <c r="M215">
        <v>185</v>
      </c>
      <c r="N215">
        <v>51</v>
      </c>
      <c r="O215">
        <v>236</v>
      </c>
      <c r="P215" s="6">
        <v>24770</v>
      </c>
      <c r="Q215" s="6">
        <v>0</v>
      </c>
      <c r="R215" s="6">
        <v>31992</v>
      </c>
      <c r="S215" s="6">
        <v>35662</v>
      </c>
      <c r="T215" s="6">
        <v>261412</v>
      </c>
      <c r="U215" s="6">
        <v>143790</v>
      </c>
      <c r="V215" s="6">
        <v>117622</v>
      </c>
    </row>
    <row r="216" spans="1:22" x14ac:dyDescent="0.25">
      <c r="A216">
        <v>2026</v>
      </c>
      <c r="B216" s="1" t="s">
        <v>10</v>
      </c>
      <c r="C216" t="s">
        <v>38</v>
      </c>
      <c r="D216" s="1" t="s">
        <v>603</v>
      </c>
      <c r="E216" t="s">
        <v>278</v>
      </c>
      <c r="F216" s="6">
        <v>1308552</v>
      </c>
      <c r="G216" s="6">
        <v>1058935</v>
      </c>
      <c r="H216" s="6">
        <v>226807</v>
      </c>
      <c r="I216" s="6">
        <v>832128</v>
      </c>
      <c r="J216" s="6">
        <v>249617</v>
      </c>
      <c r="K216">
        <v>0</v>
      </c>
      <c r="L216" s="6">
        <v>1081745</v>
      </c>
      <c r="M216">
        <v>0</v>
      </c>
      <c r="N216">
        <v>0</v>
      </c>
      <c r="O216">
        <v>0</v>
      </c>
      <c r="P216" s="6">
        <v>112454</v>
      </c>
      <c r="Q216" s="6">
        <v>0</v>
      </c>
      <c r="R216" s="6">
        <v>234469</v>
      </c>
      <c r="S216" s="6">
        <v>257677</v>
      </c>
      <c r="T216" s="6">
        <v>1686345</v>
      </c>
      <c r="U216" s="6">
        <v>944582</v>
      </c>
      <c r="V216" s="6">
        <v>741763</v>
      </c>
    </row>
    <row r="217" spans="1:22" x14ac:dyDescent="0.25">
      <c r="A217">
        <v>2026</v>
      </c>
      <c r="B217" s="1" t="s">
        <v>11</v>
      </c>
      <c r="C217" t="s">
        <v>39</v>
      </c>
      <c r="D217" s="1" t="s">
        <v>604</v>
      </c>
      <c r="E217" t="s">
        <v>279</v>
      </c>
      <c r="F217" s="6">
        <v>371354</v>
      </c>
      <c r="G217" s="6">
        <v>288147</v>
      </c>
      <c r="H217" s="6">
        <v>61716</v>
      </c>
      <c r="I217" s="6">
        <v>226431</v>
      </c>
      <c r="J217" s="6">
        <v>83207</v>
      </c>
      <c r="K217">
        <v>0</v>
      </c>
      <c r="L217" s="6">
        <v>309638</v>
      </c>
      <c r="M217">
        <v>541</v>
      </c>
      <c r="N217">
        <v>156</v>
      </c>
      <c r="O217">
        <v>697</v>
      </c>
      <c r="P217" s="6">
        <v>37449</v>
      </c>
      <c r="Q217" s="6">
        <v>0</v>
      </c>
      <c r="R217" s="6">
        <v>60701</v>
      </c>
      <c r="S217" s="6">
        <v>67946</v>
      </c>
      <c r="T217" s="6">
        <v>476431</v>
      </c>
      <c r="U217" s="6">
        <v>264421</v>
      </c>
      <c r="V217" s="6">
        <v>212010</v>
      </c>
    </row>
    <row r="218" spans="1:22" x14ac:dyDescent="0.25">
      <c r="A218">
        <v>2026</v>
      </c>
      <c r="B218" s="1" t="s">
        <v>5</v>
      </c>
      <c r="C218" t="s">
        <v>33</v>
      </c>
      <c r="D218" s="1" t="s">
        <v>605</v>
      </c>
      <c r="E218" t="s">
        <v>280</v>
      </c>
      <c r="F218" s="6">
        <v>551850</v>
      </c>
      <c r="G218" s="6">
        <v>419219</v>
      </c>
      <c r="H218" s="6">
        <v>89790</v>
      </c>
      <c r="I218" s="6">
        <v>329429</v>
      </c>
      <c r="J218" s="6">
        <v>132631</v>
      </c>
      <c r="K218" s="6">
        <v>14083</v>
      </c>
      <c r="L218" s="6">
        <v>476143</v>
      </c>
      <c r="M218" s="6">
        <v>1087</v>
      </c>
      <c r="N218">
        <v>344</v>
      </c>
      <c r="O218" s="6">
        <v>1431</v>
      </c>
      <c r="P218" s="6">
        <v>56088</v>
      </c>
      <c r="Q218" s="6">
        <v>0</v>
      </c>
      <c r="R218" s="6">
        <v>83598</v>
      </c>
      <c r="S218" s="6">
        <v>93116</v>
      </c>
      <c r="T218" s="6">
        <v>710376</v>
      </c>
      <c r="U218" s="6">
        <v>386605</v>
      </c>
      <c r="V218" s="6">
        <v>323771</v>
      </c>
    </row>
    <row r="219" spans="1:22" x14ac:dyDescent="0.25">
      <c r="A219">
        <v>2026</v>
      </c>
      <c r="B219" s="1" t="s">
        <v>10</v>
      </c>
      <c r="C219" t="s">
        <v>38</v>
      </c>
      <c r="D219" s="1" t="s">
        <v>606</v>
      </c>
      <c r="E219" t="s">
        <v>281</v>
      </c>
      <c r="F219" s="6">
        <v>198954</v>
      </c>
      <c r="G219" s="6">
        <v>161002</v>
      </c>
      <c r="H219" s="6">
        <v>34484</v>
      </c>
      <c r="I219" s="6">
        <v>126518</v>
      </c>
      <c r="J219" s="6">
        <v>37952</v>
      </c>
      <c r="K219" s="6">
        <v>11554</v>
      </c>
      <c r="L219" s="6">
        <v>176024</v>
      </c>
      <c r="M219">
        <v>0</v>
      </c>
      <c r="N219">
        <v>0</v>
      </c>
      <c r="O219">
        <v>0</v>
      </c>
      <c r="P219" s="6">
        <v>18020</v>
      </c>
      <c r="Q219" s="6">
        <v>0</v>
      </c>
      <c r="R219" s="6">
        <v>36970</v>
      </c>
      <c r="S219" s="6">
        <v>40630</v>
      </c>
      <c r="T219" s="6">
        <v>271644</v>
      </c>
      <c r="U219" s="6">
        <v>144538</v>
      </c>
      <c r="V219" s="6">
        <v>127106</v>
      </c>
    </row>
    <row r="220" spans="1:22" x14ac:dyDescent="0.25">
      <c r="A220">
        <v>2026</v>
      </c>
      <c r="B220" s="1" t="s">
        <v>6</v>
      </c>
      <c r="C220" t="s">
        <v>34</v>
      </c>
      <c r="D220" s="1" t="s">
        <v>607</v>
      </c>
      <c r="E220" t="s">
        <v>282</v>
      </c>
      <c r="F220" s="6">
        <v>412094</v>
      </c>
      <c r="G220" s="6">
        <v>316757</v>
      </c>
      <c r="H220" s="6">
        <v>67844</v>
      </c>
      <c r="I220" s="6">
        <v>248913</v>
      </c>
      <c r="J220" s="6">
        <v>95337</v>
      </c>
      <c r="K220" s="6">
        <v>0</v>
      </c>
      <c r="L220" s="6">
        <v>344250</v>
      </c>
      <c r="M220">
        <v>0</v>
      </c>
      <c r="N220">
        <v>0</v>
      </c>
      <c r="O220">
        <v>0</v>
      </c>
      <c r="P220" s="6">
        <v>43600</v>
      </c>
      <c r="Q220" s="6">
        <v>0</v>
      </c>
      <c r="R220" s="6">
        <v>67170</v>
      </c>
      <c r="S220" s="6">
        <v>75208</v>
      </c>
      <c r="T220" s="6">
        <v>530228</v>
      </c>
      <c r="U220" s="6">
        <v>292513</v>
      </c>
      <c r="V220" s="6">
        <v>237715</v>
      </c>
    </row>
    <row r="221" spans="1:22" x14ac:dyDescent="0.25">
      <c r="A221">
        <v>2026</v>
      </c>
      <c r="B221" s="1" t="s">
        <v>9</v>
      </c>
      <c r="C221" t="s">
        <v>37</v>
      </c>
      <c r="D221" s="1" t="s">
        <v>608</v>
      </c>
      <c r="E221" t="s">
        <v>283</v>
      </c>
      <c r="F221" s="6">
        <v>77563</v>
      </c>
      <c r="G221" s="6">
        <v>61487</v>
      </c>
      <c r="H221" s="6">
        <v>13169</v>
      </c>
      <c r="I221" s="6">
        <v>48318</v>
      </c>
      <c r="J221" s="6">
        <v>16076</v>
      </c>
      <c r="K221" s="6">
        <v>1716</v>
      </c>
      <c r="L221" s="6">
        <v>66110</v>
      </c>
      <c r="M221">
        <v>69</v>
      </c>
      <c r="N221">
        <v>18</v>
      </c>
      <c r="O221">
        <v>87</v>
      </c>
      <c r="P221" s="6">
        <v>7370</v>
      </c>
      <c r="Q221">
        <v>0</v>
      </c>
      <c r="R221" s="6">
        <v>12931</v>
      </c>
      <c r="S221" s="6">
        <v>14221</v>
      </c>
      <c r="T221" s="6">
        <v>100719</v>
      </c>
      <c r="U221" s="6">
        <v>55757</v>
      </c>
      <c r="V221" s="6">
        <v>44962</v>
      </c>
    </row>
    <row r="222" spans="1:22" x14ac:dyDescent="0.25">
      <c r="A222">
        <v>2026</v>
      </c>
      <c r="B222" s="1" t="s">
        <v>12</v>
      </c>
      <c r="C222" t="s">
        <v>40</v>
      </c>
      <c r="D222" s="1" t="s">
        <v>609</v>
      </c>
      <c r="E222" t="s">
        <v>284</v>
      </c>
      <c r="F222" s="6">
        <v>58181</v>
      </c>
      <c r="G222" s="6">
        <v>45995</v>
      </c>
      <c r="H222" s="6">
        <v>9851</v>
      </c>
      <c r="I222" s="6">
        <v>36144</v>
      </c>
      <c r="J222" s="6">
        <v>12186</v>
      </c>
      <c r="K222" s="6">
        <v>14585</v>
      </c>
      <c r="L222" s="6">
        <v>62915</v>
      </c>
      <c r="M222">
        <v>97</v>
      </c>
      <c r="N222">
        <v>25</v>
      </c>
      <c r="O222">
        <v>122</v>
      </c>
      <c r="P222" s="6">
        <v>6714</v>
      </c>
      <c r="Q222">
        <v>0</v>
      </c>
      <c r="R222" s="6">
        <v>9359</v>
      </c>
      <c r="S222" s="6">
        <v>10348</v>
      </c>
      <c r="T222" s="6">
        <v>89458</v>
      </c>
      <c r="U222" s="6">
        <v>42955</v>
      </c>
      <c r="V222" s="6">
        <v>46503</v>
      </c>
    </row>
    <row r="223" spans="1:22" x14ac:dyDescent="0.25">
      <c r="A223">
        <v>2026</v>
      </c>
      <c r="B223" s="1" t="s">
        <v>7</v>
      </c>
      <c r="C223" t="s">
        <v>35</v>
      </c>
      <c r="D223" s="1" t="s">
        <v>610</v>
      </c>
      <c r="E223" t="s">
        <v>285</v>
      </c>
      <c r="F223" s="6">
        <v>337067</v>
      </c>
      <c r="G223" s="6">
        <v>263961</v>
      </c>
      <c r="H223" s="6">
        <v>56536</v>
      </c>
      <c r="I223" s="6">
        <v>207425</v>
      </c>
      <c r="J223" s="6">
        <v>73106</v>
      </c>
      <c r="K223" s="6">
        <v>2274</v>
      </c>
      <c r="L223" s="6">
        <v>282805</v>
      </c>
      <c r="M223">
        <v>323</v>
      </c>
      <c r="N223">
        <v>89</v>
      </c>
      <c r="O223">
        <v>412</v>
      </c>
      <c r="P223" s="6">
        <v>41789</v>
      </c>
      <c r="Q223" s="6">
        <v>0</v>
      </c>
      <c r="R223" s="6">
        <v>57847</v>
      </c>
      <c r="S223" s="6">
        <v>64483</v>
      </c>
      <c r="T223" s="6">
        <v>447336</v>
      </c>
      <c r="U223" s="6">
        <v>249537</v>
      </c>
      <c r="V223" s="6">
        <v>197799</v>
      </c>
    </row>
    <row r="224" spans="1:22" x14ac:dyDescent="0.25">
      <c r="A224">
        <v>2026</v>
      </c>
      <c r="B224" s="1" t="s">
        <v>13</v>
      </c>
      <c r="C224" t="s">
        <v>41</v>
      </c>
      <c r="D224" s="1" t="s">
        <v>611</v>
      </c>
      <c r="E224" t="s">
        <v>286</v>
      </c>
      <c r="F224" s="6">
        <v>848654</v>
      </c>
      <c r="G224" s="6">
        <v>676023</v>
      </c>
      <c r="H224" s="6">
        <v>144794</v>
      </c>
      <c r="I224" s="6">
        <v>531229</v>
      </c>
      <c r="J224" s="6">
        <v>172631</v>
      </c>
      <c r="K224">
        <v>0</v>
      </c>
      <c r="L224" s="6">
        <v>703860</v>
      </c>
      <c r="M224" s="6">
        <v>1543</v>
      </c>
      <c r="N224">
        <v>394</v>
      </c>
      <c r="O224" s="6">
        <v>1937</v>
      </c>
      <c r="P224" s="6">
        <v>85385</v>
      </c>
      <c r="Q224" s="6">
        <v>0</v>
      </c>
      <c r="R224" s="6">
        <v>155189</v>
      </c>
      <c r="S224" s="6">
        <v>170646</v>
      </c>
      <c r="T224" s="6">
        <v>1117017</v>
      </c>
      <c r="U224" s="6">
        <v>618157</v>
      </c>
      <c r="V224" s="6">
        <v>498860</v>
      </c>
    </row>
    <row r="225" spans="1:22" x14ac:dyDescent="0.25">
      <c r="A225">
        <v>2026</v>
      </c>
      <c r="B225" s="1" t="s">
        <v>13</v>
      </c>
      <c r="C225" t="s">
        <v>41</v>
      </c>
      <c r="D225" s="1" t="s">
        <v>612</v>
      </c>
      <c r="E225" t="s">
        <v>287</v>
      </c>
      <c r="F225" s="6">
        <v>2027632</v>
      </c>
      <c r="G225" s="6">
        <v>1615177</v>
      </c>
      <c r="H225" s="6">
        <v>345945</v>
      </c>
      <c r="I225" s="6">
        <v>1269232</v>
      </c>
      <c r="J225" s="6">
        <v>412455</v>
      </c>
      <c r="K225">
        <v>0</v>
      </c>
      <c r="L225" s="6">
        <v>1681687</v>
      </c>
      <c r="M225" s="6">
        <v>3690</v>
      </c>
      <c r="N225">
        <v>942</v>
      </c>
      <c r="O225" s="6">
        <v>4632</v>
      </c>
      <c r="P225" s="6">
        <v>204004</v>
      </c>
      <c r="Q225" s="6">
        <v>0</v>
      </c>
      <c r="R225" s="6">
        <v>343768</v>
      </c>
      <c r="S225" s="6">
        <v>378008</v>
      </c>
      <c r="T225" s="6">
        <v>2612099</v>
      </c>
      <c r="U225" s="6">
        <v>1476926</v>
      </c>
      <c r="V225" s="6">
        <v>1135173</v>
      </c>
    </row>
    <row r="226" spans="1:22" x14ac:dyDescent="0.25">
      <c r="A226">
        <v>2026</v>
      </c>
      <c r="B226" s="1" t="s">
        <v>10</v>
      </c>
      <c r="C226" t="s">
        <v>38</v>
      </c>
      <c r="D226" s="1" t="s">
        <v>613</v>
      </c>
      <c r="E226" t="s">
        <v>288</v>
      </c>
      <c r="F226" s="6">
        <v>252916</v>
      </c>
      <c r="G226" s="6">
        <v>204671</v>
      </c>
      <c r="H226" s="6">
        <v>43837</v>
      </c>
      <c r="I226" s="6">
        <v>160834</v>
      </c>
      <c r="J226" s="6">
        <v>48245</v>
      </c>
      <c r="K226" s="6">
        <v>0</v>
      </c>
      <c r="L226" s="6">
        <v>209079</v>
      </c>
      <c r="M226">
        <v>0</v>
      </c>
      <c r="N226">
        <v>0</v>
      </c>
      <c r="O226">
        <v>0</v>
      </c>
      <c r="P226" s="6">
        <v>21735</v>
      </c>
      <c r="Q226" s="6">
        <v>0</v>
      </c>
      <c r="R226" s="6">
        <v>41900</v>
      </c>
      <c r="S226" s="6">
        <v>46047</v>
      </c>
      <c r="T226" s="6">
        <v>318761</v>
      </c>
      <c r="U226" s="6">
        <v>182569</v>
      </c>
      <c r="V226" s="6">
        <v>136192</v>
      </c>
    </row>
    <row r="227" spans="1:22" x14ac:dyDescent="0.25">
      <c r="A227">
        <v>2026</v>
      </c>
      <c r="B227" s="1" t="s">
        <v>6</v>
      </c>
      <c r="C227" t="s">
        <v>34</v>
      </c>
      <c r="D227" s="1" t="s">
        <v>614</v>
      </c>
      <c r="E227" t="s">
        <v>289</v>
      </c>
      <c r="F227" s="6">
        <v>72780</v>
      </c>
      <c r="G227" s="6">
        <v>55942</v>
      </c>
      <c r="H227" s="6">
        <v>11982</v>
      </c>
      <c r="I227" s="6">
        <v>43960</v>
      </c>
      <c r="J227" s="6">
        <v>16838</v>
      </c>
      <c r="K227" s="6">
        <v>0</v>
      </c>
      <c r="L227" s="6">
        <v>60798</v>
      </c>
      <c r="M227">
        <v>0</v>
      </c>
      <c r="N227">
        <v>0</v>
      </c>
      <c r="O227">
        <v>0</v>
      </c>
      <c r="P227" s="6">
        <v>7700</v>
      </c>
      <c r="Q227">
        <v>0</v>
      </c>
      <c r="R227" s="6">
        <v>12611</v>
      </c>
      <c r="S227" s="6">
        <v>14120</v>
      </c>
      <c r="T227" s="6">
        <v>95229</v>
      </c>
      <c r="U227" s="6">
        <v>51660</v>
      </c>
      <c r="V227" s="6">
        <v>43569</v>
      </c>
    </row>
    <row r="228" spans="1:22" x14ac:dyDescent="0.25">
      <c r="A228">
        <v>2026</v>
      </c>
      <c r="B228" s="1" t="s">
        <v>10</v>
      </c>
      <c r="C228" t="s">
        <v>38</v>
      </c>
      <c r="D228" s="1" t="s">
        <v>615</v>
      </c>
      <c r="E228" t="s">
        <v>290</v>
      </c>
      <c r="F228" s="6">
        <v>373348</v>
      </c>
      <c r="G228" s="6">
        <v>302129</v>
      </c>
      <c r="H228" s="6">
        <v>64711</v>
      </c>
      <c r="I228" s="6">
        <v>237418</v>
      </c>
      <c r="J228" s="6">
        <v>71219</v>
      </c>
      <c r="K228" s="6">
        <v>0</v>
      </c>
      <c r="L228" s="6">
        <v>308637</v>
      </c>
      <c r="M228">
        <v>0</v>
      </c>
      <c r="N228">
        <v>0</v>
      </c>
      <c r="O228">
        <v>0</v>
      </c>
      <c r="P228" s="6">
        <v>32085</v>
      </c>
      <c r="Q228" s="6">
        <v>0</v>
      </c>
      <c r="R228" s="6">
        <v>65638</v>
      </c>
      <c r="S228" s="6">
        <v>72135</v>
      </c>
      <c r="T228" s="6">
        <v>478495</v>
      </c>
      <c r="U228" s="6">
        <v>269503</v>
      </c>
      <c r="V228" s="6">
        <v>208992</v>
      </c>
    </row>
    <row r="229" spans="1:22" x14ac:dyDescent="0.25">
      <c r="A229">
        <v>2026</v>
      </c>
      <c r="B229" s="1" t="s">
        <v>13</v>
      </c>
      <c r="C229" t="s">
        <v>41</v>
      </c>
      <c r="D229" s="1" t="s">
        <v>616</v>
      </c>
      <c r="E229" t="s">
        <v>291</v>
      </c>
      <c r="F229" s="6">
        <v>204375</v>
      </c>
      <c r="G229" s="6">
        <v>162801</v>
      </c>
      <c r="H229" s="6">
        <v>34870</v>
      </c>
      <c r="I229" s="6">
        <v>127931</v>
      </c>
      <c r="J229" s="6">
        <v>41574</v>
      </c>
      <c r="K229" s="6">
        <v>5355</v>
      </c>
      <c r="L229" s="6">
        <v>174860</v>
      </c>
      <c r="M229">
        <v>373</v>
      </c>
      <c r="N229">
        <v>95</v>
      </c>
      <c r="O229">
        <v>468</v>
      </c>
      <c r="P229" s="6">
        <v>20563</v>
      </c>
      <c r="Q229" s="6">
        <v>0</v>
      </c>
      <c r="R229" s="6">
        <v>35403</v>
      </c>
      <c r="S229" s="6">
        <v>38929</v>
      </c>
      <c r="T229" s="6">
        <v>270223</v>
      </c>
      <c r="U229" s="6">
        <v>148867</v>
      </c>
      <c r="V229" s="6">
        <v>121356</v>
      </c>
    </row>
    <row r="230" spans="1:22" x14ac:dyDescent="0.25">
      <c r="A230">
        <v>2026</v>
      </c>
      <c r="B230" s="1" t="s">
        <v>10</v>
      </c>
      <c r="C230" t="s">
        <v>38</v>
      </c>
      <c r="D230" s="1" t="s">
        <v>617</v>
      </c>
      <c r="E230" t="s">
        <v>292</v>
      </c>
      <c r="F230" s="6">
        <v>818537</v>
      </c>
      <c r="G230" s="6">
        <v>662394</v>
      </c>
      <c r="H230" s="6">
        <v>141874</v>
      </c>
      <c r="I230" s="6">
        <v>520520</v>
      </c>
      <c r="J230" s="6">
        <v>156143</v>
      </c>
      <c r="K230">
        <v>0</v>
      </c>
      <c r="L230" s="6">
        <v>676663</v>
      </c>
      <c r="M230">
        <v>0</v>
      </c>
      <c r="N230">
        <v>0</v>
      </c>
      <c r="O230">
        <v>0</v>
      </c>
      <c r="P230" s="6">
        <v>70343</v>
      </c>
      <c r="Q230" s="6">
        <v>0</v>
      </c>
      <c r="R230" s="6">
        <v>179792</v>
      </c>
      <c r="S230" s="6">
        <v>197588</v>
      </c>
      <c r="T230" s="6">
        <v>1124386</v>
      </c>
      <c r="U230" s="6">
        <v>590863</v>
      </c>
      <c r="V230" s="6">
        <v>533523</v>
      </c>
    </row>
    <row r="231" spans="1:22" x14ac:dyDescent="0.25">
      <c r="A231">
        <v>2026</v>
      </c>
      <c r="B231" s="1" t="s">
        <v>10</v>
      </c>
      <c r="C231" t="s">
        <v>38</v>
      </c>
      <c r="D231" s="1" t="s">
        <v>618</v>
      </c>
      <c r="E231" t="s">
        <v>293</v>
      </c>
      <c r="F231" s="6">
        <v>707778</v>
      </c>
      <c r="G231" s="6">
        <v>572763</v>
      </c>
      <c r="H231" s="6">
        <v>122677</v>
      </c>
      <c r="I231" s="6">
        <v>450086</v>
      </c>
      <c r="J231" s="6">
        <v>135015</v>
      </c>
      <c r="K231" s="6">
        <v>25868</v>
      </c>
      <c r="L231" s="6">
        <v>610969</v>
      </c>
      <c r="M231">
        <v>0</v>
      </c>
      <c r="N231">
        <v>0</v>
      </c>
      <c r="O231">
        <v>0</v>
      </c>
      <c r="P231" s="6">
        <v>62802</v>
      </c>
      <c r="Q231" s="6">
        <v>0</v>
      </c>
      <c r="R231" s="6">
        <v>122845</v>
      </c>
      <c r="S231" s="6">
        <v>135004</v>
      </c>
      <c r="T231" s="6">
        <v>931620</v>
      </c>
      <c r="U231" s="6">
        <v>512888</v>
      </c>
      <c r="V231" s="6">
        <v>418732</v>
      </c>
    </row>
    <row r="232" spans="1:22" x14ac:dyDescent="0.25">
      <c r="A232">
        <v>2026</v>
      </c>
      <c r="B232" s="1" t="s">
        <v>8</v>
      </c>
      <c r="C232" t="s">
        <v>36</v>
      </c>
      <c r="D232" s="1" t="s">
        <v>619</v>
      </c>
      <c r="E232" t="s">
        <v>294</v>
      </c>
      <c r="F232" s="6">
        <v>2089491</v>
      </c>
      <c r="G232" s="6">
        <v>1647336</v>
      </c>
      <c r="H232" s="6">
        <v>352833</v>
      </c>
      <c r="I232" s="6">
        <v>1294503</v>
      </c>
      <c r="J232" s="6">
        <v>442155</v>
      </c>
      <c r="K232">
        <v>0</v>
      </c>
      <c r="L232" s="6">
        <v>1736658</v>
      </c>
      <c r="M232" s="6">
        <v>2796</v>
      </c>
      <c r="N232">
        <v>750</v>
      </c>
      <c r="O232" s="6">
        <v>3546</v>
      </c>
      <c r="P232" s="6">
        <v>192965</v>
      </c>
      <c r="Q232" s="6">
        <v>0</v>
      </c>
      <c r="R232" s="6">
        <v>372470</v>
      </c>
      <c r="S232" s="6">
        <v>407303</v>
      </c>
      <c r="T232" s="6">
        <v>2712942</v>
      </c>
      <c r="U232" s="6">
        <v>1490264</v>
      </c>
      <c r="V232" s="6">
        <v>1222678</v>
      </c>
    </row>
    <row r="233" spans="1:22" x14ac:dyDescent="0.25">
      <c r="A233">
        <v>2026</v>
      </c>
      <c r="B233" s="1" t="s">
        <v>10</v>
      </c>
      <c r="C233" t="s">
        <v>38</v>
      </c>
      <c r="D233" s="1" t="s">
        <v>620</v>
      </c>
      <c r="E233" t="s">
        <v>295</v>
      </c>
      <c r="F233" s="6">
        <v>270338</v>
      </c>
      <c r="G233" s="6">
        <v>218769</v>
      </c>
      <c r="H233" s="6">
        <v>46857</v>
      </c>
      <c r="I233" s="6">
        <v>171912</v>
      </c>
      <c r="J233" s="6">
        <v>51569</v>
      </c>
      <c r="K233">
        <v>0</v>
      </c>
      <c r="L233" s="6">
        <v>223481</v>
      </c>
      <c r="M233">
        <v>0</v>
      </c>
      <c r="N233">
        <v>0</v>
      </c>
      <c r="O233">
        <v>0</v>
      </c>
      <c r="P233" s="6">
        <v>23232</v>
      </c>
      <c r="Q233" s="6">
        <v>0</v>
      </c>
      <c r="R233" s="6">
        <v>45467</v>
      </c>
      <c r="S233" s="6">
        <v>49967</v>
      </c>
      <c r="T233" s="6">
        <v>342147</v>
      </c>
      <c r="U233" s="6">
        <v>195144</v>
      </c>
      <c r="V233" s="6">
        <v>147003</v>
      </c>
    </row>
    <row r="234" spans="1:22" x14ac:dyDescent="0.25">
      <c r="A234">
        <v>2026</v>
      </c>
      <c r="B234" s="1" t="s">
        <v>6</v>
      </c>
      <c r="C234" t="s">
        <v>34</v>
      </c>
      <c r="D234" s="1" t="s">
        <v>621</v>
      </c>
      <c r="E234" t="s">
        <v>296</v>
      </c>
      <c r="F234" s="6">
        <v>265615</v>
      </c>
      <c r="G234" s="6">
        <v>204165</v>
      </c>
      <c r="H234" s="6">
        <v>43729</v>
      </c>
      <c r="I234" s="6">
        <v>160436</v>
      </c>
      <c r="J234" s="6">
        <v>61450</v>
      </c>
      <c r="K234" s="6">
        <v>432</v>
      </c>
      <c r="L234" s="6">
        <v>222318</v>
      </c>
      <c r="M234">
        <v>0</v>
      </c>
      <c r="N234">
        <v>0</v>
      </c>
      <c r="O234">
        <v>0</v>
      </c>
      <c r="P234" s="6">
        <v>28102</v>
      </c>
      <c r="Q234" s="6">
        <v>0</v>
      </c>
      <c r="R234" s="6">
        <v>48613</v>
      </c>
      <c r="S234" s="6">
        <v>54431</v>
      </c>
      <c r="T234" s="6">
        <v>353464</v>
      </c>
      <c r="U234" s="6">
        <v>188538</v>
      </c>
      <c r="V234" s="6">
        <v>164926</v>
      </c>
    </row>
    <row r="235" spans="1:22" x14ac:dyDescent="0.25">
      <c r="A235">
        <v>2026</v>
      </c>
      <c r="B235" s="1" t="s">
        <v>5</v>
      </c>
      <c r="C235" t="s">
        <v>33</v>
      </c>
      <c r="D235" s="1" t="s">
        <v>622</v>
      </c>
      <c r="E235" t="s">
        <v>297</v>
      </c>
      <c r="F235" s="6">
        <v>300222</v>
      </c>
      <c r="G235" s="6">
        <v>228067</v>
      </c>
      <c r="H235" s="6">
        <v>48849</v>
      </c>
      <c r="I235" s="6">
        <v>179218</v>
      </c>
      <c r="J235" s="6">
        <v>72155</v>
      </c>
      <c r="K235" s="6">
        <v>5855</v>
      </c>
      <c r="L235" s="6">
        <v>257228</v>
      </c>
      <c r="M235">
        <v>591</v>
      </c>
      <c r="N235">
        <v>187</v>
      </c>
      <c r="O235">
        <v>778</v>
      </c>
      <c r="P235" s="6">
        <v>30335</v>
      </c>
      <c r="Q235" s="6">
        <v>0</v>
      </c>
      <c r="R235" s="6">
        <v>48619</v>
      </c>
      <c r="S235" s="6">
        <v>54154</v>
      </c>
      <c r="T235" s="6">
        <v>391114</v>
      </c>
      <c r="U235" s="6">
        <v>210144</v>
      </c>
      <c r="V235" s="6">
        <v>180970</v>
      </c>
    </row>
    <row r="236" spans="1:22" x14ac:dyDescent="0.25">
      <c r="A236">
        <v>2026</v>
      </c>
      <c r="B236" s="1" t="s">
        <v>12</v>
      </c>
      <c r="C236" t="s">
        <v>40</v>
      </c>
      <c r="D236" s="1" t="s">
        <v>623</v>
      </c>
      <c r="E236" t="s">
        <v>298</v>
      </c>
      <c r="F236" s="6">
        <v>380275</v>
      </c>
      <c r="G236" s="6">
        <v>300630</v>
      </c>
      <c r="H236" s="6">
        <v>64390</v>
      </c>
      <c r="I236" s="6">
        <v>236240</v>
      </c>
      <c r="J236" s="6">
        <v>79645</v>
      </c>
      <c r="K236" s="6">
        <v>26248</v>
      </c>
      <c r="L236" s="6">
        <v>342133</v>
      </c>
      <c r="M236">
        <v>615</v>
      </c>
      <c r="N236">
        <v>164</v>
      </c>
      <c r="O236">
        <v>779</v>
      </c>
      <c r="P236" s="6">
        <v>41747</v>
      </c>
      <c r="Q236" s="6">
        <v>0</v>
      </c>
      <c r="R236" s="6">
        <v>63235</v>
      </c>
      <c r="S236" s="6">
        <v>69920</v>
      </c>
      <c r="T236" s="6">
        <v>517814</v>
      </c>
      <c r="U236" s="6">
        <v>278603</v>
      </c>
      <c r="V236" s="6">
        <v>239211</v>
      </c>
    </row>
    <row r="237" spans="1:22" x14ac:dyDescent="0.25">
      <c r="A237">
        <v>2026</v>
      </c>
      <c r="B237" s="1" t="s">
        <v>11</v>
      </c>
      <c r="C237" t="s">
        <v>39</v>
      </c>
      <c r="D237" s="1" t="s">
        <v>624</v>
      </c>
      <c r="E237" t="s">
        <v>299</v>
      </c>
      <c r="F237" s="6">
        <v>143788</v>
      </c>
      <c r="G237" s="6">
        <v>111570</v>
      </c>
      <c r="H237" s="6">
        <v>23897</v>
      </c>
      <c r="I237" s="6">
        <v>87673</v>
      </c>
      <c r="J237" s="6">
        <v>32218</v>
      </c>
      <c r="K237" s="6">
        <v>0</v>
      </c>
      <c r="L237" s="6">
        <v>119891</v>
      </c>
      <c r="M237">
        <v>210</v>
      </c>
      <c r="N237">
        <v>60</v>
      </c>
      <c r="O237">
        <v>270</v>
      </c>
      <c r="P237" s="6">
        <v>14500</v>
      </c>
      <c r="Q237" s="6">
        <v>0</v>
      </c>
      <c r="R237" s="6">
        <v>33222</v>
      </c>
      <c r="S237" s="6">
        <v>37188</v>
      </c>
      <c r="T237" s="6">
        <v>205071</v>
      </c>
      <c r="U237" s="6">
        <v>102383</v>
      </c>
      <c r="V237" s="6">
        <v>102688</v>
      </c>
    </row>
    <row r="238" spans="1:22" x14ac:dyDescent="0.25">
      <c r="A238">
        <v>2026</v>
      </c>
      <c r="B238" s="1" t="s">
        <v>5</v>
      </c>
      <c r="C238" t="s">
        <v>33</v>
      </c>
      <c r="D238" s="1" t="s">
        <v>625</v>
      </c>
      <c r="E238" t="s">
        <v>300</v>
      </c>
      <c r="F238" s="6">
        <v>145026</v>
      </c>
      <c r="G238" s="6">
        <v>110171</v>
      </c>
      <c r="H238" s="6">
        <v>23596</v>
      </c>
      <c r="I238" s="6">
        <v>86575</v>
      </c>
      <c r="J238" s="6">
        <v>34855</v>
      </c>
      <c r="K238">
        <v>0</v>
      </c>
      <c r="L238" s="6">
        <v>121430</v>
      </c>
      <c r="M238">
        <v>287</v>
      </c>
      <c r="N238">
        <v>91</v>
      </c>
      <c r="O238">
        <v>378</v>
      </c>
      <c r="P238" s="6">
        <v>14382</v>
      </c>
      <c r="Q238" s="6">
        <v>0</v>
      </c>
      <c r="R238" s="6">
        <v>23298</v>
      </c>
      <c r="S238" s="6">
        <v>25950</v>
      </c>
      <c r="T238" s="6">
        <v>185438</v>
      </c>
      <c r="U238" s="6">
        <v>101244</v>
      </c>
      <c r="V238" s="6">
        <v>84194</v>
      </c>
    </row>
    <row r="239" spans="1:22" x14ac:dyDescent="0.25">
      <c r="A239">
        <v>2026</v>
      </c>
      <c r="B239" s="1" t="s">
        <v>11</v>
      </c>
      <c r="C239" t="s">
        <v>39</v>
      </c>
      <c r="D239" s="1" t="s">
        <v>626</v>
      </c>
      <c r="E239" t="s">
        <v>301</v>
      </c>
      <c r="F239" s="6">
        <v>155562</v>
      </c>
      <c r="G239" s="6">
        <v>120706</v>
      </c>
      <c r="H239" s="6">
        <v>25853</v>
      </c>
      <c r="I239" s="6">
        <v>94853</v>
      </c>
      <c r="J239" s="6">
        <v>34856</v>
      </c>
      <c r="K239">
        <v>242</v>
      </c>
      <c r="L239" s="6">
        <v>129951</v>
      </c>
      <c r="M239">
        <v>226</v>
      </c>
      <c r="N239">
        <v>66</v>
      </c>
      <c r="O239">
        <v>292</v>
      </c>
      <c r="P239" s="6">
        <v>15707</v>
      </c>
      <c r="Q239" s="6">
        <v>0</v>
      </c>
      <c r="R239" s="6">
        <v>23628</v>
      </c>
      <c r="S239" s="6">
        <v>26448</v>
      </c>
      <c r="T239" s="6">
        <v>196026</v>
      </c>
      <c r="U239" s="6">
        <v>110786</v>
      </c>
      <c r="V239" s="6">
        <v>85240</v>
      </c>
    </row>
    <row r="240" spans="1:22" x14ac:dyDescent="0.25">
      <c r="A240">
        <v>2026</v>
      </c>
      <c r="B240" s="1" t="s">
        <v>12</v>
      </c>
      <c r="C240" t="s">
        <v>40</v>
      </c>
      <c r="D240" s="1" t="s">
        <v>627</v>
      </c>
      <c r="E240" t="s">
        <v>302</v>
      </c>
      <c r="F240" s="6">
        <v>294779</v>
      </c>
      <c r="G240" s="6">
        <v>233041</v>
      </c>
      <c r="H240" s="6">
        <v>49914</v>
      </c>
      <c r="I240" s="6">
        <v>183127</v>
      </c>
      <c r="J240" s="6">
        <v>61738</v>
      </c>
      <c r="K240">
        <v>0</v>
      </c>
      <c r="L240" s="6">
        <v>244865</v>
      </c>
      <c r="M240">
        <v>475</v>
      </c>
      <c r="N240">
        <v>125</v>
      </c>
      <c r="O240">
        <v>600</v>
      </c>
      <c r="P240" s="6">
        <v>30270</v>
      </c>
      <c r="Q240" s="6">
        <v>0</v>
      </c>
      <c r="R240" s="6">
        <v>47313</v>
      </c>
      <c r="S240" s="6">
        <v>52314</v>
      </c>
      <c r="T240" s="6">
        <v>375362</v>
      </c>
      <c r="U240" s="6">
        <v>213871</v>
      </c>
      <c r="V240" s="6">
        <v>161491</v>
      </c>
    </row>
    <row r="241" spans="1:22" x14ac:dyDescent="0.25">
      <c r="A241">
        <v>2026</v>
      </c>
      <c r="B241" s="1" t="s">
        <v>11</v>
      </c>
      <c r="C241" t="s">
        <v>39</v>
      </c>
      <c r="D241" s="1" t="s">
        <v>628</v>
      </c>
      <c r="E241" t="s">
        <v>303</v>
      </c>
      <c r="F241" s="6">
        <v>304920</v>
      </c>
      <c r="G241" s="6">
        <v>236598</v>
      </c>
      <c r="H241" s="6">
        <v>50675</v>
      </c>
      <c r="I241" s="6">
        <v>185923</v>
      </c>
      <c r="J241" s="6">
        <v>68322</v>
      </c>
      <c r="K241" s="6">
        <v>11651</v>
      </c>
      <c r="L241" s="6">
        <v>265896</v>
      </c>
      <c r="M241">
        <v>444</v>
      </c>
      <c r="N241">
        <v>129</v>
      </c>
      <c r="O241">
        <v>573</v>
      </c>
      <c r="P241" s="6">
        <v>31489</v>
      </c>
      <c r="Q241" s="6">
        <v>0</v>
      </c>
      <c r="R241" s="6">
        <v>80021</v>
      </c>
      <c r="S241" s="6">
        <v>89572</v>
      </c>
      <c r="T241" s="6">
        <v>467551</v>
      </c>
      <c r="U241" s="6">
        <v>217857</v>
      </c>
      <c r="V241" s="6">
        <v>249694</v>
      </c>
    </row>
    <row r="242" spans="1:22" x14ac:dyDescent="0.25">
      <c r="A242">
        <v>2026</v>
      </c>
      <c r="B242" s="1" t="s">
        <v>10</v>
      </c>
      <c r="C242" t="s">
        <v>38</v>
      </c>
      <c r="D242" s="1" t="s">
        <v>629</v>
      </c>
      <c r="E242" t="s">
        <v>304</v>
      </c>
      <c r="F242" s="6">
        <v>379972</v>
      </c>
      <c r="G242" s="6">
        <v>307489</v>
      </c>
      <c r="H242" s="6">
        <v>65859</v>
      </c>
      <c r="I242" s="6">
        <v>241630</v>
      </c>
      <c r="J242" s="6">
        <v>72483</v>
      </c>
      <c r="K242">
        <v>0</v>
      </c>
      <c r="L242" s="6">
        <v>314113</v>
      </c>
      <c r="M242">
        <v>0</v>
      </c>
      <c r="N242">
        <v>0</v>
      </c>
      <c r="O242">
        <v>0</v>
      </c>
      <c r="P242" s="6">
        <v>32654</v>
      </c>
      <c r="Q242" s="6">
        <v>0</v>
      </c>
      <c r="R242" s="6">
        <v>65898</v>
      </c>
      <c r="S242" s="6">
        <v>72420</v>
      </c>
      <c r="T242" s="6">
        <v>485085</v>
      </c>
      <c r="U242" s="6">
        <v>274284</v>
      </c>
      <c r="V242" s="6">
        <v>210801</v>
      </c>
    </row>
    <row r="243" spans="1:22" x14ac:dyDescent="0.25">
      <c r="A243">
        <v>2026</v>
      </c>
      <c r="B243" s="1" t="s">
        <v>7</v>
      </c>
      <c r="C243" t="s">
        <v>35</v>
      </c>
      <c r="D243" s="1" t="s">
        <v>630</v>
      </c>
      <c r="E243" t="s">
        <v>305</v>
      </c>
      <c r="F243" s="6">
        <v>166126</v>
      </c>
      <c r="G243" s="6">
        <v>130095</v>
      </c>
      <c r="H243" s="6">
        <v>27864</v>
      </c>
      <c r="I243" s="6">
        <v>102231</v>
      </c>
      <c r="J243" s="6">
        <v>36031</v>
      </c>
      <c r="K243" s="6">
        <v>3481</v>
      </c>
      <c r="L243" s="6">
        <v>141743</v>
      </c>
      <c r="M243">
        <v>160</v>
      </c>
      <c r="N243">
        <v>44</v>
      </c>
      <c r="O243">
        <v>204</v>
      </c>
      <c r="P243" s="6">
        <v>20887</v>
      </c>
      <c r="Q243" s="6">
        <v>0</v>
      </c>
      <c r="R243" s="6">
        <v>26899</v>
      </c>
      <c r="S243" s="6">
        <v>29985</v>
      </c>
      <c r="T243" s="6">
        <v>219718</v>
      </c>
      <c r="U243" s="6">
        <v>123278</v>
      </c>
      <c r="V243" s="6">
        <v>96440</v>
      </c>
    </row>
    <row r="244" spans="1:22" x14ac:dyDescent="0.25">
      <c r="A244">
        <v>2026</v>
      </c>
      <c r="B244" s="1" t="s">
        <v>6</v>
      </c>
      <c r="C244" t="s">
        <v>34</v>
      </c>
      <c r="D244" s="1" t="s">
        <v>631</v>
      </c>
      <c r="E244" t="s">
        <v>306</v>
      </c>
      <c r="F244" s="6">
        <v>78263</v>
      </c>
      <c r="G244" s="6">
        <v>60157</v>
      </c>
      <c r="H244" s="6">
        <v>12884</v>
      </c>
      <c r="I244" s="6">
        <v>47273</v>
      </c>
      <c r="J244" s="6">
        <v>18106</v>
      </c>
      <c r="K244" s="6">
        <v>8212</v>
      </c>
      <c r="L244" s="6">
        <v>73591</v>
      </c>
      <c r="M244">
        <v>0</v>
      </c>
      <c r="N244">
        <v>0</v>
      </c>
      <c r="O244">
        <v>0</v>
      </c>
      <c r="P244" s="6">
        <v>8280</v>
      </c>
      <c r="Q244">
        <v>0</v>
      </c>
      <c r="R244" s="6">
        <v>12741</v>
      </c>
      <c r="S244" s="6">
        <v>14266</v>
      </c>
      <c r="T244" s="6">
        <v>108878</v>
      </c>
      <c r="U244" s="6">
        <v>55553</v>
      </c>
      <c r="V244" s="6">
        <v>53325</v>
      </c>
    </row>
    <row r="245" spans="1:22" x14ac:dyDescent="0.25">
      <c r="A245">
        <v>2026</v>
      </c>
      <c r="B245" s="1" t="s">
        <v>10</v>
      </c>
      <c r="C245" t="s">
        <v>38</v>
      </c>
      <c r="D245" s="1" t="s">
        <v>632</v>
      </c>
      <c r="E245" t="s">
        <v>307</v>
      </c>
      <c r="F245" s="6">
        <v>395445</v>
      </c>
      <c r="G245" s="6">
        <v>320011</v>
      </c>
      <c r="H245" s="6">
        <v>68541</v>
      </c>
      <c r="I245" s="6">
        <v>251470</v>
      </c>
      <c r="J245" s="6">
        <v>75434</v>
      </c>
      <c r="K245">
        <v>0</v>
      </c>
      <c r="L245" s="6">
        <v>326904</v>
      </c>
      <c r="M245">
        <v>0</v>
      </c>
      <c r="N245">
        <v>0</v>
      </c>
      <c r="O245">
        <v>0</v>
      </c>
      <c r="P245" s="6">
        <v>33984</v>
      </c>
      <c r="Q245" s="6">
        <v>0</v>
      </c>
      <c r="R245" s="6">
        <v>70762</v>
      </c>
      <c r="S245" s="6">
        <v>77766</v>
      </c>
      <c r="T245" s="6">
        <v>509416</v>
      </c>
      <c r="U245" s="6">
        <v>285454</v>
      </c>
      <c r="V245" s="6">
        <v>223962</v>
      </c>
    </row>
    <row r="246" spans="1:22" x14ac:dyDescent="0.25">
      <c r="A246">
        <v>2026</v>
      </c>
      <c r="B246" s="1" t="s">
        <v>6</v>
      </c>
      <c r="C246" t="s">
        <v>34</v>
      </c>
      <c r="D246" s="1" t="s">
        <v>633</v>
      </c>
      <c r="E246" t="s">
        <v>308</v>
      </c>
      <c r="F246" s="6">
        <v>144967</v>
      </c>
      <c r="G246" s="6">
        <v>111429</v>
      </c>
      <c r="H246" s="6">
        <v>23867</v>
      </c>
      <c r="I246" s="6">
        <v>87562</v>
      </c>
      <c r="J246" s="6">
        <v>33538</v>
      </c>
      <c r="K246" s="6">
        <v>0</v>
      </c>
      <c r="L246" s="6">
        <v>121100</v>
      </c>
      <c r="M246">
        <v>0</v>
      </c>
      <c r="N246">
        <v>0</v>
      </c>
      <c r="O246">
        <v>0</v>
      </c>
      <c r="P246" s="6">
        <v>15338</v>
      </c>
      <c r="Q246" s="6">
        <v>0</v>
      </c>
      <c r="R246" s="6">
        <v>24437</v>
      </c>
      <c r="S246" s="6">
        <v>27362</v>
      </c>
      <c r="T246" s="6">
        <v>188237</v>
      </c>
      <c r="U246" s="6">
        <v>102900</v>
      </c>
      <c r="V246" s="6">
        <v>85337</v>
      </c>
    </row>
    <row r="247" spans="1:22" x14ac:dyDescent="0.25">
      <c r="A247">
        <v>2026</v>
      </c>
      <c r="B247" s="1" t="s">
        <v>11</v>
      </c>
      <c r="C247" t="s">
        <v>39</v>
      </c>
      <c r="D247" s="1" t="s">
        <v>634</v>
      </c>
      <c r="E247" t="s">
        <v>309</v>
      </c>
      <c r="F247" s="6">
        <v>94445</v>
      </c>
      <c r="G247" s="6">
        <v>73284</v>
      </c>
      <c r="H247" s="6">
        <v>15696</v>
      </c>
      <c r="I247" s="6">
        <v>57588</v>
      </c>
      <c r="J247" s="6">
        <v>21161</v>
      </c>
      <c r="K247" s="6">
        <v>10514</v>
      </c>
      <c r="L247" s="6">
        <v>89263</v>
      </c>
      <c r="M247">
        <v>138</v>
      </c>
      <c r="N247">
        <v>40</v>
      </c>
      <c r="O247">
        <v>178</v>
      </c>
      <c r="P247" s="6">
        <v>9560</v>
      </c>
      <c r="Q247" s="6">
        <v>0</v>
      </c>
      <c r="R247" s="6">
        <v>15143</v>
      </c>
      <c r="S247" s="6">
        <v>16950</v>
      </c>
      <c r="T247" s="6">
        <v>131094</v>
      </c>
      <c r="U247" s="6">
        <v>67286</v>
      </c>
      <c r="V247" s="6">
        <v>63808</v>
      </c>
    </row>
    <row r="248" spans="1:22" x14ac:dyDescent="0.25">
      <c r="A248">
        <v>2026</v>
      </c>
      <c r="B248" s="1" t="s">
        <v>11</v>
      </c>
      <c r="C248" t="s">
        <v>39</v>
      </c>
      <c r="D248" s="1" t="s">
        <v>635</v>
      </c>
      <c r="E248" t="s">
        <v>310</v>
      </c>
      <c r="F248" s="6">
        <v>574103</v>
      </c>
      <c r="G248" s="6">
        <v>445467</v>
      </c>
      <c r="H248" s="6">
        <v>95412</v>
      </c>
      <c r="I248" s="6">
        <v>350055</v>
      </c>
      <c r="J248" s="6">
        <v>128636</v>
      </c>
      <c r="K248">
        <v>0</v>
      </c>
      <c r="L248" s="6">
        <v>478691</v>
      </c>
      <c r="M248">
        <v>836</v>
      </c>
      <c r="N248">
        <v>242</v>
      </c>
      <c r="O248" s="6">
        <v>1078</v>
      </c>
      <c r="P248" s="6">
        <v>57895</v>
      </c>
      <c r="Q248" s="6">
        <v>0</v>
      </c>
      <c r="R248" s="6">
        <v>96012</v>
      </c>
      <c r="S248" s="6">
        <v>107471</v>
      </c>
      <c r="T248" s="6">
        <v>741147</v>
      </c>
      <c r="U248" s="6">
        <v>408786</v>
      </c>
      <c r="V248" s="6">
        <v>332361</v>
      </c>
    </row>
    <row r="249" spans="1:22" x14ac:dyDescent="0.25">
      <c r="A249">
        <v>2026</v>
      </c>
      <c r="B249" s="1" t="s">
        <v>13</v>
      </c>
      <c r="C249" t="s">
        <v>41</v>
      </c>
      <c r="D249" s="1" t="s">
        <v>636</v>
      </c>
      <c r="E249" t="s">
        <v>311</v>
      </c>
      <c r="F249" s="6">
        <v>83716</v>
      </c>
      <c r="G249" s="6">
        <v>66687</v>
      </c>
      <c r="H249" s="6">
        <v>14283</v>
      </c>
      <c r="I249" s="6">
        <v>52404</v>
      </c>
      <c r="J249" s="6">
        <v>17029</v>
      </c>
      <c r="K249" s="6">
        <v>9183</v>
      </c>
      <c r="L249" s="6">
        <v>78616</v>
      </c>
      <c r="M249">
        <v>152</v>
      </c>
      <c r="N249">
        <v>39</v>
      </c>
      <c r="O249">
        <v>191</v>
      </c>
      <c r="P249" s="6">
        <v>8669</v>
      </c>
      <c r="Q249">
        <v>0</v>
      </c>
      <c r="R249" s="6">
        <v>14421</v>
      </c>
      <c r="S249" s="6">
        <v>15857</v>
      </c>
      <c r="T249" s="6">
        <v>117754</v>
      </c>
      <c r="U249" s="6">
        <v>61225</v>
      </c>
      <c r="V249" s="6">
        <v>56529</v>
      </c>
    </row>
    <row r="250" spans="1:22" x14ac:dyDescent="0.25">
      <c r="A250">
        <v>2026</v>
      </c>
      <c r="B250" s="1" t="s">
        <v>11</v>
      </c>
      <c r="C250" t="s">
        <v>39</v>
      </c>
      <c r="D250" s="1" t="s">
        <v>637</v>
      </c>
      <c r="E250" t="s">
        <v>312</v>
      </c>
      <c r="F250" s="6">
        <v>461820</v>
      </c>
      <c r="G250" s="6">
        <v>358342</v>
      </c>
      <c r="H250" s="6">
        <v>76751</v>
      </c>
      <c r="I250" s="6">
        <v>281591</v>
      </c>
      <c r="J250" s="6">
        <v>103478</v>
      </c>
      <c r="K250">
        <v>0</v>
      </c>
      <c r="L250" s="6">
        <v>385069</v>
      </c>
      <c r="M250">
        <v>671</v>
      </c>
      <c r="N250">
        <v>193</v>
      </c>
      <c r="O250">
        <v>864</v>
      </c>
      <c r="P250" s="6">
        <v>46571</v>
      </c>
      <c r="Q250" s="6">
        <v>0</v>
      </c>
      <c r="R250" s="6">
        <v>85634</v>
      </c>
      <c r="S250" s="6">
        <v>95855</v>
      </c>
      <c r="T250" s="6">
        <v>613993</v>
      </c>
      <c r="U250" s="6">
        <v>328833</v>
      </c>
      <c r="V250" s="6">
        <v>285160</v>
      </c>
    </row>
    <row r="251" spans="1:22" x14ac:dyDescent="0.25">
      <c r="A251">
        <v>2026</v>
      </c>
      <c r="B251" s="1" t="s">
        <v>12</v>
      </c>
      <c r="C251" t="s">
        <v>40</v>
      </c>
      <c r="D251" s="1" t="s">
        <v>638</v>
      </c>
      <c r="E251" t="s">
        <v>313</v>
      </c>
      <c r="F251" s="6">
        <v>424069</v>
      </c>
      <c r="G251" s="6">
        <v>335252</v>
      </c>
      <c r="H251" s="6">
        <v>71806</v>
      </c>
      <c r="I251" s="6">
        <v>263446</v>
      </c>
      <c r="J251" s="6">
        <v>88817</v>
      </c>
      <c r="K251">
        <v>0</v>
      </c>
      <c r="L251" s="6">
        <v>352263</v>
      </c>
      <c r="M251">
        <v>684</v>
      </c>
      <c r="N251">
        <v>182</v>
      </c>
      <c r="O251">
        <v>866</v>
      </c>
      <c r="P251" s="6">
        <v>43546</v>
      </c>
      <c r="Q251" s="6">
        <v>0</v>
      </c>
      <c r="R251" s="6">
        <v>69539</v>
      </c>
      <c r="S251" s="6">
        <v>76890</v>
      </c>
      <c r="T251" s="6">
        <v>543104</v>
      </c>
      <c r="U251" s="6">
        <v>307676</v>
      </c>
      <c r="V251" s="6">
        <v>235428</v>
      </c>
    </row>
    <row r="252" spans="1:22" x14ac:dyDescent="0.25">
      <c r="A252">
        <v>2026</v>
      </c>
      <c r="B252" s="1" t="s">
        <v>11</v>
      </c>
      <c r="C252" t="s">
        <v>39</v>
      </c>
      <c r="D252" s="1" t="s">
        <v>639</v>
      </c>
      <c r="E252" t="s">
        <v>314</v>
      </c>
      <c r="F252" s="6">
        <v>267824</v>
      </c>
      <c r="G252" s="6">
        <v>207814</v>
      </c>
      <c r="H252" s="6">
        <v>44511</v>
      </c>
      <c r="I252" s="6">
        <v>163303</v>
      </c>
      <c r="J252" s="6">
        <v>60010</v>
      </c>
      <c r="K252" s="6">
        <v>0</v>
      </c>
      <c r="L252" s="6">
        <v>223313</v>
      </c>
      <c r="M252">
        <v>389</v>
      </c>
      <c r="N252">
        <v>113</v>
      </c>
      <c r="O252">
        <v>502</v>
      </c>
      <c r="P252" s="6">
        <v>27008</v>
      </c>
      <c r="Q252" s="6">
        <v>0</v>
      </c>
      <c r="R252" s="6">
        <v>45036</v>
      </c>
      <c r="S252" s="6">
        <v>50411</v>
      </c>
      <c r="T252" s="6">
        <v>346270</v>
      </c>
      <c r="U252" s="6">
        <v>190700</v>
      </c>
      <c r="V252" s="6">
        <v>155570</v>
      </c>
    </row>
    <row r="253" spans="1:22" x14ac:dyDescent="0.25">
      <c r="A253">
        <v>2026</v>
      </c>
      <c r="B253" s="1" t="s">
        <v>12</v>
      </c>
      <c r="C253" t="s">
        <v>40</v>
      </c>
      <c r="D253" s="1" t="s">
        <v>640</v>
      </c>
      <c r="E253" t="s">
        <v>315</v>
      </c>
      <c r="F253" s="6">
        <v>142535</v>
      </c>
      <c r="G253" s="6">
        <v>112683</v>
      </c>
      <c r="H253" s="6">
        <v>24135</v>
      </c>
      <c r="I253" s="6">
        <v>88548</v>
      </c>
      <c r="J253" s="6">
        <v>29852</v>
      </c>
      <c r="K253" s="6">
        <v>7572</v>
      </c>
      <c r="L253" s="6">
        <v>125972</v>
      </c>
      <c r="M253">
        <v>229</v>
      </c>
      <c r="N253">
        <v>61</v>
      </c>
      <c r="O253">
        <v>290</v>
      </c>
      <c r="P253" s="6">
        <v>15415</v>
      </c>
      <c r="Q253" s="6">
        <v>0</v>
      </c>
      <c r="R253" s="6">
        <v>23981</v>
      </c>
      <c r="S253" s="6">
        <v>26516</v>
      </c>
      <c r="T253" s="6">
        <v>192174</v>
      </c>
      <c r="U253" s="6">
        <v>104192</v>
      </c>
      <c r="V253" s="6">
        <v>87982</v>
      </c>
    </row>
    <row r="254" spans="1:22" x14ac:dyDescent="0.25">
      <c r="A254">
        <v>2026</v>
      </c>
      <c r="B254" s="1" t="s">
        <v>13</v>
      </c>
      <c r="C254" t="s">
        <v>41</v>
      </c>
      <c r="D254" s="1" t="s">
        <v>641</v>
      </c>
      <c r="E254" t="s">
        <v>316</v>
      </c>
      <c r="F254" s="6">
        <v>213338</v>
      </c>
      <c r="G254" s="6">
        <v>169941</v>
      </c>
      <c r="H254" s="6">
        <v>36399</v>
      </c>
      <c r="I254" s="6">
        <v>133542</v>
      </c>
      <c r="J254" s="6">
        <v>43397</v>
      </c>
      <c r="K254">
        <v>0</v>
      </c>
      <c r="L254" s="6">
        <v>176939</v>
      </c>
      <c r="M254">
        <v>389</v>
      </c>
      <c r="N254">
        <v>100</v>
      </c>
      <c r="O254">
        <v>489</v>
      </c>
      <c r="P254" s="6">
        <v>21464</v>
      </c>
      <c r="Q254" s="6">
        <v>0</v>
      </c>
      <c r="R254" s="6">
        <v>36572</v>
      </c>
      <c r="S254" s="6">
        <v>40215</v>
      </c>
      <c r="T254" s="6">
        <v>275679</v>
      </c>
      <c r="U254" s="6">
        <v>155396</v>
      </c>
      <c r="V254" s="6">
        <v>120283</v>
      </c>
    </row>
    <row r="255" spans="1:22" x14ac:dyDescent="0.25">
      <c r="A255">
        <v>2026</v>
      </c>
      <c r="B255" s="1" t="s">
        <v>11</v>
      </c>
      <c r="C255" t="s">
        <v>39</v>
      </c>
      <c r="D255" s="1" t="s">
        <v>642</v>
      </c>
      <c r="E255" t="s">
        <v>317</v>
      </c>
      <c r="F255" s="6">
        <v>623183</v>
      </c>
      <c r="G255" s="6">
        <v>483549</v>
      </c>
      <c r="H255" s="6">
        <v>103568</v>
      </c>
      <c r="I255" s="6">
        <v>379981</v>
      </c>
      <c r="J255" s="6">
        <v>139634</v>
      </c>
      <c r="K255">
        <v>0</v>
      </c>
      <c r="L255" s="6">
        <v>519615</v>
      </c>
      <c r="M255">
        <v>905</v>
      </c>
      <c r="N255">
        <v>262</v>
      </c>
      <c r="O255" s="6">
        <v>1167</v>
      </c>
      <c r="P255" s="6">
        <v>62844</v>
      </c>
      <c r="Q255" s="6">
        <v>0</v>
      </c>
      <c r="R255" s="6">
        <v>148555</v>
      </c>
      <c r="S255" s="6">
        <v>166285</v>
      </c>
      <c r="T255" s="6">
        <v>898466</v>
      </c>
      <c r="U255" s="6">
        <v>443731</v>
      </c>
      <c r="V255" s="6">
        <v>454735</v>
      </c>
    </row>
    <row r="256" spans="1:22" x14ac:dyDescent="0.25">
      <c r="A256">
        <v>2026</v>
      </c>
      <c r="B256" s="1" t="s">
        <v>6</v>
      </c>
      <c r="C256" t="s">
        <v>34</v>
      </c>
      <c r="D256" s="1" t="s">
        <v>643</v>
      </c>
      <c r="E256" t="s">
        <v>318</v>
      </c>
      <c r="F256" s="6">
        <v>171679</v>
      </c>
      <c r="G256" s="6">
        <v>131961</v>
      </c>
      <c r="H256" s="6">
        <v>28264</v>
      </c>
      <c r="I256" s="6">
        <v>103697</v>
      </c>
      <c r="J256" s="6">
        <v>39718</v>
      </c>
      <c r="K256" s="6">
        <v>2897</v>
      </c>
      <c r="L256" s="6">
        <v>146312</v>
      </c>
      <c r="M256">
        <v>0</v>
      </c>
      <c r="N256">
        <v>0</v>
      </c>
      <c r="O256">
        <v>0</v>
      </c>
      <c r="P256" s="6">
        <v>18473</v>
      </c>
      <c r="Q256" s="6">
        <v>0</v>
      </c>
      <c r="R256" s="6">
        <v>28488</v>
      </c>
      <c r="S256" s="6">
        <v>31898</v>
      </c>
      <c r="T256" s="6">
        <v>225171</v>
      </c>
      <c r="U256" s="6">
        <v>122170</v>
      </c>
      <c r="V256" s="6">
        <v>103001</v>
      </c>
    </row>
    <row r="257" spans="1:22" x14ac:dyDescent="0.25">
      <c r="A257">
        <v>2026</v>
      </c>
      <c r="B257" s="1" t="s">
        <v>11</v>
      </c>
      <c r="C257" t="s">
        <v>39</v>
      </c>
      <c r="D257" s="1" t="s">
        <v>644</v>
      </c>
      <c r="E257" t="s">
        <v>319</v>
      </c>
      <c r="F257" s="6">
        <v>6014026</v>
      </c>
      <c r="G257" s="6">
        <v>4666492</v>
      </c>
      <c r="H257" s="6">
        <v>999488</v>
      </c>
      <c r="I257" s="6">
        <v>3667004</v>
      </c>
      <c r="J257" s="6">
        <v>1347534</v>
      </c>
      <c r="K257">
        <v>0</v>
      </c>
      <c r="L257" s="6">
        <v>5014538</v>
      </c>
      <c r="M257" s="6">
        <v>8744</v>
      </c>
      <c r="N257" s="6">
        <v>2525</v>
      </c>
      <c r="O257" s="6">
        <v>11269</v>
      </c>
      <c r="P257" s="6">
        <v>606475</v>
      </c>
      <c r="Q257" s="6">
        <v>0</v>
      </c>
      <c r="R257" s="6">
        <v>1053784</v>
      </c>
      <c r="S257" s="6">
        <v>1179554</v>
      </c>
      <c r="T257" s="6">
        <v>7865620</v>
      </c>
      <c r="U257" s="6">
        <v>4282223</v>
      </c>
      <c r="V257" s="6">
        <v>3583397</v>
      </c>
    </row>
    <row r="258" spans="1:22" x14ac:dyDescent="0.25">
      <c r="A258">
        <v>2026</v>
      </c>
      <c r="B258" s="1" t="s">
        <v>9</v>
      </c>
      <c r="C258" t="s">
        <v>37</v>
      </c>
      <c r="D258" s="1" t="s">
        <v>645</v>
      </c>
      <c r="E258" t="s">
        <v>320</v>
      </c>
      <c r="F258" s="6">
        <v>534527</v>
      </c>
      <c r="G258" s="6">
        <v>423740</v>
      </c>
      <c r="H258" s="6">
        <v>90758</v>
      </c>
      <c r="I258" s="6">
        <v>332982</v>
      </c>
      <c r="J258" s="6">
        <v>110787</v>
      </c>
      <c r="K258">
        <v>0</v>
      </c>
      <c r="L258" s="6">
        <v>443769</v>
      </c>
      <c r="M258">
        <v>472</v>
      </c>
      <c r="N258">
        <v>123</v>
      </c>
      <c r="O258">
        <v>595</v>
      </c>
      <c r="P258" s="6">
        <v>50787</v>
      </c>
      <c r="Q258" s="6">
        <v>0</v>
      </c>
      <c r="R258" s="6">
        <v>94416</v>
      </c>
      <c r="S258" s="6">
        <v>103831</v>
      </c>
      <c r="T258" s="6">
        <v>693398</v>
      </c>
      <c r="U258" s="6">
        <v>384241</v>
      </c>
      <c r="V258" s="6">
        <v>309157</v>
      </c>
    </row>
    <row r="259" spans="1:22" x14ac:dyDescent="0.25">
      <c r="A259">
        <v>2026</v>
      </c>
      <c r="B259" s="1" t="s">
        <v>6</v>
      </c>
      <c r="C259" t="s">
        <v>34</v>
      </c>
      <c r="D259" s="1" t="s">
        <v>646</v>
      </c>
      <c r="E259" t="s">
        <v>321</v>
      </c>
      <c r="F259" s="6">
        <v>361461</v>
      </c>
      <c r="G259" s="6">
        <v>277838</v>
      </c>
      <c r="H259" s="6">
        <v>59509</v>
      </c>
      <c r="I259" s="6">
        <v>218329</v>
      </c>
      <c r="J259" s="6">
        <v>83623</v>
      </c>
      <c r="K259" s="6">
        <v>1776</v>
      </c>
      <c r="L259" s="6">
        <v>303728</v>
      </c>
      <c r="M259">
        <v>0</v>
      </c>
      <c r="N259">
        <v>0</v>
      </c>
      <c r="O259">
        <v>0</v>
      </c>
      <c r="P259" s="6">
        <v>38455</v>
      </c>
      <c r="Q259" s="6">
        <v>0</v>
      </c>
      <c r="R259" s="6">
        <v>60505</v>
      </c>
      <c r="S259" s="6">
        <v>67746</v>
      </c>
      <c r="T259" s="6">
        <v>470434</v>
      </c>
      <c r="U259" s="6">
        <v>256784</v>
      </c>
      <c r="V259" s="6">
        <v>213650</v>
      </c>
    </row>
    <row r="260" spans="1:22" x14ac:dyDescent="0.25">
      <c r="A260">
        <v>2026</v>
      </c>
      <c r="B260" s="1" t="s">
        <v>6</v>
      </c>
      <c r="C260" t="s">
        <v>34</v>
      </c>
      <c r="D260" s="1" t="s">
        <v>647</v>
      </c>
      <c r="E260" t="s">
        <v>322</v>
      </c>
      <c r="F260" s="6">
        <v>241934</v>
      </c>
      <c r="G260" s="6">
        <v>185963</v>
      </c>
      <c r="H260" s="6">
        <v>39831</v>
      </c>
      <c r="I260" s="6">
        <v>146132</v>
      </c>
      <c r="J260" s="6">
        <v>55971</v>
      </c>
      <c r="K260">
        <v>0</v>
      </c>
      <c r="L260" s="6">
        <v>202103</v>
      </c>
      <c r="M260">
        <v>0</v>
      </c>
      <c r="N260">
        <v>0</v>
      </c>
      <c r="O260">
        <v>0</v>
      </c>
      <c r="P260" s="6">
        <v>25597</v>
      </c>
      <c r="Q260" s="6">
        <v>0</v>
      </c>
      <c r="R260" s="6">
        <v>40053</v>
      </c>
      <c r="S260" s="6">
        <v>44847</v>
      </c>
      <c r="T260" s="6">
        <v>312600</v>
      </c>
      <c r="U260" s="6">
        <v>171729</v>
      </c>
      <c r="V260" s="6">
        <v>140871</v>
      </c>
    </row>
    <row r="261" spans="1:22" x14ac:dyDescent="0.25">
      <c r="A261">
        <v>2026</v>
      </c>
      <c r="B261" s="1" t="s">
        <v>11</v>
      </c>
      <c r="C261" t="s">
        <v>39</v>
      </c>
      <c r="D261" s="1" t="s">
        <v>648</v>
      </c>
      <c r="E261" t="s">
        <v>323</v>
      </c>
      <c r="F261" s="6">
        <v>244174</v>
      </c>
      <c r="G261" s="6">
        <v>189463</v>
      </c>
      <c r="H261" s="6">
        <v>40580</v>
      </c>
      <c r="I261" s="6">
        <v>148883</v>
      </c>
      <c r="J261" s="6">
        <v>54711</v>
      </c>
      <c r="K261">
        <v>0</v>
      </c>
      <c r="L261" s="6">
        <v>203594</v>
      </c>
      <c r="M261">
        <v>356</v>
      </c>
      <c r="N261">
        <v>103</v>
      </c>
      <c r="O261">
        <v>459</v>
      </c>
      <c r="P261" s="6">
        <v>24623</v>
      </c>
      <c r="Q261" s="6">
        <v>0</v>
      </c>
      <c r="R261" s="6">
        <v>42948</v>
      </c>
      <c r="S261" s="6">
        <v>48073</v>
      </c>
      <c r="T261" s="6">
        <v>319697</v>
      </c>
      <c r="U261" s="6">
        <v>173862</v>
      </c>
      <c r="V261" s="6">
        <v>145835</v>
      </c>
    </row>
    <row r="262" spans="1:22" x14ac:dyDescent="0.25">
      <c r="A262">
        <v>2026</v>
      </c>
      <c r="B262" s="1" t="s">
        <v>12</v>
      </c>
      <c r="C262" t="s">
        <v>40</v>
      </c>
      <c r="D262" s="1" t="s">
        <v>649</v>
      </c>
      <c r="E262" t="s">
        <v>324</v>
      </c>
      <c r="F262" s="6">
        <v>74122</v>
      </c>
      <c r="G262" s="6">
        <v>58598</v>
      </c>
      <c r="H262" s="6">
        <v>12550</v>
      </c>
      <c r="I262" s="6">
        <v>46048</v>
      </c>
      <c r="J262" s="6">
        <v>15524</v>
      </c>
      <c r="K262" s="6">
        <v>5654</v>
      </c>
      <c r="L262" s="6">
        <v>67226</v>
      </c>
      <c r="M262">
        <v>119</v>
      </c>
      <c r="N262">
        <v>31</v>
      </c>
      <c r="O262">
        <v>150</v>
      </c>
      <c r="P262" s="6">
        <v>8051</v>
      </c>
      <c r="Q262">
        <v>0</v>
      </c>
      <c r="R262" s="6">
        <v>12218</v>
      </c>
      <c r="S262" s="6">
        <v>13510</v>
      </c>
      <c r="T262" s="6">
        <v>101155</v>
      </c>
      <c r="U262" s="6">
        <v>54217</v>
      </c>
      <c r="V262" s="6">
        <v>46938</v>
      </c>
    </row>
    <row r="263" spans="1:22" x14ac:dyDescent="0.25">
      <c r="A263">
        <v>2026</v>
      </c>
      <c r="B263" s="1" t="s">
        <v>7</v>
      </c>
      <c r="C263" t="s">
        <v>35</v>
      </c>
      <c r="D263" s="1" t="s">
        <v>650</v>
      </c>
      <c r="E263" t="s">
        <v>325</v>
      </c>
      <c r="F263" s="6">
        <v>557673</v>
      </c>
      <c r="G263" s="6">
        <v>436720</v>
      </c>
      <c r="H263" s="6">
        <v>93539</v>
      </c>
      <c r="I263" s="6">
        <v>343181</v>
      </c>
      <c r="J263" s="6">
        <v>120953</v>
      </c>
      <c r="K263" s="6">
        <v>8523</v>
      </c>
      <c r="L263" s="6">
        <v>472657</v>
      </c>
      <c r="M263">
        <v>533</v>
      </c>
      <c r="N263">
        <v>147</v>
      </c>
      <c r="O263">
        <v>680</v>
      </c>
      <c r="P263" s="6">
        <v>69726</v>
      </c>
      <c r="Q263" s="6">
        <v>0</v>
      </c>
      <c r="R263" s="6">
        <v>89447</v>
      </c>
      <c r="S263" s="6">
        <v>99709</v>
      </c>
      <c r="T263" s="6">
        <v>732219</v>
      </c>
      <c r="U263" s="6">
        <v>413440</v>
      </c>
      <c r="V263" s="6">
        <v>318779</v>
      </c>
    </row>
    <row r="264" spans="1:22" x14ac:dyDescent="0.25">
      <c r="A264">
        <v>2026</v>
      </c>
      <c r="B264" s="1" t="s">
        <v>5</v>
      </c>
      <c r="C264" t="s">
        <v>33</v>
      </c>
      <c r="D264" s="1" t="s">
        <v>651</v>
      </c>
      <c r="E264" t="s">
        <v>326</v>
      </c>
      <c r="F264" s="6">
        <v>232303</v>
      </c>
      <c r="G264" s="6">
        <v>176472</v>
      </c>
      <c r="H264" s="6">
        <v>37797</v>
      </c>
      <c r="I264" s="6">
        <v>138675</v>
      </c>
      <c r="J264" s="6">
        <v>55831</v>
      </c>
      <c r="K264">
        <v>0</v>
      </c>
      <c r="L264" s="6">
        <v>194506</v>
      </c>
      <c r="M264">
        <v>458</v>
      </c>
      <c r="N264">
        <v>145</v>
      </c>
      <c r="O264">
        <v>603</v>
      </c>
      <c r="P264" s="6">
        <v>23037</v>
      </c>
      <c r="Q264" s="6">
        <v>0</v>
      </c>
      <c r="R264" s="6">
        <v>45356</v>
      </c>
      <c r="S264" s="6">
        <v>50520</v>
      </c>
      <c r="T264" s="6">
        <v>314022</v>
      </c>
      <c r="U264" s="6">
        <v>162170</v>
      </c>
      <c r="V264" s="6">
        <v>151852</v>
      </c>
    </row>
    <row r="265" spans="1:22" x14ac:dyDescent="0.25">
      <c r="A265">
        <v>2026</v>
      </c>
      <c r="B265" s="1" t="s">
        <v>10</v>
      </c>
      <c r="C265" t="s">
        <v>38</v>
      </c>
      <c r="D265" s="1" t="s">
        <v>652</v>
      </c>
      <c r="E265" t="s">
        <v>327</v>
      </c>
      <c r="F265" s="6">
        <v>2847906</v>
      </c>
      <c r="G265" s="6">
        <v>2304644</v>
      </c>
      <c r="H265" s="6">
        <v>493618</v>
      </c>
      <c r="I265" s="6">
        <v>1811026</v>
      </c>
      <c r="J265" s="6">
        <v>543262</v>
      </c>
      <c r="K265">
        <v>0</v>
      </c>
      <c r="L265" s="6">
        <v>2354288</v>
      </c>
      <c r="M265">
        <v>0</v>
      </c>
      <c r="N265">
        <v>0</v>
      </c>
      <c r="O265">
        <v>0</v>
      </c>
      <c r="P265" s="6">
        <v>244743</v>
      </c>
      <c r="Q265" s="6">
        <v>0</v>
      </c>
      <c r="R265" s="6">
        <v>500719</v>
      </c>
      <c r="S265" s="6">
        <v>550282</v>
      </c>
      <c r="T265" s="6">
        <v>3650032</v>
      </c>
      <c r="U265" s="6">
        <v>2055769</v>
      </c>
      <c r="V265" s="6">
        <v>1594263</v>
      </c>
    </row>
    <row r="266" spans="1:22" x14ac:dyDescent="0.25">
      <c r="A266">
        <v>2026</v>
      </c>
      <c r="B266" s="1" t="s">
        <v>6</v>
      </c>
      <c r="C266" t="s">
        <v>34</v>
      </c>
      <c r="D266" s="1" t="s">
        <v>653</v>
      </c>
      <c r="E266" t="s">
        <v>328</v>
      </c>
      <c r="F266" s="6">
        <v>441100</v>
      </c>
      <c r="G266" s="6">
        <v>339052</v>
      </c>
      <c r="H266" s="6">
        <v>72619</v>
      </c>
      <c r="I266" s="6">
        <v>266433</v>
      </c>
      <c r="J266" s="6">
        <v>102048</v>
      </c>
      <c r="K266">
        <v>0</v>
      </c>
      <c r="L266" s="6">
        <v>368481</v>
      </c>
      <c r="M266">
        <v>0</v>
      </c>
      <c r="N266">
        <v>0</v>
      </c>
      <c r="O266">
        <v>0</v>
      </c>
      <c r="P266" s="6">
        <v>46669</v>
      </c>
      <c r="Q266" s="6">
        <v>0</v>
      </c>
      <c r="R266" s="6">
        <v>73834</v>
      </c>
      <c r="S266" s="6">
        <v>82671</v>
      </c>
      <c r="T266" s="6">
        <v>571655</v>
      </c>
      <c r="U266" s="6">
        <v>313102</v>
      </c>
      <c r="V266" s="6">
        <v>258553</v>
      </c>
    </row>
    <row r="267" spans="1:22" x14ac:dyDescent="0.25">
      <c r="A267">
        <v>2026</v>
      </c>
      <c r="B267" s="1" t="s">
        <v>10</v>
      </c>
      <c r="C267" t="s">
        <v>38</v>
      </c>
      <c r="D267" s="1" t="s">
        <v>654</v>
      </c>
      <c r="E267" t="s">
        <v>329</v>
      </c>
      <c r="F267" s="6">
        <v>183732</v>
      </c>
      <c r="G267" s="6">
        <v>148684</v>
      </c>
      <c r="H267" s="6">
        <v>31846</v>
      </c>
      <c r="I267" s="6">
        <v>116838</v>
      </c>
      <c r="J267" s="6">
        <v>35048</v>
      </c>
      <c r="K267" s="6">
        <v>6824</v>
      </c>
      <c r="L267" s="6">
        <v>158710</v>
      </c>
      <c r="M267">
        <v>0</v>
      </c>
      <c r="N267">
        <v>0</v>
      </c>
      <c r="O267">
        <v>0</v>
      </c>
      <c r="P267" s="6">
        <v>15790</v>
      </c>
      <c r="Q267" s="6">
        <v>0</v>
      </c>
      <c r="R267" s="6">
        <v>32041</v>
      </c>
      <c r="S267" s="6">
        <v>35212</v>
      </c>
      <c r="T267" s="6">
        <v>241753</v>
      </c>
      <c r="U267" s="6">
        <v>132628</v>
      </c>
      <c r="V267" s="6">
        <v>109125</v>
      </c>
    </row>
    <row r="268" spans="1:22" x14ac:dyDescent="0.25">
      <c r="A268">
        <v>2026</v>
      </c>
      <c r="B268" s="1" t="s">
        <v>6</v>
      </c>
      <c r="C268" t="s">
        <v>34</v>
      </c>
      <c r="D268" s="1" t="s">
        <v>655</v>
      </c>
      <c r="E268" t="s">
        <v>330</v>
      </c>
      <c r="F268" s="6">
        <v>818166</v>
      </c>
      <c r="G268" s="6">
        <v>628885</v>
      </c>
      <c r="H268" s="6">
        <v>134697</v>
      </c>
      <c r="I268" s="6">
        <v>494188</v>
      </c>
      <c r="J268" s="6">
        <v>189281</v>
      </c>
      <c r="K268" s="6">
        <v>20254</v>
      </c>
      <c r="L268" s="6">
        <v>703723</v>
      </c>
      <c r="M268">
        <v>0</v>
      </c>
      <c r="N268">
        <v>0</v>
      </c>
      <c r="O268">
        <v>0</v>
      </c>
      <c r="P268" s="6">
        <v>88762</v>
      </c>
      <c r="Q268" s="6">
        <v>0</v>
      </c>
      <c r="R268" s="6">
        <v>142115</v>
      </c>
      <c r="S268" s="6">
        <v>159123</v>
      </c>
      <c r="T268" s="6">
        <v>1093723</v>
      </c>
      <c r="U268" s="6">
        <v>582950</v>
      </c>
      <c r="V268" s="6">
        <v>510773</v>
      </c>
    </row>
    <row r="269" spans="1:22" x14ac:dyDescent="0.25">
      <c r="A269">
        <v>2026</v>
      </c>
      <c r="B269" s="1" t="s">
        <v>6</v>
      </c>
      <c r="C269" t="s">
        <v>34</v>
      </c>
      <c r="D269" s="1" t="s">
        <v>656</v>
      </c>
      <c r="E269" t="s">
        <v>331</v>
      </c>
      <c r="F269" s="6">
        <v>457186</v>
      </c>
      <c r="G269" s="6">
        <v>351417</v>
      </c>
      <c r="H269" s="6">
        <v>75268</v>
      </c>
      <c r="I269" s="6">
        <v>276149</v>
      </c>
      <c r="J269" s="6">
        <v>105769</v>
      </c>
      <c r="K269">
        <v>0</v>
      </c>
      <c r="L269" s="6">
        <v>381918</v>
      </c>
      <c r="M269">
        <v>0</v>
      </c>
      <c r="N269">
        <v>0</v>
      </c>
      <c r="O269">
        <v>0</v>
      </c>
      <c r="P269" s="6">
        <v>48384</v>
      </c>
      <c r="Q269" s="6">
        <v>0</v>
      </c>
      <c r="R269" s="6">
        <v>75141</v>
      </c>
      <c r="S269" s="6">
        <v>84134</v>
      </c>
      <c r="T269" s="6">
        <v>589577</v>
      </c>
      <c r="U269" s="6">
        <v>324533</v>
      </c>
      <c r="V269" s="6">
        <v>265044</v>
      </c>
    </row>
    <row r="270" spans="1:22" x14ac:dyDescent="0.25">
      <c r="A270">
        <v>2026</v>
      </c>
      <c r="B270" s="1" t="s">
        <v>9</v>
      </c>
      <c r="C270" t="s">
        <v>37</v>
      </c>
      <c r="D270" s="1" t="s">
        <v>657</v>
      </c>
      <c r="E270" t="s">
        <v>332</v>
      </c>
      <c r="F270" s="6">
        <v>152975</v>
      </c>
      <c r="G270" s="6">
        <v>121269</v>
      </c>
      <c r="H270" s="6">
        <v>25974</v>
      </c>
      <c r="I270" s="6">
        <v>95295</v>
      </c>
      <c r="J270" s="6">
        <v>31706</v>
      </c>
      <c r="K270">
        <v>0</v>
      </c>
      <c r="L270" s="6">
        <v>127001</v>
      </c>
      <c r="M270">
        <v>135</v>
      </c>
      <c r="N270">
        <v>36</v>
      </c>
      <c r="O270">
        <v>171</v>
      </c>
      <c r="P270" s="6">
        <v>14535</v>
      </c>
      <c r="Q270" s="6">
        <v>0</v>
      </c>
      <c r="R270" s="6">
        <v>27032</v>
      </c>
      <c r="S270" s="6">
        <v>29727</v>
      </c>
      <c r="T270" s="6">
        <v>198466</v>
      </c>
      <c r="U270" s="6">
        <v>109965</v>
      </c>
      <c r="V270" s="6">
        <v>88501</v>
      </c>
    </row>
    <row r="271" spans="1:22" x14ac:dyDescent="0.25">
      <c r="A271">
        <v>2026</v>
      </c>
      <c r="B271" s="1" t="s">
        <v>7</v>
      </c>
      <c r="C271" t="s">
        <v>35</v>
      </c>
      <c r="D271" s="1" t="s">
        <v>658</v>
      </c>
      <c r="E271" t="s">
        <v>333</v>
      </c>
      <c r="F271" s="6">
        <v>239797</v>
      </c>
      <c r="G271" s="6">
        <v>187788</v>
      </c>
      <c r="H271" s="6">
        <v>40221</v>
      </c>
      <c r="I271" s="6">
        <v>147567</v>
      </c>
      <c r="J271" s="6">
        <v>52009</v>
      </c>
      <c r="K271">
        <v>0</v>
      </c>
      <c r="L271" s="6">
        <v>199576</v>
      </c>
      <c r="M271">
        <v>229</v>
      </c>
      <c r="N271">
        <v>64</v>
      </c>
      <c r="O271">
        <v>293</v>
      </c>
      <c r="P271" s="6">
        <v>29434</v>
      </c>
      <c r="Q271" s="6">
        <v>0</v>
      </c>
      <c r="R271" s="6">
        <v>39957</v>
      </c>
      <c r="S271" s="6">
        <v>44541</v>
      </c>
      <c r="T271" s="6">
        <v>313801</v>
      </c>
      <c r="U271" s="6">
        <v>177230</v>
      </c>
      <c r="V271" s="6">
        <v>136571</v>
      </c>
    </row>
    <row r="272" spans="1:22" x14ac:dyDescent="0.25">
      <c r="A272">
        <v>2026</v>
      </c>
      <c r="B272" s="1" t="s">
        <v>12</v>
      </c>
      <c r="C272" t="s">
        <v>40</v>
      </c>
      <c r="D272" s="1" t="s">
        <v>659</v>
      </c>
      <c r="E272" t="s">
        <v>334</v>
      </c>
      <c r="F272" s="6">
        <v>78576</v>
      </c>
      <c r="G272" s="6">
        <v>62119</v>
      </c>
      <c r="H272" s="6">
        <v>13305</v>
      </c>
      <c r="I272" s="6">
        <v>48814</v>
      </c>
      <c r="J272" s="6">
        <v>16457</v>
      </c>
      <c r="K272" s="6">
        <v>0</v>
      </c>
      <c r="L272" s="6">
        <v>65271</v>
      </c>
      <c r="M272">
        <v>127</v>
      </c>
      <c r="N272">
        <v>34</v>
      </c>
      <c r="O272">
        <v>161</v>
      </c>
      <c r="P272" s="6">
        <v>8069</v>
      </c>
      <c r="Q272">
        <v>0</v>
      </c>
      <c r="R272" s="6">
        <v>12868</v>
      </c>
      <c r="S272" s="6">
        <v>14228</v>
      </c>
      <c r="T272" s="6">
        <v>100597</v>
      </c>
      <c r="U272" s="6">
        <v>57010</v>
      </c>
      <c r="V272" s="6">
        <v>43587</v>
      </c>
    </row>
    <row r="273" spans="1:22" x14ac:dyDescent="0.25">
      <c r="A273">
        <v>2026</v>
      </c>
      <c r="B273" s="1" t="s">
        <v>5</v>
      </c>
      <c r="C273" t="s">
        <v>33</v>
      </c>
      <c r="D273" s="1" t="s">
        <v>660</v>
      </c>
      <c r="E273" t="s">
        <v>335</v>
      </c>
      <c r="F273" s="6">
        <v>234185</v>
      </c>
      <c r="G273" s="6">
        <v>177901</v>
      </c>
      <c r="H273" s="6">
        <v>38103</v>
      </c>
      <c r="I273" s="6">
        <v>139798</v>
      </c>
      <c r="J273" s="6">
        <v>56284</v>
      </c>
      <c r="K273" s="6">
        <v>7751</v>
      </c>
      <c r="L273" s="6">
        <v>203833</v>
      </c>
      <c r="M273">
        <v>461</v>
      </c>
      <c r="N273">
        <v>146</v>
      </c>
      <c r="O273">
        <v>607</v>
      </c>
      <c r="P273" s="6">
        <v>23978</v>
      </c>
      <c r="Q273" s="6">
        <v>0</v>
      </c>
      <c r="R273" s="6">
        <v>35501</v>
      </c>
      <c r="S273" s="6">
        <v>39543</v>
      </c>
      <c r="T273" s="6">
        <v>303462</v>
      </c>
      <c r="U273" s="6">
        <v>164237</v>
      </c>
      <c r="V273" s="6">
        <v>139225</v>
      </c>
    </row>
    <row r="274" spans="1:22" x14ac:dyDescent="0.25">
      <c r="A274">
        <v>2026</v>
      </c>
      <c r="B274" s="1" t="s">
        <v>6</v>
      </c>
      <c r="C274" t="s">
        <v>34</v>
      </c>
      <c r="D274" s="1" t="s">
        <v>661</v>
      </c>
      <c r="E274" t="s">
        <v>336</v>
      </c>
      <c r="F274" s="6">
        <v>1089490</v>
      </c>
      <c r="G274" s="6">
        <v>837439</v>
      </c>
      <c r="H274" s="6">
        <v>179366</v>
      </c>
      <c r="I274" s="6">
        <v>658073</v>
      </c>
      <c r="J274" s="6">
        <v>252051</v>
      </c>
      <c r="K274">
        <v>0</v>
      </c>
      <c r="L274" s="6">
        <v>910124</v>
      </c>
      <c r="M274">
        <v>0</v>
      </c>
      <c r="N274">
        <v>0</v>
      </c>
      <c r="O274">
        <v>0</v>
      </c>
      <c r="P274" s="6">
        <v>115269</v>
      </c>
      <c r="Q274" s="6">
        <v>0</v>
      </c>
      <c r="R274" s="6">
        <v>186742</v>
      </c>
      <c r="S274" s="6">
        <v>209091</v>
      </c>
      <c r="T274" s="6">
        <v>1421226</v>
      </c>
      <c r="U274" s="6">
        <v>773342</v>
      </c>
      <c r="V274" s="6">
        <v>647884</v>
      </c>
    </row>
    <row r="275" spans="1:22" x14ac:dyDescent="0.25">
      <c r="A275">
        <v>2026</v>
      </c>
      <c r="B275" s="1" t="s">
        <v>6</v>
      </c>
      <c r="C275" t="s">
        <v>34</v>
      </c>
      <c r="D275" s="1" t="s">
        <v>662</v>
      </c>
      <c r="E275" t="s">
        <v>337</v>
      </c>
      <c r="F275" s="6">
        <v>56410</v>
      </c>
      <c r="G275" s="6">
        <v>43360</v>
      </c>
      <c r="H275" s="6">
        <v>9287</v>
      </c>
      <c r="I275" s="6">
        <v>34073</v>
      </c>
      <c r="J275" s="6">
        <v>13050</v>
      </c>
      <c r="K275" s="6">
        <v>7101</v>
      </c>
      <c r="L275" s="6">
        <v>54224</v>
      </c>
      <c r="M275">
        <v>0</v>
      </c>
      <c r="N275">
        <v>0</v>
      </c>
      <c r="O275">
        <v>0</v>
      </c>
      <c r="P275" s="6">
        <v>6381</v>
      </c>
      <c r="Q275">
        <v>0</v>
      </c>
      <c r="R275" s="6">
        <v>9344</v>
      </c>
      <c r="S275" s="6">
        <v>10462</v>
      </c>
      <c r="T275" s="6">
        <v>80411</v>
      </c>
      <c r="U275" s="6">
        <v>40454</v>
      </c>
      <c r="V275" s="6">
        <v>39957</v>
      </c>
    </row>
    <row r="276" spans="1:22" x14ac:dyDescent="0.25">
      <c r="A276">
        <v>2026</v>
      </c>
      <c r="B276" s="1" t="s">
        <v>7</v>
      </c>
      <c r="C276" t="s">
        <v>35</v>
      </c>
      <c r="D276" s="1" t="s">
        <v>663</v>
      </c>
      <c r="E276" t="s">
        <v>338</v>
      </c>
      <c r="F276" s="6">
        <v>314087</v>
      </c>
      <c r="G276" s="6">
        <v>245966</v>
      </c>
      <c r="H276" s="6">
        <v>52682</v>
      </c>
      <c r="I276" s="6">
        <v>193284</v>
      </c>
      <c r="J276" s="6">
        <v>68121</v>
      </c>
      <c r="K276">
        <v>637</v>
      </c>
      <c r="L276" s="6">
        <v>262042</v>
      </c>
      <c r="M276">
        <v>301</v>
      </c>
      <c r="N276">
        <v>83</v>
      </c>
      <c r="O276">
        <v>384</v>
      </c>
      <c r="P276" s="6">
        <v>38758</v>
      </c>
      <c r="Q276" s="6">
        <v>0</v>
      </c>
      <c r="R276" s="6">
        <v>49882</v>
      </c>
      <c r="S276" s="6">
        <v>55604</v>
      </c>
      <c r="T276" s="6">
        <v>406670</v>
      </c>
      <c r="U276" s="6">
        <v>232343</v>
      </c>
      <c r="V276" s="6">
        <v>174327</v>
      </c>
    </row>
    <row r="277" spans="1:22" x14ac:dyDescent="0.25">
      <c r="A277">
        <v>2026</v>
      </c>
      <c r="B277" s="1" t="s">
        <v>9</v>
      </c>
      <c r="C277" t="s">
        <v>37</v>
      </c>
      <c r="D277" s="1" t="s">
        <v>664</v>
      </c>
      <c r="E277" t="s">
        <v>339</v>
      </c>
      <c r="F277" s="6">
        <v>301527</v>
      </c>
      <c r="G277" s="6">
        <v>239033</v>
      </c>
      <c r="H277" s="6">
        <v>51197</v>
      </c>
      <c r="I277" s="6">
        <v>187836</v>
      </c>
      <c r="J277" s="6">
        <v>62494</v>
      </c>
      <c r="K277" s="6">
        <v>18507</v>
      </c>
      <c r="L277" s="6">
        <v>268837</v>
      </c>
      <c r="M277">
        <v>265</v>
      </c>
      <c r="N277">
        <v>69</v>
      </c>
      <c r="O277">
        <v>334</v>
      </c>
      <c r="P277" s="6">
        <v>29814</v>
      </c>
      <c r="Q277" s="6">
        <v>0</v>
      </c>
      <c r="R277" s="6">
        <v>49255</v>
      </c>
      <c r="S277" s="6">
        <v>54167</v>
      </c>
      <c r="T277" s="6">
        <v>402407</v>
      </c>
      <c r="U277" s="6">
        <v>217915</v>
      </c>
      <c r="V277" s="6">
        <v>184492</v>
      </c>
    </row>
    <row r="278" spans="1:22" x14ac:dyDescent="0.25">
      <c r="A278">
        <v>2026</v>
      </c>
      <c r="B278" s="1" t="s">
        <v>12</v>
      </c>
      <c r="C278" t="s">
        <v>40</v>
      </c>
      <c r="D278" s="1" t="s">
        <v>665</v>
      </c>
      <c r="E278" t="s">
        <v>340</v>
      </c>
      <c r="F278" s="6">
        <v>214932</v>
      </c>
      <c r="G278" s="6">
        <v>169917</v>
      </c>
      <c r="H278" s="6">
        <v>36393</v>
      </c>
      <c r="I278" s="6">
        <v>133524</v>
      </c>
      <c r="J278" s="6">
        <v>45015</v>
      </c>
      <c r="K278" s="6">
        <v>0</v>
      </c>
      <c r="L278" s="6">
        <v>178539</v>
      </c>
      <c r="M278">
        <v>348</v>
      </c>
      <c r="N278">
        <v>92</v>
      </c>
      <c r="O278">
        <v>440</v>
      </c>
      <c r="P278" s="6">
        <v>22071</v>
      </c>
      <c r="Q278" s="6">
        <v>0</v>
      </c>
      <c r="R278" s="6">
        <v>40294</v>
      </c>
      <c r="S278" s="6">
        <v>44553</v>
      </c>
      <c r="T278" s="6">
        <v>285897</v>
      </c>
      <c r="U278" s="6">
        <v>155942</v>
      </c>
      <c r="V278" s="6">
        <v>129955</v>
      </c>
    </row>
    <row r="279" spans="1:22" x14ac:dyDescent="0.25">
      <c r="A279">
        <v>2026</v>
      </c>
      <c r="B279" s="1" t="s">
        <v>12</v>
      </c>
      <c r="C279" t="s">
        <v>40</v>
      </c>
      <c r="D279" s="1" t="s">
        <v>666</v>
      </c>
      <c r="E279" t="s">
        <v>341</v>
      </c>
      <c r="F279" s="6">
        <v>257801</v>
      </c>
      <c r="G279" s="6">
        <v>203807</v>
      </c>
      <c r="H279" s="6">
        <v>43653</v>
      </c>
      <c r="I279" s="6">
        <v>160154</v>
      </c>
      <c r="J279" s="6">
        <v>53994</v>
      </c>
      <c r="K279">
        <v>0</v>
      </c>
      <c r="L279" s="6">
        <v>214148</v>
      </c>
      <c r="M279">
        <v>417</v>
      </c>
      <c r="N279">
        <v>110</v>
      </c>
      <c r="O279">
        <v>527</v>
      </c>
      <c r="P279" s="6">
        <v>26473</v>
      </c>
      <c r="Q279" s="6">
        <v>0</v>
      </c>
      <c r="R279" s="6">
        <v>43673</v>
      </c>
      <c r="S279" s="6">
        <v>48290</v>
      </c>
      <c r="T279" s="6">
        <v>333111</v>
      </c>
      <c r="U279" s="6">
        <v>187043</v>
      </c>
      <c r="V279" s="6">
        <v>146068</v>
      </c>
    </row>
    <row r="280" spans="1:22" x14ac:dyDescent="0.25">
      <c r="A280">
        <v>2026</v>
      </c>
      <c r="B280" s="1" t="s">
        <v>13</v>
      </c>
      <c r="C280" t="s">
        <v>41</v>
      </c>
      <c r="D280" s="1" t="s">
        <v>667</v>
      </c>
      <c r="E280" t="s">
        <v>342</v>
      </c>
      <c r="F280" s="6">
        <v>92167</v>
      </c>
      <c r="G280" s="6">
        <v>73419</v>
      </c>
      <c r="H280" s="6">
        <v>15725</v>
      </c>
      <c r="I280" s="6">
        <v>57694</v>
      </c>
      <c r="J280" s="6">
        <v>18748</v>
      </c>
      <c r="K280" s="6">
        <v>6360</v>
      </c>
      <c r="L280" s="6">
        <v>82802</v>
      </c>
      <c r="M280">
        <v>168</v>
      </c>
      <c r="N280">
        <v>43</v>
      </c>
      <c r="O280">
        <v>211</v>
      </c>
      <c r="P280" s="6">
        <v>9882</v>
      </c>
      <c r="Q280" s="6">
        <v>0</v>
      </c>
      <c r="R280" s="6">
        <v>15980</v>
      </c>
      <c r="S280" s="6">
        <v>17572</v>
      </c>
      <c r="T280" s="6">
        <v>126447</v>
      </c>
      <c r="U280" s="6">
        <v>67744</v>
      </c>
      <c r="V280" s="6">
        <v>58703</v>
      </c>
    </row>
    <row r="281" spans="1:22" x14ac:dyDescent="0.25">
      <c r="A281">
        <v>2026</v>
      </c>
      <c r="B281" s="1" t="s">
        <v>7</v>
      </c>
      <c r="C281" t="s">
        <v>35</v>
      </c>
      <c r="D281" s="1" t="s">
        <v>668</v>
      </c>
      <c r="E281" t="s">
        <v>343</v>
      </c>
      <c r="F281" s="6">
        <v>156617</v>
      </c>
      <c r="G281" s="6">
        <v>122649</v>
      </c>
      <c r="H281" s="6">
        <v>26269</v>
      </c>
      <c r="I281" s="6">
        <v>96380</v>
      </c>
      <c r="J281" s="6">
        <v>33968</v>
      </c>
      <c r="K281" s="6">
        <v>0</v>
      </c>
      <c r="L281" s="6">
        <v>130348</v>
      </c>
      <c r="M281">
        <v>149</v>
      </c>
      <c r="N281">
        <v>41</v>
      </c>
      <c r="O281">
        <v>190</v>
      </c>
      <c r="P281" s="6">
        <v>19224</v>
      </c>
      <c r="Q281" s="6">
        <v>0</v>
      </c>
      <c r="R281" s="6">
        <v>25398</v>
      </c>
      <c r="S281" s="6">
        <v>28311</v>
      </c>
      <c r="T281" s="6">
        <v>203471</v>
      </c>
      <c r="U281" s="6">
        <v>115753</v>
      </c>
      <c r="V281" s="6">
        <v>87718</v>
      </c>
    </row>
    <row r="282" spans="1:22" x14ac:dyDescent="0.25">
      <c r="A282">
        <v>2026</v>
      </c>
      <c r="B282" s="1" t="s">
        <v>5</v>
      </c>
      <c r="C282" t="s">
        <v>33</v>
      </c>
      <c r="D282" s="1" t="s">
        <v>669</v>
      </c>
      <c r="E282" t="s">
        <v>344</v>
      </c>
      <c r="F282" s="6">
        <v>144867</v>
      </c>
      <c r="G282" s="6">
        <v>110049</v>
      </c>
      <c r="H282" s="6">
        <v>23570</v>
      </c>
      <c r="I282" s="6">
        <v>86479</v>
      </c>
      <c r="J282" s="6">
        <v>34818</v>
      </c>
      <c r="K282" s="6">
        <v>1887</v>
      </c>
      <c r="L282" s="6">
        <v>123184</v>
      </c>
      <c r="M282">
        <v>284</v>
      </c>
      <c r="N282">
        <v>90</v>
      </c>
      <c r="O282">
        <v>374</v>
      </c>
      <c r="P282" s="6">
        <v>14366</v>
      </c>
      <c r="Q282" s="6">
        <v>0</v>
      </c>
      <c r="R282" s="6">
        <v>26822</v>
      </c>
      <c r="S282" s="6">
        <v>29876</v>
      </c>
      <c r="T282" s="6">
        <v>194622</v>
      </c>
      <c r="U282" s="6">
        <v>101130</v>
      </c>
      <c r="V282" s="6">
        <v>93492</v>
      </c>
    </row>
    <row r="283" spans="1:22" x14ac:dyDescent="0.25">
      <c r="A283">
        <v>2026</v>
      </c>
      <c r="B283" s="1" t="s">
        <v>10</v>
      </c>
      <c r="C283" t="s">
        <v>38</v>
      </c>
      <c r="D283" s="1" t="s">
        <v>670</v>
      </c>
      <c r="E283" t="s">
        <v>345</v>
      </c>
      <c r="F283" s="6">
        <v>117939</v>
      </c>
      <c r="G283" s="6">
        <v>95441</v>
      </c>
      <c r="H283" s="6">
        <v>20442</v>
      </c>
      <c r="I283" s="6">
        <v>74999</v>
      </c>
      <c r="J283" s="6">
        <v>22498</v>
      </c>
      <c r="K283" s="6">
        <v>10295</v>
      </c>
      <c r="L283" s="6">
        <v>107792</v>
      </c>
      <c r="M283">
        <v>0</v>
      </c>
      <c r="N283">
        <v>0</v>
      </c>
      <c r="O283">
        <v>0</v>
      </c>
      <c r="P283" s="6">
        <v>10888</v>
      </c>
      <c r="Q283" s="6">
        <v>0</v>
      </c>
      <c r="R283" s="6">
        <v>19912</v>
      </c>
      <c r="S283" s="6">
        <v>21883</v>
      </c>
      <c r="T283" s="6">
        <v>160475</v>
      </c>
      <c r="U283" s="6">
        <v>85887</v>
      </c>
      <c r="V283" s="6">
        <v>74588</v>
      </c>
    </row>
    <row r="284" spans="1:22" x14ac:dyDescent="0.25">
      <c r="A284">
        <v>2026</v>
      </c>
      <c r="B284" s="1" t="s">
        <v>6</v>
      </c>
      <c r="C284" t="s">
        <v>34</v>
      </c>
      <c r="D284" s="1" t="s">
        <v>671</v>
      </c>
      <c r="E284" t="s">
        <v>346</v>
      </c>
      <c r="F284" s="6">
        <v>67634</v>
      </c>
      <c r="G284" s="6">
        <v>51987</v>
      </c>
      <c r="H284" s="6">
        <v>11135</v>
      </c>
      <c r="I284" s="6">
        <v>40852</v>
      </c>
      <c r="J284" s="6">
        <v>15647</v>
      </c>
      <c r="K284" s="6">
        <v>0</v>
      </c>
      <c r="L284" s="6">
        <v>56499</v>
      </c>
      <c r="M284">
        <v>0</v>
      </c>
      <c r="N284">
        <v>0</v>
      </c>
      <c r="O284">
        <v>0</v>
      </c>
      <c r="P284" s="6">
        <v>7156</v>
      </c>
      <c r="Q284">
        <v>0</v>
      </c>
      <c r="R284" s="6">
        <v>11761</v>
      </c>
      <c r="S284" s="6">
        <v>13169</v>
      </c>
      <c r="T284" s="6">
        <v>88585</v>
      </c>
      <c r="U284" s="6">
        <v>48008</v>
      </c>
      <c r="V284" s="6">
        <v>40577</v>
      </c>
    </row>
    <row r="285" spans="1:22" x14ac:dyDescent="0.25">
      <c r="A285">
        <v>2026</v>
      </c>
      <c r="B285" s="1" t="s">
        <v>12</v>
      </c>
      <c r="C285" t="s">
        <v>40</v>
      </c>
      <c r="D285" s="1" t="s">
        <v>672</v>
      </c>
      <c r="E285" t="s">
        <v>347</v>
      </c>
      <c r="F285" s="6">
        <v>281450</v>
      </c>
      <c r="G285" s="6">
        <v>222503</v>
      </c>
      <c r="H285" s="6">
        <v>47657</v>
      </c>
      <c r="I285" s="6">
        <v>174846</v>
      </c>
      <c r="J285" s="6">
        <v>58947</v>
      </c>
      <c r="K285" s="6">
        <v>0</v>
      </c>
      <c r="L285" s="6">
        <v>233793</v>
      </c>
      <c r="M285">
        <v>455</v>
      </c>
      <c r="N285">
        <v>121</v>
      </c>
      <c r="O285">
        <v>576</v>
      </c>
      <c r="P285" s="6">
        <v>28901</v>
      </c>
      <c r="Q285" s="6">
        <v>0</v>
      </c>
      <c r="R285" s="6">
        <v>49717</v>
      </c>
      <c r="S285" s="6">
        <v>54973</v>
      </c>
      <c r="T285" s="6">
        <v>367960</v>
      </c>
      <c r="U285" s="6">
        <v>204202</v>
      </c>
      <c r="V285" s="6">
        <v>163758</v>
      </c>
    </row>
    <row r="286" spans="1:22" x14ac:dyDescent="0.25">
      <c r="A286">
        <v>2026</v>
      </c>
      <c r="B286" s="1" t="s">
        <v>7</v>
      </c>
      <c r="C286" t="s">
        <v>35</v>
      </c>
      <c r="D286" s="1" t="s">
        <v>673</v>
      </c>
      <c r="E286" t="s">
        <v>348</v>
      </c>
      <c r="F286" s="6">
        <v>373012</v>
      </c>
      <c r="G286" s="6">
        <v>292110</v>
      </c>
      <c r="H286" s="6">
        <v>62565</v>
      </c>
      <c r="I286" s="6">
        <v>229545</v>
      </c>
      <c r="J286" s="6">
        <v>80902</v>
      </c>
      <c r="K286" s="6">
        <v>16858</v>
      </c>
      <c r="L286" s="6">
        <v>327305</v>
      </c>
      <c r="M286">
        <v>356</v>
      </c>
      <c r="N286">
        <v>99</v>
      </c>
      <c r="O286">
        <v>455</v>
      </c>
      <c r="P286" s="6">
        <v>46560</v>
      </c>
      <c r="Q286" s="6">
        <v>0</v>
      </c>
      <c r="R286" s="6">
        <v>61634</v>
      </c>
      <c r="S286" s="6">
        <v>68704</v>
      </c>
      <c r="T286" s="6">
        <v>504658</v>
      </c>
      <c r="U286" s="6">
        <v>276461</v>
      </c>
      <c r="V286" s="6">
        <v>228197</v>
      </c>
    </row>
    <row r="287" spans="1:22" x14ac:dyDescent="0.25">
      <c r="A287">
        <v>2026</v>
      </c>
      <c r="B287" s="1" t="s">
        <v>10</v>
      </c>
      <c r="C287" t="s">
        <v>38</v>
      </c>
      <c r="D287" s="1" t="s">
        <v>674</v>
      </c>
      <c r="E287" t="s">
        <v>349</v>
      </c>
      <c r="F287" s="6">
        <v>137198</v>
      </c>
      <c r="G287" s="6">
        <v>111027</v>
      </c>
      <c r="H287" s="6">
        <v>23780</v>
      </c>
      <c r="I287" s="6">
        <v>87247</v>
      </c>
      <c r="J287" s="6">
        <v>26171</v>
      </c>
      <c r="K287" s="6">
        <v>1050</v>
      </c>
      <c r="L287" s="6">
        <v>114468</v>
      </c>
      <c r="M287">
        <v>0</v>
      </c>
      <c r="N287">
        <v>0</v>
      </c>
      <c r="O287">
        <v>0</v>
      </c>
      <c r="P287" s="6">
        <v>11791</v>
      </c>
      <c r="Q287" s="6">
        <v>0</v>
      </c>
      <c r="R287" s="6">
        <v>24258</v>
      </c>
      <c r="S287" s="6">
        <v>26659</v>
      </c>
      <c r="T287" s="6">
        <v>177176</v>
      </c>
      <c r="U287" s="6">
        <v>99038</v>
      </c>
      <c r="V287" s="6">
        <v>78138</v>
      </c>
    </row>
    <row r="288" spans="1:22" x14ac:dyDescent="0.25">
      <c r="A288">
        <v>2026</v>
      </c>
      <c r="B288" s="1" t="s">
        <v>10</v>
      </c>
      <c r="C288" t="s">
        <v>38</v>
      </c>
      <c r="D288" s="1" t="s">
        <v>675</v>
      </c>
      <c r="E288" t="s">
        <v>350</v>
      </c>
      <c r="F288" s="6">
        <v>1348026</v>
      </c>
      <c r="G288" s="6">
        <v>1090879</v>
      </c>
      <c r="H288" s="6">
        <v>233649</v>
      </c>
      <c r="I288" s="6">
        <v>857230</v>
      </c>
      <c r="J288" s="6">
        <v>257147</v>
      </c>
      <c r="K288">
        <v>0</v>
      </c>
      <c r="L288" s="6">
        <v>1114377</v>
      </c>
      <c r="M288">
        <v>0</v>
      </c>
      <c r="N288">
        <v>0</v>
      </c>
      <c r="O288">
        <v>0</v>
      </c>
      <c r="P288" s="6">
        <v>115847</v>
      </c>
      <c r="Q288" s="6">
        <v>0</v>
      </c>
      <c r="R288" s="6">
        <v>255419</v>
      </c>
      <c r="S288" s="6">
        <v>280701</v>
      </c>
      <c r="T288" s="6">
        <v>1766344</v>
      </c>
      <c r="U288" s="6">
        <v>973077</v>
      </c>
      <c r="V288" s="6">
        <v>793267</v>
      </c>
    </row>
    <row r="289" spans="1:22" x14ac:dyDescent="0.25">
      <c r="A289">
        <v>2026</v>
      </c>
      <c r="B289" s="1" t="s">
        <v>13</v>
      </c>
      <c r="C289" t="s">
        <v>41</v>
      </c>
      <c r="D289" s="1" t="s">
        <v>676</v>
      </c>
      <c r="E289" t="s">
        <v>351</v>
      </c>
      <c r="F289" s="6">
        <v>376697</v>
      </c>
      <c r="G289" s="6">
        <v>300070</v>
      </c>
      <c r="H289" s="6">
        <v>64271</v>
      </c>
      <c r="I289" s="6">
        <v>235799</v>
      </c>
      <c r="J289" s="6">
        <v>76627</v>
      </c>
      <c r="K289">
        <v>0</v>
      </c>
      <c r="L289" s="6">
        <v>312426</v>
      </c>
      <c r="M289">
        <v>684</v>
      </c>
      <c r="N289">
        <v>175</v>
      </c>
      <c r="O289">
        <v>859</v>
      </c>
      <c r="P289" s="6">
        <v>37900</v>
      </c>
      <c r="Q289" s="6">
        <v>0</v>
      </c>
      <c r="R289" s="6">
        <v>62362</v>
      </c>
      <c r="S289" s="6">
        <v>68573</v>
      </c>
      <c r="T289" s="6">
        <v>482120</v>
      </c>
      <c r="U289" s="6">
        <v>274383</v>
      </c>
      <c r="V289" s="6">
        <v>207737</v>
      </c>
    </row>
    <row r="290" spans="1:22" x14ac:dyDescent="0.25">
      <c r="A290">
        <v>2026</v>
      </c>
      <c r="B290" s="1" t="s">
        <v>10</v>
      </c>
      <c r="C290" t="s">
        <v>38</v>
      </c>
      <c r="D290" s="1" t="s">
        <v>677</v>
      </c>
      <c r="E290" t="s">
        <v>352</v>
      </c>
      <c r="F290" s="6">
        <v>348836</v>
      </c>
      <c r="G290" s="6">
        <v>282293</v>
      </c>
      <c r="H290" s="6">
        <v>60463</v>
      </c>
      <c r="I290" s="6">
        <v>221830</v>
      </c>
      <c r="J290" s="6">
        <v>66543</v>
      </c>
      <c r="K290">
        <v>0</v>
      </c>
      <c r="L290" s="6">
        <v>288373</v>
      </c>
      <c r="M290">
        <v>0</v>
      </c>
      <c r="N290">
        <v>0</v>
      </c>
      <c r="O290">
        <v>0</v>
      </c>
      <c r="P290" s="6">
        <v>29978</v>
      </c>
      <c r="Q290" s="6">
        <v>0</v>
      </c>
      <c r="R290" s="6">
        <v>65055</v>
      </c>
      <c r="S290" s="6">
        <v>71494</v>
      </c>
      <c r="T290" s="6">
        <v>454900</v>
      </c>
      <c r="U290" s="6">
        <v>251808</v>
      </c>
      <c r="V290" s="6">
        <v>203092</v>
      </c>
    </row>
    <row r="291" spans="1:22" x14ac:dyDescent="0.25">
      <c r="A291">
        <v>2026</v>
      </c>
      <c r="B291" s="1" t="s">
        <v>12</v>
      </c>
      <c r="C291" t="s">
        <v>40</v>
      </c>
      <c r="D291" s="1" t="s">
        <v>678</v>
      </c>
      <c r="E291" t="s">
        <v>353</v>
      </c>
      <c r="F291" s="6">
        <v>108182</v>
      </c>
      <c r="G291" s="6">
        <v>85524</v>
      </c>
      <c r="H291" s="6">
        <v>18318</v>
      </c>
      <c r="I291" s="6">
        <v>67206</v>
      </c>
      <c r="J291" s="6">
        <v>22658</v>
      </c>
      <c r="K291" s="6">
        <v>8921</v>
      </c>
      <c r="L291" s="6">
        <v>98785</v>
      </c>
      <c r="M291">
        <v>174</v>
      </c>
      <c r="N291">
        <v>46</v>
      </c>
      <c r="O291">
        <v>220</v>
      </c>
      <c r="P291" s="6">
        <v>11391</v>
      </c>
      <c r="Q291" s="6">
        <v>0</v>
      </c>
      <c r="R291" s="6">
        <v>17677</v>
      </c>
      <c r="S291" s="6">
        <v>19546</v>
      </c>
      <c r="T291" s="6">
        <v>147619</v>
      </c>
      <c r="U291" s="6">
        <v>78771</v>
      </c>
      <c r="V291" s="6">
        <v>68848</v>
      </c>
    </row>
    <row r="292" spans="1:22" x14ac:dyDescent="0.25">
      <c r="A292">
        <v>2026</v>
      </c>
      <c r="B292" s="1" t="s">
        <v>9</v>
      </c>
      <c r="C292" t="s">
        <v>37</v>
      </c>
      <c r="D292" s="1" t="s">
        <v>679</v>
      </c>
      <c r="E292" t="s">
        <v>354</v>
      </c>
      <c r="F292" s="6">
        <v>640806</v>
      </c>
      <c r="G292" s="6">
        <v>507992</v>
      </c>
      <c r="H292" s="6">
        <v>108804</v>
      </c>
      <c r="I292" s="6">
        <v>399188</v>
      </c>
      <c r="J292" s="6">
        <v>132814</v>
      </c>
      <c r="K292">
        <v>0</v>
      </c>
      <c r="L292" s="6">
        <v>532002</v>
      </c>
      <c r="M292">
        <v>566</v>
      </c>
      <c r="N292">
        <v>148</v>
      </c>
      <c r="O292">
        <v>714</v>
      </c>
      <c r="P292" s="6">
        <v>60885</v>
      </c>
      <c r="Q292" s="6">
        <v>0</v>
      </c>
      <c r="R292" s="6">
        <v>106372</v>
      </c>
      <c r="S292" s="6">
        <v>116980</v>
      </c>
      <c r="T292" s="6">
        <v>816953</v>
      </c>
      <c r="U292" s="6">
        <v>460639</v>
      </c>
      <c r="V292" s="6">
        <v>356314</v>
      </c>
    </row>
    <row r="293" spans="1:22" x14ac:dyDescent="0.25">
      <c r="A293">
        <v>2026</v>
      </c>
      <c r="B293" s="1" t="s">
        <v>13</v>
      </c>
      <c r="C293" t="s">
        <v>41</v>
      </c>
      <c r="D293" s="1" t="s">
        <v>680</v>
      </c>
      <c r="E293" t="s">
        <v>355</v>
      </c>
      <c r="F293" s="6">
        <v>192830</v>
      </c>
      <c r="G293" s="6">
        <v>153605</v>
      </c>
      <c r="H293" s="6">
        <v>32899</v>
      </c>
      <c r="I293" s="6">
        <v>120706</v>
      </c>
      <c r="J293" s="6">
        <v>39225</v>
      </c>
      <c r="K293" s="6">
        <v>0</v>
      </c>
      <c r="L293" s="6">
        <v>159931</v>
      </c>
      <c r="M293">
        <v>351</v>
      </c>
      <c r="N293">
        <v>89</v>
      </c>
      <c r="O293">
        <v>440</v>
      </c>
      <c r="P293" s="6">
        <v>19401</v>
      </c>
      <c r="Q293" s="6">
        <v>0</v>
      </c>
      <c r="R293" s="6">
        <v>31506</v>
      </c>
      <c r="S293" s="6">
        <v>34644</v>
      </c>
      <c r="T293" s="6">
        <v>245922</v>
      </c>
      <c r="U293" s="6">
        <v>140458</v>
      </c>
      <c r="V293" s="6">
        <v>105464</v>
      </c>
    </row>
    <row r="294" spans="1:22" x14ac:dyDescent="0.25">
      <c r="A294">
        <v>2026</v>
      </c>
      <c r="B294" s="1" t="s">
        <v>13</v>
      </c>
      <c r="C294" t="s">
        <v>41</v>
      </c>
      <c r="D294" s="1" t="s">
        <v>681</v>
      </c>
      <c r="E294" t="s">
        <v>356</v>
      </c>
      <c r="F294" s="6">
        <v>208290</v>
      </c>
      <c r="G294" s="6">
        <v>165920</v>
      </c>
      <c r="H294" s="6">
        <v>35538</v>
      </c>
      <c r="I294" s="6">
        <v>130382</v>
      </c>
      <c r="J294" s="6">
        <v>42370</v>
      </c>
      <c r="K294" s="6">
        <v>20716</v>
      </c>
      <c r="L294" s="6">
        <v>193468</v>
      </c>
      <c r="M294">
        <v>378</v>
      </c>
      <c r="N294">
        <v>97</v>
      </c>
      <c r="O294">
        <v>475</v>
      </c>
      <c r="P294" s="6">
        <v>20956</v>
      </c>
      <c r="Q294" s="6">
        <v>0</v>
      </c>
      <c r="R294" s="6">
        <v>34039</v>
      </c>
      <c r="S294" s="6">
        <v>37429</v>
      </c>
      <c r="T294" s="6">
        <v>286367</v>
      </c>
      <c r="U294" s="6">
        <v>151716</v>
      </c>
      <c r="V294" s="6">
        <v>134651</v>
      </c>
    </row>
    <row r="295" spans="1:22" x14ac:dyDescent="0.25">
      <c r="A295">
        <v>2026</v>
      </c>
      <c r="B295" s="1" t="s">
        <v>7</v>
      </c>
      <c r="C295" t="s">
        <v>35</v>
      </c>
      <c r="D295" s="1" t="s">
        <v>682</v>
      </c>
      <c r="E295" t="s">
        <v>357</v>
      </c>
      <c r="F295" s="6">
        <v>237587</v>
      </c>
      <c r="G295" s="6">
        <v>186057</v>
      </c>
      <c r="H295" s="6">
        <v>39850</v>
      </c>
      <c r="I295" s="6">
        <v>146207</v>
      </c>
      <c r="J295" s="6">
        <v>51530</v>
      </c>
      <c r="K295" s="6">
        <v>12417</v>
      </c>
      <c r="L295" s="6">
        <v>210154</v>
      </c>
      <c r="M295">
        <v>226</v>
      </c>
      <c r="N295">
        <v>63</v>
      </c>
      <c r="O295">
        <v>289</v>
      </c>
      <c r="P295" s="6">
        <v>30680</v>
      </c>
      <c r="Q295" s="6">
        <v>0</v>
      </c>
      <c r="R295" s="6">
        <v>40480</v>
      </c>
      <c r="S295" s="6">
        <v>45124</v>
      </c>
      <c r="T295" s="6">
        <v>326727</v>
      </c>
      <c r="U295" s="6">
        <v>177113</v>
      </c>
      <c r="V295" s="6">
        <v>149614</v>
      </c>
    </row>
    <row r="296" spans="1:22" x14ac:dyDescent="0.25">
      <c r="A296">
        <v>2026</v>
      </c>
      <c r="B296" s="1" t="s">
        <v>9</v>
      </c>
      <c r="C296" t="s">
        <v>37</v>
      </c>
      <c r="D296" s="1" t="s">
        <v>683</v>
      </c>
      <c r="E296" t="s">
        <v>358</v>
      </c>
      <c r="F296" s="6">
        <v>635336</v>
      </c>
      <c r="G296" s="6">
        <v>503656</v>
      </c>
      <c r="H296" s="6">
        <v>107875</v>
      </c>
      <c r="I296" s="6">
        <v>395781</v>
      </c>
      <c r="J296" s="6">
        <v>131680</v>
      </c>
      <c r="K296" s="6">
        <v>5632</v>
      </c>
      <c r="L296" s="6">
        <v>533093</v>
      </c>
      <c r="M296">
        <v>560</v>
      </c>
      <c r="N296">
        <v>147</v>
      </c>
      <c r="O296">
        <v>707</v>
      </c>
      <c r="P296" s="6">
        <v>60807</v>
      </c>
      <c r="Q296" s="6">
        <v>0</v>
      </c>
      <c r="R296" s="6">
        <v>111701</v>
      </c>
      <c r="S296" s="6">
        <v>122840</v>
      </c>
      <c r="T296" s="6">
        <v>829148</v>
      </c>
      <c r="U296" s="6">
        <v>457148</v>
      </c>
      <c r="V296" s="6">
        <v>372000</v>
      </c>
    </row>
    <row r="297" spans="1:22" x14ac:dyDescent="0.25">
      <c r="A297">
        <v>2026</v>
      </c>
      <c r="B297" s="1" t="s">
        <v>7</v>
      </c>
      <c r="C297" t="s">
        <v>35</v>
      </c>
      <c r="D297" s="1" t="s">
        <v>684</v>
      </c>
      <c r="E297" t="s">
        <v>359</v>
      </c>
      <c r="F297" s="6">
        <v>4652046</v>
      </c>
      <c r="G297" s="6">
        <v>3643073</v>
      </c>
      <c r="H297" s="6">
        <v>780288</v>
      </c>
      <c r="I297" s="6">
        <v>2862785</v>
      </c>
      <c r="J297" s="6">
        <v>1008973</v>
      </c>
      <c r="K297">
        <v>0</v>
      </c>
      <c r="L297" s="6">
        <v>3871758</v>
      </c>
      <c r="M297" s="6">
        <v>4449</v>
      </c>
      <c r="N297" s="6">
        <v>1232</v>
      </c>
      <c r="O297" s="6">
        <v>5681</v>
      </c>
      <c r="P297" s="6">
        <v>571012</v>
      </c>
      <c r="Q297" s="6">
        <v>0</v>
      </c>
      <c r="R297" s="6">
        <v>787985</v>
      </c>
      <c r="S297" s="6">
        <v>878382</v>
      </c>
      <c r="T297" s="6">
        <v>6114818</v>
      </c>
      <c r="U297" s="6">
        <v>3438246</v>
      </c>
      <c r="V297" s="6">
        <v>2676572</v>
      </c>
    </row>
    <row r="298" spans="1:22" x14ac:dyDescent="0.25">
      <c r="A298">
        <v>2026</v>
      </c>
      <c r="B298" s="1" t="s">
        <v>10</v>
      </c>
      <c r="C298" t="s">
        <v>38</v>
      </c>
      <c r="D298" s="1" t="s">
        <v>685</v>
      </c>
      <c r="E298" t="s">
        <v>360</v>
      </c>
      <c r="F298" s="6">
        <v>5342545</v>
      </c>
      <c r="G298" s="6">
        <v>4323410</v>
      </c>
      <c r="H298" s="6">
        <v>926006</v>
      </c>
      <c r="I298" s="6">
        <v>3397404</v>
      </c>
      <c r="J298" s="6">
        <v>1019135</v>
      </c>
      <c r="K298">
        <v>0</v>
      </c>
      <c r="L298" s="6">
        <v>4416539</v>
      </c>
      <c r="M298">
        <v>0</v>
      </c>
      <c r="N298">
        <v>0</v>
      </c>
      <c r="O298">
        <v>0</v>
      </c>
      <c r="P298" s="6">
        <v>459127</v>
      </c>
      <c r="Q298" s="6">
        <v>0</v>
      </c>
      <c r="R298" s="6">
        <v>999882</v>
      </c>
      <c r="S298" s="6">
        <v>1098852</v>
      </c>
      <c r="T298" s="6">
        <v>6974400</v>
      </c>
      <c r="U298" s="6">
        <v>3856531</v>
      </c>
      <c r="V298" s="6">
        <v>3117869</v>
      </c>
    </row>
    <row r="299" spans="1:22" x14ac:dyDescent="0.25">
      <c r="A299">
        <v>2026</v>
      </c>
      <c r="B299" s="1" t="s">
        <v>7</v>
      </c>
      <c r="C299" t="s">
        <v>35</v>
      </c>
      <c r="D299" s="1" t="s">
        <v>686</v>
      </c>
      <c r="E299" t="s">
        <v>361</v>
      </c>
      <c r="F299" s="6">
        <v>858491</v>
      </c>
      <c r="G299" s="6">
        <v>672295</v>
      </c>
      <c r="H299" s="6">
        <v>143995</v>
      </c>
      <c r="I299" s="6">
        <v>528300</v>
      </c>
      <c r="J299" s="6">
        <v>186196</v>
      </c>
      <c r="K299">
        <v>0</v>
      </c>
      <c r="L299" s="6">
        <v>714496</v>
      </c>
      <c r="M299">
        <v>822</v>
      </c>
      <c r="N299">
        <v>228</v>
      </c>
      <c r="O299" s="6">
        <v>1050</v>
      </c>
      <c r="P299" s="6">
        <v>105375</v>
      </c>
      <c r="Q299" s="6">
        <v>0</v>
      </c>
      <c r="R299" s="6">
        <v>152191</v>
      </c>
      <c r="S299" s="6">
        <v>169650</v>
      </c>
      <c r="T299" s="6">
        <v>1142762</v>
      </c>
      <c r="U299" s="6">
        <v>634497</v>
      </c>
      <c r="V299" s="6">
        <v>508265</v>
      </c>
    </row>
    <row r="300" spans="1:22" x14ac:dyDescent="0.25">
      <c r="A300">
        <v>2026</v>
      </c>
      <c r="B300" s="1" t="s">
        <v>13</v>
      </c>
      <c r="C300" t="s">
        <v>41</v>
      </c>
      <c r="D300" s="1" t="s">
        <v>687</v>
      </c>
      <c r="E300" t="s">
        <v>362</v>
      </c>
      <c r="F300" s="6">
        <v>219000</v>
      </c>
      <c r="G300" s="6">
        <v>174451</v>
      </c>
      <c r="H300" s="6">
        <v>37365</v>
      </c>
      <c r="I300" s="6">
        <v>137086</v>
      </c>
      <c r="J300" s="6">
        <v>44549</v>
      </c>
      <c r="K300" s="6">
        <v>6776</v>
      </c>
      <c r="L300" s="6">
        <v>188411</v>
      </c>
      <c r="M300">
        <v>397</v>
      </c>
      <c r="N300">
        <v>102</v>
      </c>
      <c r="O300">
        <v>499</v>
      </c>
      <c r="P300" s="6">
        <v>22708</v>
      </c>
      <c r="Q300" s="6">
        <v>0</v>
      </c>
      <c r="R300" s="6">
        <v>35598</v>
      </c>
      <c r="S300" s="6">
        <v>39144</v>
      </c>
      <c r="T300" s="6">
        <v>286360</v>
      </c>
      <c r="U300" s="6">
        <v>160192</v>
      </c>
      <c r="V300" s="6">
        <v>126168</v>
      </c>
    </row>
    <row r="301" spans="1:22" x14ac:dyDescent="0.25">
      <c r="A301">
        <v>2026</v>
      </c>
      <c r="B301" s="1" t="s">
        <v>6</v>
      </c>
      <c r="C301" t="s">
        <v>34</v>
      </c>
      <c r="D301" s="1" t="s">
        <v>688</v>
      </c>
      <c r="E301" t="s">
        <v>363</v>
      </c>
      <c r="F301" s="6">
        <v>692786</v>
      </c>
      <c r="G301" s="6">
        <v>532512</v>
      </c>
      <c r="H301" s="6">
        <v>114055</v>
      </c>
      <c r="I301" s="6">
        <v>418457</v>
      </c>
      <c r="J301" s="6">
        <v>160274</v>
      </c>
      <c r="K301">
        <v>0</v>
      </c>
      <c r="L301" s="6">
        <v>578731</v>
      </c>
      <c r="M301">
        <v>0</v>
      </c>
      <c r="N301">
        <v>0</v>
      </c>
      <c r="O301">
        <v>0</v>
      </c>
      <c r="P301" s="6">
        <v>73298</v>
      </c>
      <c r="Q301" s="6">
        <v>0</v>
      </c>
      <c r="R301" s="6">
        <v>119768</v>
      </c>
      <c r="S301" s="6">
        <v>134102</v>
      </c>
      <c r="T301" s="6">
        <v>905899</v>
      </c>
      <c r="U301" s="6">
        <v>491755</v>
      </c>
      <c r="V301" s="6">
        <v>414144</v>
      </c>
    </row>
    <row r="302" spans="1:22" x14ac:dyDescent="0.25">
      <c r="A302">
        <v>2026</v>
      </c>
      <c r="B302" s="1" t="s">
        <v>6</v>
      </c>
      <c r="C302" t="s">
        <v>34</v>
      </c>
      <c r="D302" s="1" t="s">
        <v>689</v>
      </c>
      <c r="E302" t="s">
        <v>364</v>
      </c>
      <c r="F302" s="6">
        <v>125402</v>
      </c>
      <c r="G302" s="6">
        <v>96390</v>
      </c>
      <c r="H302" s="6">
        <v>20645</v>
      </c>
      <c r="I302" s="6">
        <v>75745</v>
      </c>
      <c r="J302" s="6">
        <v>29012</v>
      </c>
      <c r="K302" s="6">
        <v>3986</v>
      </c>
      <c r="L302" s="6">
        <v>108743</v>
      </c>
      <c r="M302">
        <v>0</v>
      </c>
      <c r="N302">
        <v>0</v>
      </c>
      <c r="O302">
        <v>0</v>
      </c>
      <c r="P302" s="6">
        <v>13698</v>
      </c>
      <c r="Q302" s="6">
        <v>0</v>
      </c>
      <c r="R302" s="6">
        <v>24110</v>
      </c>
      <c r="S302" s="6">
        <v>26996</v>
      </c>
      <c r="T302" s="6">
        <v>173547</v>
      </c>
      <c r="U302" s="6">
        <v>89443</v>
      </c>
      <c r="V302" s="6">
        <v>84104</v>
      </c>
    </row>
    <row r="303" spans="1:22" x14ac:dyDescent="0.25">
      <c r="A303">
        <v>2026</v>
      </c>
      <c r="B303" s="1" t="s">
        <v>9</v>
      </c>
      <c r="C303" t="s">
        <v>37</v>
      </c>
      <c r="D303" s="1" t="s">
        <v>690</v>
      </c>
      <c r="E303" t="s">
        <v>365</v>
      </c>
      <c r="F303" s="6">
        <v>313306</v>
      </c>
      <c r="G303" s="6">
        <v>248370</v>
      </c>
      <c r="H303" s="6">
        <v>53197</v>
      </c>
      <c r="I303" s="6">
        <v>195173</v>
      </c>
      <c r="J303" s="6">
        <v>64936</v>
      </c>
      <c r="K303">
        <v>0</v>
      </c>
      <c r="L303" s="6">
        <v>260109</v>
      </c>
      <c r="M303">
        <v>276</v>
      </c>
      <c r="N303">
        <v>72</v>
      </c>
      <c r="O303">
        <v>348</v>
      </c>
      <c r="P303" s="6">
        <v>29768</v>
      </c>
      <c r="Q303" s="6">
        <v>0</v>
      </c>
      <c r="R303" s="6">
        <v>52699</v>
      </c>
      <c r="S303" s="6">
        <v>57954</v>
      </c>
      <c r="T303" s="6">
        <v>400878</v>
      </c>
      <c r="U303" s="6">
        <v>225217</v>
      </c>
      <c r="V303" s="6">
        <v>175661</v>
      </c>
    </row>
    <row r="304" spans="1:22" x14ac:dyDescent="0.25">
      <c r="A304">
        <v>2026</v>
      </c>
      <c r="B304" s="1" t="s">
        <v>13</v>
      </c>
      <c r="C304" t="s">
        <v>41</v>
      </c>
      <c r="D304" s="1" t="s">
        <v>691</v>
      </c>
      <c r="E304" t="s">
        <v>366</v>
      </c>
      <c r="F304" s="6">
        <v>153193</v>
      </c>
      <c r="G304" s="6">
        <v>122031</v>
      </c>
      <c r="H304" s="6">
        <v>26137</v>
      </c>
      <c r="I304" s="6">
        <v>95894</v>
      </c>
      <c r="J304" s="6">
        <v>31162</v>
      </c>
      <c r="K304" s="6">
        <v>5683</v>
      </c>
      <c r="L304" s="6">
        <v>132739</v>
      </c>
      <c r="M304">
        <v>279</v>
      </c>
      <c r="N304">
        <v>71</v>
      </c>
      <c r="O304">
        <v>350</v>
      </c>
      <c r="P304" s="6">
        <v>15413</v>
      </c>
      <c r="Q304" s="6">
        <v>0</v>
      </c>
      <c r="R304" s="6">
        <v>27153</v>
      </c>
      <c r="S304" s="6">
        <v>29858</v>
      </c>
      <c r="T304" s="6">
        <v>205513</v>
      </c>
      <c r="U304" s="6">
        <v>111585</v>
      </c>
      <c r="V304" s="6">
        <v>93928</v>
      </c>
    </row>
    <row r="305" spans="1:22" x14ac:dyDescent="0.25">
      <c r="A305">
        <v>2026</v>
      </c>
      <c r="B305" s="1" t="s">
        <v>5</v>
      </c>
      <c r="C305" t="s">
        <v>33</v>
      </c>
      <c r="D305" s="1" t="s">
        <v>692</v>
      </c>
      <c r="E305" t="s">
        <v>367</v>
      </c>
      <c r="F305" s="6">
        <v>113447</v>
      </c>
      <c r="G305" s="6">
        <v>86181</v>
      </c>
      <c r="H305" s="6">
        <v>18459</v>
      </c>
      <c r="I305" s="6">
        <v>67722</v>
      </c>
      <c r="J305" s="6">
        <v>27266</v>
      </c>
      <c r="K305">
        <v>0</v>
      </c>
      <c r="L305" s="6">
        <v>94988</v>
      </c>
      <c r="M305">
        <v>224</v>
      </c>
      <c r="N305">
        <v>70</v>
      </c>
      <c r="O305">
        <v>294</v>
      </c>
      <c r="P305" s="6">
        <v>11250</v>
      </c>
      <c r="Q305" s="6">
        <v>0</v>
      </c>
      <c r="R305" s="6">
        <v>17359</v>
      </c>
      <c r="S305" s="6">
        <v>19336</v>
      </c>
      <c r="T305" s="6">
        <v>143227</v>
      </c>
      <c r="U305" s="6">
        <v>79196</v>
      </c>
      <c r="V305" s="6">
        <v>64031</v>
      </c>
    </row>
    <row r="306" spans="1:22" x14ac:dyDescent="0.25">
      <c r="A306">
        <v>2026</v>
      </c>
      <c r="B306" s="1" t="s">
        <v>10</v>
      </c>
      <c r="C306" t="s">
        <v>38</v>
      </c>
      <c r="D306" s="1" t="s">
        <v>693</v>
      </c>
      <c r="E306" t="s">
        <v>368</v>
      </c>
      <c r="F306" s="6">
        <v>374671</v>
      </c>
      <c r="G306" s="6">
        <v>303200</v>
      </c>
      <c r="H306" s="6">
        <v>64940</v>
      </c>
      <c r="I306" s="6">
        <v>238260</v>
      </c>
      <c r="J306" s="6">
        <v>71471</v>
      </c>
      <c r="K306">
        <v>0</v>
      </c>
      <c r="L306" s="6">
        <v>309731</v>
      </c>
      <c r="M306">
        <v>0</v>
      </c>
      <c r="N306">
        <v>0</v>
      </c>
      <c r="O306">
        <v>0</v>
      </c>
      <c r="P306" s="6">
        <v>32199</v>
      </c>
      <c r="Q306" s="6">
        <v>0</v>
      </c>
      <c r="R306" s="6">
        <v>62201</v>
      </c>
      <c r="S306" s="6">
        <v>68358</v>
      </c>
      <c r="T306" s="6">
        <v>472489</v>
      </c>
      <c r="U306" s="6">
        <v>270459</v>
      </c>
      <c r="V306" s="6">
        <v>202030</v>
      </c>
    </row>
    <row r="307" spans="1:22" x14ac:dyDescent="0.25">
      <c r="A307">
        <v>2026</v>
      </c>
      <c r="B307" s="1" t="s">
        <v>5</v>
      </c>
      <c r="C307" t="s">
        <v>33</v>
      </c>
      <c r="D307" s="1" t="s">
        <v>694</v>
      </c>
      <c r="E307" t="s">
        <v>369</v>
      </c>
      <c r="F307" s="6">
        <v>543142</v>
      </c>
      <c r="G307" s="6">
        <v>412603</v>
      </c>
      <c r="H307" s="6">
        <v>88373</v>
      </c>
      <c r="I307" s="6">
        <v>324230</v>
      </c>
      <c r="J307" s="6">
        <v>130539</v>
      </c>
      <c r="K307">
        <v>0</v>
      </c>
      <c r="L307" s="6">
        <v>454769</v>
      </c>
      <c r="M307" s="6">
        <v>1071</v>
      </c>
      <c r="N307">
        <v>339</v>
      </c>
      <c r="O307" s="6">
        <v>1410</v>
      </c>
      <c r="P307" s="6">
        <v>53863</v>
      </c>
      <c r="Q307" s="6">
        <v>0</v>
      </c>
      <c r="R307" s="6">
        <v>100305</v>
      </c>
      <c r="S307" s="6">
        <v>111725</v>
      </c>
      <c r="T307" s="6">
        <v>722072</v>
      </c>
      <c r="U307" s="6">
        <v>379164</v>
      </c>
      <c r="V307" s="6">
        <v>342908</v>
      </c>
    </row>
    <row r="308" spans="1:22" x14ac:dyDescent="0.25">
      <c r="A308">
        <v>2026</v>
      </c>
      <c r="B308" s="1" t="s">
        <v>10</v>
      </c>
      <c r="C308" t="s">
        <v>38</v>
      </c>
      <c r="D308" s="1" t="s">
        <v>695</v>
      </c>
      <c r="E308" t="s">
        <v>370</v>
      </c>
      <c r="F308" s="6">
        <v>3301955</v>
      </c>
      <c r="G308" s="6">
        <v>2672080</v>
      </c>
      <c r="H308" s="6">
        <v>572317</v>
      </c>
      <c r="I308" s="6">
        <v>2099763</v>
      </c>
      <c r="J308" s="6">
        <v>629875</v>
      </c>
      <c r="K308">
        <v>0</v>
      </c>
      <c r="L308" s="6">
        <v>2729638</v>
      </c>
      <c r="M308">
        <v>0</v>
      </c>
      <c r="N308">
        <v>0</v>
      </c>
      <c r="O308">
        <v>0</v>
      </c>
      <c r="P308" s="6">
        <v>283763</v>
      </c>
      <c r="Q308" s="6">
        <v>0</v>
      </c>
      <c r="R308" s="6">
        <v>637444</v>
      </c>
      <c r="S308" s="6">
        <v>700540</v>
      </c>
      <c r="T308" s="6">
        <v>4351385</v>
      </c>
      <c r="U308" s="6">
        <v>2383526</v>
      </c>
      <c r="V308" s="6">
        <v>1967859</v>
      </c>
    </row>
    <row r="309" spans="1:22" x14ac:dyDescent="0.25">
      <c r="A309">
        <v>2026</v>
      </c>
      <c r="B309" s="1" t="s">
        <v>7</v>
      </c>
      <c r="C309" t="s">
        <v>35</v>
      </c>
      <c r="D309" s="1" t="s">
        <v>696</v>
      </c>
      <c r="E309" t="s">
        <v>371</v>
      </c>
      <c r="F309" s="6">
        <v>298002</v>
      </c>
      <c r="G309" s="6">
        <v>233369</v>
      </c>
      <c r="H309" s="6">
        <v>49984</v>
      </c>
      <c r="I309" s="6">
        <v>183385</v>
      </c>
      <c r="J309" s="6">
        <v>64633</v>
      </c>
      <c r="K309">
        <v>0</v>
      </c>
      <c r="L309" s="6">
        <v>248018</v>
      </c>
      <c r="M309">
        <v>284</v>
      </c>
      <c r="N309">
        <v>79</v>
      </c>
      <c r="O309">
        <v>363</v>
      </c>
      <c r="P309" s="6">
        <v>36578</v>
      </c>
      <c r="Q309" s="6">
        <v>0</v>
      </c>
      <c r="R309" s="6">
        <v>52820</v>
      </c>
      <c r="S309" s="6">
        <v>58879</v>
      </c>
      <c r="T309" s="6">
        <v>396658</v>
      </c>
      <c r="U309" s="6">
        <v>220247</v>
      </c>
      <c r="V309" s="6">
        <v>176411</v>
      </c>
    </row>
    <row r="310" spans="1:22" x14ac:dyDescent="0.25">
      <c r="A310">
        <v>2026</v>
      </c>
      <c r="B310" s="1" t="s">
        <v>7</v>
      </c>
      <c r="C310" t="s">
        <v>35</v>
      </c>
      <c r="D310" s="1" t="s">
        <v>697</v>
      </c>
      <c r="E310" t="s">
        <v>372</v>
      </c>
      <c r="F310" s="6">
        <v>225188</v>
      </c>
      <c r="G310" s="6">
        <v>176347</v>
      </c>
      <c r="H310" s="6">
        <v>37770</v>
      </c>
      <c r="I310" s="6">
        <v>138577</v>
      </c>
      <c r="J310" s="6">
        <v>48841</v>
      </c>
      <c r="K310">
        <v>0</v>
      </c>
      <c r="L310" s="6">
        <v>187418</v>
      </c>
      <c r="M310">
        <v>215</v>
      </c>
      <c r="N310">
        <v>60</v>
      </c>
      <c r="O310">
        <v>275</v>
      </c>
      <c r="P310" s="6">
        <v>27641</v>
      </c>
      <c r="Q310" s="6">
        <v>0</v>
      </c>
      <c r="R310" s="6">
        <v>38978</v>
      </c>
      <c r="S310" s="6">
        <v>43450</v>
      </c>
      <c r="T310" s="6">
        <v>297762</v>
      </c>
      <c r="U310" s="6">
        <v>166434</v>
      </c>
      <c r="V310" s="6">
        <v>131328</v>
      </c>
    </row>
    <row r="311" spans="1:22" x14ac:dyDescent="0.25">
      <c r="A311">
        <v>2026</v>
      </c>
      <c r="B311" s="1" t="s">
        <v>12</v>
      </c>
      <c r="C311" t="s">
        <v>40</v>
      </c>
      <c r="D311" s="1" t="s">
        <v>698</v>
      </c>
      <c r="E311" t="s">
        <v>373</v>
      </c>
      <c r="F311" s="6">
        <v>134292</v>
      </c>
      <c r="G311" s="6">
        <v>106166</v>
      </c>
      <c r="H311" s="6">
        <v>22739</v>
      </c>
      <c r="I311" s="6">
        <v>83427</v>
      </c>
      <c r="J311" s="6">
        <v>28126</v>
      </c>
      <c r="K311" s="6">
        <v>13668</v>
      </c>
      <c r="L311" s="6">
        <v>125221</v>
      </c>
      <c r="M311">
        <v>215</v>
      </c>
      <c r="N311">
        <v>57</v>
      </c>
      <c r="O311">
        <v>272</v>
      </c>
      <c r="P311" s="6">
        <v>14005</v>
      </c>
      <c r="Q311" s="6">
        <v>0</v>
      </c>
      <c r="R311" s="6">
        <v>21772</v>
      </c>
      <c r="S311" s="6">
        <v>24073</v>
      </c>
      <c r="T311" s="6">
        <v>185343</v>
      </c>
      <c r="U311" s="6">
        <v>97647</v>
      </c>
      <c r="V311" s="6">
        <v>87696</v>
      </c>
    </row>
    <row r="312" spans="1:22" x14ac:dyDescent="0.25">
      <c r="A312">
        <v>2026</v>
      </c>
      <c r="B312" s="1" t="s">
        <v>8</v>
      </c>
      <c r="C312" t="s">
        <v>36</v>
      </c>
      <c r="D312" s="1" t="s">
        <v>699</v>
      </c>
      <c r="E312" t="s">
        <v>374</v>
      </c>
      <c r="F312" s="6">
        <v>485022</v>
      </c>
      <c r="G312" s="6">
        <v>382387</v>
      </c>
      <c r="H312" s="6">
        <v>81901</v>
      </c>
      <c r="I312" s="6">
        <v>300486</v>
      </c>
      <c r="J312" s="6">
        <v>102635</v>
      </c>
      <c r="K312">
        <v>0</v>
      </c>
      <c r="L312" s="6">
        <v>403121</v>
      </c>
      <c r="M312">
        <v>649</v>
      </c>
      <c r="N312">
        <v>174</v>
      </c>
      <c r="O312">
        <v>823</v>
      </c>
      <c r="P312" s="6">
        <v>44792</v>
      </c>
      <c r="Q312" s="6">
        <v>0</v>
      </c>
      <c r="R312" s="6">
        <v>80611</v>
      </c>
      <c r="S312" s="6">
        <v>88150</v>
      </c>
      <c r="T312" s="6">
        <v>617497</v>
      </c>
      <c r="U312" s="6">
        <v>345927</v>
      </c>
      <c r="V312" s="6">
        <v>271570</v>
      </c>
    </row>
    <row r="313" spans="1:22" x14ac:dyDescent="0.25">
      <c r="A313">
        <v>2026</v>
      </c>
      <c r="B313" s="1" t="s">
        <v>11</v>
      </c>
      <c r="C313" t="s">
        <v>39</v>
      </c>
      <c r="D313" s="1" t="s">
        <v>700</v>
      </c>
      <c r="E313" t="s">
        <v>375</v>
      </c>
      <c r="F313" s="6">
        <v>367733</v>
      </c>
      <c r="G313" s="6">
        <v>285337</v>
      </c>
      <c r="H313" s="6">
        <v>61114</v>
      </c>
      <c r="I313" s="6">
        <v>224223</v>
      </c>
      <c r="J313" s="6">
        <v>82396</v>
      </c>
      <c r="K313">
        <v>0</v>
      </c>
      <c r="L313" s="6">
        <v>306619</v>
      </c>
      <c r="M313">
        <v>535</v>
      </c>
      <c r="N313">
        <v>155</v>
      </c>
      <c r="O313">
        <v>690</v>
      </c>
      <c r="P313" s="6">
        <v>37083</v>
      </c>
      <c r="Q313" s="6">
        <v>0</v>
      </c>
      <c r="R313" s="6">
        <v>72580</v>
      </c>
      <c r="S313" s="6">
        <v>81243</v>
      </c>
      <c r="T313" s="6">
        <v>498215</v>
      </c>
      <c r="U313" s="6">
        <v>261842</v>
      </c>
      <c r="V313" s="6">
        <v>236373</v>
      </c>
    </row>
    <row r="314" spans="1:22" x14ac:dyDescent="0.25">
      <c r="A314">
        <v>2026</v>
      </c>
      <c r="B314" s="1" t="s">
        <v>7</v>
      </c>
      <c r="C314" t="s">
        <v>35</v>
      </c>
      <c r="D314" s="1" t="s">
        <v>701</v>
      </c>
      <c r="E314" t="s">
        <v>376</v>
      </c>
      <c r="F314" s="6">
        <v>280021</v>
      </c>
      <c r="G314" s="6">
        <v>219288</v>
      </c>
      <c r="H314" s="6">
        <v>46968</v>
      </c>
      <c r="I314" s="6">
        <v>172320</v>
      </c>
      <c r="J314" s="6">
        <v>60733</v>
      </c>
      <c r="K314" s="6">
        <v>14742</v>
      </c>
      <c r="L314" s="6">
        <v>247795</v>
      </c>
      <c r="M314">
        <v>268</v>
      </c>
      <c r="N314">
        <v>74</v>
      </c>
      <c r="O314">
        <v>342</v>
      </c>
      <c r="P314" s="6">
        <v>35076</v>
      </c>
      <c r="Q314" s="6">
        <v>0</v>
      </c>
      <c r="R314" s="6">
        <v>48184</v>
      </c>
      <c r="S314" s="6">
        <v>53712</v>
      </c>
      <c r="T314" s="6">
        <v>385109</v>
      </c>
      <c r="U314" s="6">
        <v>207663</v>
      </c>
      <c r="V314" s="6">
        <v>177446</v>
      </c>
    </row>
    <row r="315" spans="1:22" x14ac:dyDescent="0.25">
      <c r="A315">
        <v>2026</v>
      </c>
      <c r="B315" s="1" t="s">
        <v>11</v>
      </c>
      <c r="C315" t="s">
        <v>39</v>
      </c>
      <c r="D315" s="1" t="s">
        <v>702</v>
      </c>
      <c r="E315" t="s">
        <v>377</v>
      </c>
      <c r="F315" s="6">
        <v>234314</v>
      </c>
      <c r="G315" s="6">
        <v>181812</v>
      </c>
      <c r="H315" s="6">
        <v>38941</v>
      </c>
      <c r="I315" s="6">
        <v>142871</v>
      </c>
      <c r="J315" s="6">
        <v>52502</v>
      </c>
      <c r="K315" s="6">
        <v>7908</v>
      </c>
      <c r="L315" s="6">
        <v>203281</v>
      </c>
      <c r="M315">
        <v>339</v>
      </c>
      <c r="N315">
        <v>99</v>
      </c>
      <c r="O315">
        <v>438</v>
      </c>
      <c r="P315" s="6">
        <v>23841</v>
      </c>
      <c r="Q315" s="6">
        <v>0</v>
      </c>
      <c r="R315" s="6">
        <v>37465</v>
      </c>
      <c r="S315" s="6">
        <v>41936</v>
      </c>
      <c r="T315" s="6">
        <v>306961</v>
      </c>
      <c r="U315" s="6">
        <v>167052</v>
      </c>
      <c r="V315" s="6">
        <v>139909</v>
      </c>
    </row>
    <row r="316" spans="1:22" x14ac:dyDescent="0.25">
      <c r="A316">
        <v>2026</v>
      </c>
      <c r="B316" s="1" t="s">
        <v>11</v>
      </c>
      <c r="C316" t="s">
        <v>39</v>
      </c>
      <c r="D316" s="1" t="s">
        <v>703</v>
      </c>
      <c r="E316" t="s">
        <v>378</v>
      </c>
      <c r="F316" s="6">
        <v>299350</v>
      </c>
      <c r="G316" s="6">
        <v>232276</v>
      </c>
      <c r="H316" s="6">
        <v>49750</v>
      </c>
      <c r="I316" s="6">
        <v>182526</v>
      </c>
      <c r="J316" s="6">
        <v>67074</v>
      </c>
      <c r="K316" s="6">
        <v>16083</v>
      </c>
      <c r="L316" s="6">
        <v>265683</v>
      </c>
      <c r="M316">
        <v>436</v>
      </c>
      <c r="N316">
        <v>126</v>
      </c>
      <c r="O316">
        <v>562</v>
      </c>
      <c r="P316" s="6">
        <v>30187</v>
      </c>
      <c r="Q316" s="6">
        <v>0</v>
      </c>
      <c r="R316" s="6">
        <v>54044</v>
      </c>
      <c r="S316" s="6">
        <v>60494</v>
      </c>
      <c r="T316" s="6">
        <v>410970</v>
      </c>
      <c r="U316" s="6">
        <v>213149</v>
      </c>
      <c r="V316" s="6">
        <v>197821</v>
      </c>
    </row>
    <row r="317" spans="1:22" x14ac:dyDescent="0.25">
      <c r="A317">
        <v>2026</v>
      </c>
      <c r="B317" s="1" t="s">
        <v>5</v>
      </c>
      <c r="C317" t="s">
        <v>33</v>
      </c>
      <c r="D317" s="1" t="s">
        <v>704</v>
      </c>
      <c r="E317" t="s">
        <v>379</v>
      </c>
      <c r="F317" s="6">
        <v>1304450</v>
      </c>
      <c r="G317" s="6">
        <v>990939</v>
      </c>
      <c r="H317" s="6">
        <v>212243</v>
      </c>
      <c r="I317" s="6">
        <v>778696</v>
      </c>
      <c r="J317" s="6">
        <v>313511</v>
      </c>
      <c r="K317">
        <v>0</v>
      </c>
      <c r="L317" s="6">
        <v>1092207</v>
      </c>
      <c r="M317" s="6">
        <v>2570</v>
      </c>
      <c r="N317">
        <v>813</v>
      </c>
      <c r="O317" s="6">
        <v>3383</v>
      </c>
      <c r="P317" s="6">
        <v>129361</v>
      </c>
      <c r="Q317" s="6">
        <v>0</v>
      </c>
      <c r="R317" s="6">
        <v>275006</v>
      </c>
      <c r="S317" s="6">
        <v>306316</v>
      </c>
      <c r="T317" s="6">
        <v>1806273</v>
      </c>
      <c r="U317" s="6">
        <v>910627</v>
      </c>
      <c r="V317" s="6">
        <v>895646</v>
      </c>
    </row>
    <row r="318" spans="1:22" x14ac:dyDescent="0.25">
      <c r="A318">
        <v>2026</v>
      </c>
      <c r="B318" s="1" t="s">
        <v>11</v>
      </c>
      <c r="C318" t="s">
        <v>39</v>
      </c>
      <c r="D318" s="1" t="s">
        <v>705</v>
      </c>
      <c r="E318" t="s">
        <v>380</v>
      </c>
      <c r="F318" s="6">
        <v>206246</v>
      </c>
      <c r="G318" s="6">
        <v>160033</v>
      </c>
      <c r="H318" s="6">
        <v>34277</v>
      </c>
      <c r="I318" s="6">
        <v>125756</v>
      </c>
      <c r="J318" s="6">
        <v>46213</v>
      </c>
      <c r="K318" s="6">
        <v>10047</v>
      </c>
      <c r="L318" s="6">
        <v>182016</v>
      </c>
      <c r="M318">
        <v>301</v>
      </c>
      <c r="N318">
        <v>87</v>
      </c>
      <c r="O318">
        <v>388</v>
      </c>
      <c r="P318" s="6">
        <v>21805</v>
      </c>
      <c r="Q318" s="6">
        <v>0</v>
      </c>
      <c r="R318" s="6">
        <v>33288</v>
      </c>
      <c r="S318" s="6">
        <v>37261</v>
      </c>
      <c r="T318" s="6">
        <v>274758</v>
      </c>
      <c r="U318" s="6">
        <v>147862</v>
      </c>
      <c r="V318" s="6">
        <v>126896</v>
      </c>
    </row>
    <row r="319" spans="1:22" x14ac:dyDescent="0.25">
      <c r="A319">
        <v>2026</v>
      </c>
      <c r="B319" s="1" t="s">
        <v>11</v>
      </c>
      <c r="C319" t="s">
        <v>39</v>
      </c>
      <c r="D319" s="1" t="s">
        <v>706</v>
      </c>
      <c r="E319" t="s">
        <v>381</v>
      </c>
      <c r="F319" s="6">
        <v>68508</v>
      </c>
      <c r="G319" s="6">
        <v>53158</v>
      </c>
      <c r="H319" s="6">
        <v>11385</v>
      </c>
      <c r="I319" s="6">
        <v>41773</v>
      </c>
      <c r="J319" s="6">
        <v>15350</v>
      </c>
      <c r="K319" s="6">
        <v>6877</v>
      </c>
      <c r="L319" s="6">
        <v>64000</v>
      </c>
      <c r="M319">
        <v>99</v>
      </c>
      <c r="N319">
        <v>29</v>
      </c>
      <c r="O319">
        <v>128</v>
      </c>
      <c r="P319" s="6">
        <v>7600</v>
      </c>
      <c r="Q319">
        <v>0</v>
      </c>
      <c r="R319" s="6">
        <v>11226</v>
      </c>
      <c r="S319" s="6">
        <v>12566</v>
      </c>
      <c r="T319" s="6">
        <v>95520</v>
      </c>
      <c r="U319" s="6">
        <v>49472</v>
      </c>
      <c r="V319" s="6">
        <v>46048</v>
      </c>
    </row>
    <row r="320" spans="1:22" x14ac:dyDescent="0.25">
      <c r="A320">
        <v>2026</v>
      </c>
      <c r="B320" s="1" t="s">
        <v>9</v>
      </c>
      <c r="C320" t="s">
        <v>37</v>
      </c>
      <c r="D320" s="1" t="s">
        <v>707</v>
      </c>
      <c r="E320" t="s">
        <v>382</v>
      </c>
      <c r="F320" s="6">
        <v>422499</v>
      </c>
      <c r="G320" s="6">
        <v>334932</v>
      </c>
      <c r="H320" s="6">
        <v>71737</v>
      </c>
      <c r="I320" s="6">
        <v>263195</v>
      </c>
      <c r="J320" s="6">
        <v>87567</v>
      </c>
      <c r="K320" s="6">
        <v>6851</v>
      </c>
      <c r="L320" s="6">
        <v>357613</v>
      </c>
      <c r="M320">
        <v>373</v>
      </c>
      <c r="N320">
        <v>97</v>
      </c>
      <c r="O320">
        <v>470</v>
      </c>
      <c r="P320" s="6">
        <v>40731</v>
      </c>
      <c r="Q320" s="6">
        <v>0</v>
      </c>
      <c r="R320" s="6">
        <v>77131</v>
      </c>
      <c r="S320" s="6">
        <v>84823</v>
      </c>
      <c r="T320" s="6">
        <v>560768</v>
      </c>
      <c r="U320" s="6">
        <v>304298</v>
      </c>
      <c r="V320" s="6">
        <v>256470</v>
      </c>
    </row>
    <row r="321" spans="1:22" x14ac:dyDescent="0.25">
      <c r="A321">
        <v>2026</v>
      </c>
      <c r="B321" s="1" t="s">
        <v>8</v>
      </c>
      <c r="C321" t="s">
        <v>36</v>
      </c>
      <c r="D321" s="1" t="s">
        <v>708</v>
      </c>
      <c r="E321" t="s">
        <v>383</v>
      </c>
      <c r="F321" s="6">
        <v>314015</v>
      </c>
      <c r="G321" s="6">
        <v>247566</v>
      </c>
      <c r="H321" s="6">
        <v>53024</v>
      </c>
      <c r="I321" s="6">
        <v>194542</v>
      </c>
      <c r="J321" s="6">
        <v>66449</v>
      </c>
      <c r="K321" s="6">
        <v>8267</v>
      </c>
      <c r="L321" s="6">
        <v>269258</v>
      </c>
      <c r="M321">
        <v>420</v>
      </c>
      <c r="N321">
        <v>112</v>
      </c>
      <c r="O321">
        <v>532</v>
      </c>
      <c r="P321" s="6">
        <v>29699</v>
      </c>
      <c r="Q321" s="6">
        <v>0</v>
      </c>
      <c r="R321" s="6">
        <v>52812</v>
      </c>
      <c r="S321" s="6">
        <v>57751</v>
      </c>
      <c r="T321" s="6">
        <v>410052</v>
      </c>
      <c r="U321" s="6">
        <v>224661</v>
      </c>
      <c r="V321" s="6">
        <v>185391</v>
      </c>
    </row>
    <row r="322" spans="1:22" x14ac:dyDescent="0.25">
      <c r="A322">
        <v>2026</v>
      </c>
      <c r="B322" s="1" t="s">
        <v>13</v>
      </c>
      <c r="C322" t="s">
        <v>41</v>
      </c>
      <c r="D322" s="1" t="s">
        <v>709</v>
      </c>
      <c r="E322" t="s">
        <v>384</v>
      </c>
      <c r="F322" s="6">
        <v>118829</v>
      </c>
      <c r="G322" s="6">
        <v>94657</v>
      </c>
      <c r="H322" s="6">
        <v>20274</v>
      </c>
      <c r="I322" s="6">
        <v>74383</v>
      </c>
      <c r="J322" s="6">
        <v>24172</v>
      </c>
      <c r="K322" s="6">
        <v>2392</v>
      </c>
      <c r="L322" s="6">
        <v>100947</v>
      </c>
      <c r="M322">
        <v>215</v>
      </c>
      <c r="N322">
        <v>55</v>
      </c>
      <c r="O322">
        <v>270</v>
      </c>
      <c r="P322" s="6">
        <v>12192</v>
      </c>
      <c r="Q322" s="6">
        <v>0</v>
      </c>
      <c r="R322" s="6">
        <v>19683</v>
      </c>
      <c r="S322" s="6">
        <v>21643</v>
      </c>
      <c r="T322" s="6">
        <v>154735</v>
      </c>
      <c r="U322" s="6">
        <v>86790</v>
      </c>
      <c r="V322" s="6">
        <v>67945</v>
      </c>
    </row>
    <row r="323" spans="1:22" x14ac:dyDescent="0.25">
      <c r="A323">
        <v>2026</v>
      </c>
      <c r="B323" s="1" t="s">
        <v>10</v>
      </c>
      <c r="C323" t="s">
        <v>38</v>
      </c>
      <c r="D323" s="1" t="s">
        <v>710</v>
      </c>
      <c r="E323" t="s">
        <v>385</v>
      </c>
      <c r="F323" s="6">
        <v>640743</v>
      </c>
      <c r="G323" s="6">
        <v>518516</v>
      </c>
      <c r="H323" s="6">
        <v>111058</v>
      </c>
      <c r="I323" s="6">
        <v>407458</v>
      </c>
      <c r="J323" s="6">
        <v>122227</v>
      </c>
      <c r="K323">
        <v>0</v>
      </c>
      <c r="L323" s="6">
        <v>529685</v>
      </c>
      <c r="M323">
        <v>0</v>
      </c>
      <c r="N323">
        <v>0</v>
      </c>
      <c r="O323">
        <v>0</v>
      </c>
      <c r="P323" s="6">
        <v>55064</v>
      </c>
      <c r="Q323" s="6">
        <v>0</v>
      </c>
      <c r="R323" s="6">
        <v>107862</v>
      </c>
      <c r="S323" s="6">
        <v>118539</v>
      </c>
      <c r="T323" s="6">
        <v>811150</v>
      </c>
      <c r="U323" s="6">
        <v>462522</v>
      </c>
      <c r="V323" s="6">
        <v>348628</v>
      </c>
    </row>
    <row r="324" spans="1:22" x14ac:dyDescent="0.25">
      <c r="A324">
        <v>2026</v>
      </c>
      <c r="B324" s="1" t="s">
        <v>12</v>
      </c>
      <c r="C324" t="s">
        <v>40</v>
      </c>
      <c r="D324" s="1" t="s">
        <v>711</v>
      </c>
      <c r="E324" t="s">
        <v>386</v>
      </c>
      <c r="F324" s="6">
        <v>199878</v>
      </c>
      <c r="G324" s="6">
        <v>158016</v>
      </c>
      <c r="H324" s="6">
        <v>33844</v>
      </c>
      <c r="I324" s="6">
        <v>124172</v>
      </c>
      <c r="J324" s="6">
        <v>41862</v>
      </c>
      <c r="K324">
        <v>0</v>
      </c>
      <c r="L324" s="6">
        <v>166034</v>
      </c>
      <c r="M324">
        <v>323</v>
      </c>
      <c r="N324">
        <v>85</v>
      </c>
      <c r="O324">
        <v>408</v>
      </c>
      <c r="P324" s="6">
        <v>20525</v>
      </c>
      <c r="Q324" s="6">
        <v>0</v>
      </c>
      <c r="R324" s="6">
        <v>33600</v>
      </c>
      <c r="S324" s="6">
        <v>37152</v>
      </c>
      <c r="T324" s="6">
        <v>257719</v>
      </c>
      <c r="U324" s="6">
        <v>145019</v>
      </c>
      <c r="V324" s="6">
        <v>112700</v>
      </c>
    </row>
    <row r="325" spans="1:22" x14ac:dyDescent="0.25">
      <c r="A325">
        <v>2026</v>
      </c>
      <c r="B325" s="1" t="s">
        <v>11</v>
      </c>
      <c r="C325" t="s">
        <v>39</v>
      </c>
      <c r="D325" s="1" t="s">
        <v>712</v>
      </c>
      <c r="E325" t="s">
        <v>387</v>
      </c>
      <c r="F325" s="6">
        <v>215085</v>
      </c>
      <c r="G325" s="6">
        <v>166892</v>
      </c>
      <c r="H325" s="6">
        <v>35746</v>
      </c>
      <c r="I325" s="6">
        <v>131146</v>
      </c>
      <c r="J325" s="6">
        <v>48193</v>
      </c>
      <c r="K325" s="6">
        <v>0</v>
      </c>
      <c r="L325" s="6">
        <v>179339</v>
      </c>
      <c r="M325">
        <v>312</v>
      </c>
      <c r="N325">
        <v>90</v>
      </c>
      <c r="O325">
        <v>402</v>
      </c>
      <c r="P325" s="6">
        <v>21690</v>
      </c>
      <c r="Q325" s="6">
        <v>0</v>
      </c>
      <c r="R325" s="6">
        <v>34006</v>
      </c>
      <c r="S325" s="6">
        <v>38064</v>
      </c>
      <c r="T325" s="6">
        <v>273501</v>
      </c>
      <c r="U325" s="6">
        <v>153148</v>
      </c>
      <c r="V325" s="6">
        <v>120353</v>
      </c>
    </row>
    <row r="326" spans="1:22" x14ac:dyDescent="0.25">
      <c r="A326">
        <v>2026</v>
      </c>
      <c r="B326" s="1" t="s">
        <v>10</v>
      </c>
      <c r="C326" t="s">
        <v>38</v>
      </c>
      <c r="D326" s="1" t="s">
        <v>713</v>
      </c>
      <c r="E326" t="s">
        <v>388</v>
      </c>
      <c r="F326" s="6">
        <v>416632</v>
      </c>
      <c r="G326" s="6">
        <v>337156</v>
      </c>
      <c r="H326" s="6">
        <v>72214</v>
      </c>
      <c r="I326" s="6">
        <v>264942</v>
      </c>
      <c r="J326" s="6">
        <v>79476</v>
      </c>
      <c r="K326">
        <v>0</v>
      </c>
      <c r="L326" s="6">
        <v>344418</v>
      </c>
      <c r="M326">
        <v>0</v>
      </c>
      <c r="N326">
        <v>0</v>
      </c>
      <c r="O326">
        <v>0</v>
      </c>
      <c r="P326" s="6">
        <v>35805</v>
      </c>
      <c r="Q326" s="6">
        <v>0</v>
      </c>
      <c r="R326" s="6">
        <v>73551</v>
      </c>
      <c r="S326" s="6">
        <v>80832</v>
      </c>
      <c r="T326" s="6">
        <v>534606</v>
      </c>
      <c r="U326" s="6">
        <v>300747</v>
      </c>
      <c r="V326" s="6">
        <v>233859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5"/>
  <sheetViews>
    <sheetView workbookViewId="0">
      <selection activeCell="C18" sqref="C18"/>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14</v>
      </c>
      <c r="B1" s="4">
        <v>2027</v>
      </c>
      <c r="C1" s="2"/>
      <c r="D1" s="2"/>
      <c r="E1" s="2"/>
      <c r="F1" s="2"/>
      <c r="G1" s="5"/>
      <c r="H1" s="5"/>
      <c r="I1" s="3" t="s">
        <v>15</v>
      </c>
      <c r="J1" s="2"/>
      <c r="K1" t="s">
        <v>30</v>
      </c>
    </row>
    <row r="2" spans="1:11" x14ac:dyDescent="0.25">
      <c r="A2" s="3"/>
      <c r="C2" s="2"/>
      <c r="D2" s="2"/>
      <c r="E2" s="2"/>
      <c r="F2" s="2"/>
      <c r="G2" s="2"/>
      <c r="H2" s="2"/>
      <c r="I2" s="3" t="s">
        <v>825</v>
      </c>
      <c r="J2" s="3" t="s">
        <v>16</v>
      </c>
      <c r="K2">
        <v>1</v>
      </c>
    </row>
    <row r="3" spans="1:11" x14ac:dyDescent="0.25">
      <c r="A3" s="3"/>
      <c r="B3" s="3"/>
      <c r="C3" s="2"/>
      <c r="D3" s="2"/>
      <c r="E3" s="2"/>
      <c r="F3" s="2"/>
      <c r="G3" s="2"/>
      <c r="H3" s="2"/>
      <c r="I3" s="3" t="s">
        <v>17</v>
      </c>
      <c r="J3" s="3" t="s">
        <v>16</v>
      </c>
      <c r="K3">
        <v>2</v>
      </c>
    </row>
    <row r="4" spans="1:11" x14ac:dyDescent="0.25">
      <c r="A4" s="3"/>
      <c r="B4" s="3"/>
      <c r="C4" s="2"/>
      <c r="D4" s="2"/>
      <c r="E4" s="2"/>
      <c r="F4" s="2"/>
      <c r="G4" s="2"/>
      <c r="H4" s="2"/>
      <c r="I4" s="3" t="s">
        <v>19</v>
      </c>
      <c r="J4" s="3" t="s">
        <v>16</v>
      </c>
      <c r="K4">
        <v>3</v>
      </c>
    </row>
    <row r="5" spans="1:11" x14ac:dyDescent="0.25">
      <c r="A5" s="2"/>
      <c r="B5" s="2"/>
      <c r="C5" s="2"/>
      <c r="D5" s="2"/>
      <c r="E5" s="2"/>
      <c r="F5" s="2"/>
      <c r="G5" s="2"/>
      <c r="H5" s="2"/>
      <c r="I5" s="3" t="s">
        <v>20</v>
      </c>
      <c r="J5" s="3" t="s">
        <v>18</v>
      </c>
      <c r="K5">
        <v>4</v>
      </c>
    </row>
    <row r="6" spans="1:11" x14ac:dyDescent="0.25">
      <c r="A6" s="2"/>
      <c r="B6" s="2"/>
      <c r="C6" s="2"/>
      <c r="D6" s="2"/>
      <c r="E6" s="2"/>
      <c r="F6" s="2"/>
      <c r="G6" s="2"/>
      <c r="H6" s="2"/>
      <c r="I6" s="3"/>
      <c r="J6" s="3"/>
    </row>
    <row r="7" spans="1:11" x14ac:dyDescent="0.25">
      <c r="A7" s="2"/>
      <c r="B7" s="2"/>
      <c r="C7" s="2"/>
      <c r="D7" s="2"/>
      <c r="E7" s="2"/>
      <c r="F7" s="2"/>
      <c r="G7" s="2"/>
      <c r="H7" s="2"/>
      <c r="I7" s="3"/>
      <c r="J7" s="3"/>
    </row>
    <row r="8" spans="1:11" x14ac:dyDescent="0.25">
      <c r="A8" s="2"/>
      <c r="B8" s="2"/>
      <c r="C8" s="2"/>
      <c r="D8" s="2"/>
      <c r="E8" s="2"/>
      <c r="F8" s="2"/>
      <c r="G8" s="2"/>
      <c r="H8" s="2"/>
      <c r="I8" s="3"/>
      <c r="J8" s="3"/>
    </row>
    <row r="9" spans="1:11" x14ac:dyDescent="0.25">
      <c r="A9" s="2"/>
      <c r="B9" s="2"/>
      <c r="C9" s="2"/>
      <c r="D9" s="2"/>
      <c r="E9" s="2"/>
      <c r="F9" s="2"/>
      <c r="G9" s="2"/>
      <c r="H9" s="2"/>
      <c r="I9" s="3"/>
      <c r="J9" s="3"/>
    </row>
    <row r="10" spans="1:11" x14ac:dyDescent="0.25">
      <c r="A10" s="2"/>
      <c r="B10" s="2"/>
      <c r="C10" s="2"/>
      <c r="D10" s="2"/>
      <c r="E10" s="2"/>
      <c r="F10" s="2"/>
      <c r="G10" s="2"/>
      <c r="H10" s="2"/>
      <c r="I10" s="3"/>
      <c r="J10" s="3"/>
    </row>
    <row r="11" spans="1:11" x14ac:dyDescent="0.25">
      <c r="A11" s="2"/>
      <c r="B11" s="2"/>
      <c r="C11" s="2"/>
      <c r="D11" s="2"/>
      <c r="E11" s="2"/>
      <c r="F11" s="2"/>
      <c r="G11" s="2"/>
      <c r="H11" s="2"/>
      <c r="I11" s="3"/>
      <c r="J11" s="3"/>
    </row>
    <row r="14" spans="1:11" x14ac:dyDescent="0.25">
      <c r="A14" t="s">
        <v>23</v>
      </c>
      <c r="B14" t="s">
        <v>24</v>
      </c>
      <c r="C14" t="s">
        <v>42</v>
      </c>
    </row>
    <row r="15" spans="1:11" x14ac:dyDescent="0.25">
      <c r="A15" t="s">
        <v>25</v>
      </c>
      <c r="B15" s="6">
        <f>Payment!F13+Payment!E13-Payment!C13</f>
        <v>0</v>
      </c>
    </row>
    <row r="16" spans="1:11" x14ac:dyDescent="0.25">
      <c r="A16" t="s">
        <v>29</v>
      </c>
      <c r="B16" s="6">
        <f>SUM(Payment!L4:$L$12)</f>
        <v>0</v>
      </c>
    </row>
    <row r="17" spans="1:3" x14ac:dyDescent="0.25">
      <c r="A17" t="s">
        <v>28</v>
      </c>
      <c r="B17">
        <f>Payment!D13*INDEX($I$2:$K$11,MATCH(Payment!$B$2,$I$2:$I$11,0),3)-Payment!E13</f>
        <v>0</v>
      </c>
      <c r="C17" t="s">
        <v>43</v>
      </c>
    </row>
    <row r="18" spans="1:3" x14ac:dyDescent="0.25">
      <c r="A18" t="s">
        <v>746</v>
      </c>
      <c r="B18" s="6">
        <f>C18-Payment!C13</f>
        <v>0</v>
      </c>
      <c r="C18" s="6">
        <v>25341258</v>
      </c>
    </row>
    <row r="19" spans="1:3" x14ac:dyDescent="0.25">
      <c r="A19" t="s">
        <v>717</v>
      </c>
      <c r="B19" s="6">
        <f>SUM(PaymentCodingTotal!C3:D11,PaymentCodingTotal!F3:H11)-SUM(PaymentCodingTotal!I3:I11)</f>
        <v>0</v>
      </c>
      <c r="C19" s="6"/>
    </row>
    <row r="20" spans="1:3" x14ac:dyDescent="0.25">
      <c r="A20" t="s">
        <v>740</v>
      </c>
      <c r="B20" s="6">
        <f>SUM(PaymentCodingTotal!K3:M12)</f>
        <v>0</v>
      </c>
    </row>
    <row r="21" spans="1:3" x14ac:dyDescent="0.25">
      <c r="A21" t="s">
        <v>742</v>
      </c>
      <c r="B21" s="6">
        <f>SUM(PaymentCodingTotal!K27:L35)</f>
        <v>0</v>
      </c>
    </row>
    <row r="22" spans="1:3" x14ac:dyDescent="0.25">
      <c r="A22" t="s">
        <v>743</v>
      </c>
      <c r="B22" s="6">
        <f>SUM('PaymentCodingDetai_July-Feb'!K27:M35)</f>
        <v>0</v>
      </c>
    </row>
    <row r="23" spans="1:3" x14ac:dyDescent="0.25">
      <c r="A23" t="s">
        <v>744</v>
      </c>
      <c r="B23" s="6">
        <f>SUM(PaymentCodingDetail_April!K27:M35)</f>
        <v>0</v>
      </c>
    </row>
    <row r="24" spans="1:3" x14ac:dyDescent="0.25">
      <c r="A24" t="s">
        <v>763</v>
      </c>
      <c r="B24" s="6">
        <f>Payment!J13-'PaymentCodingDetai_July-Feb'!I12</f>
        <v>0</v>
      </c>
    </row>
    <row r="25" spans="1:3" x14ac:dyDescent="0.25">
      <c r="A25" t="s">
        <v>762</v>
      </c>
      <c r="B25" s="6">
        <f>Payment!J27-PaymentCodingDetail_April!I12</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27"/>
  <sheetViews>
    <sheetView tabSelected="1" workbookViewId="0">
      <selection activeCell="B2" sqref="B2"/>
    </sheetView>
  </sheetViews>
  <sheetFormatPr defaultRowHeight="15" x14ac:dyDescent="0.25"/>
  <cols>
    <col min="1" max="1" width="4.42578125" customWidth="1"/>
    <col min="2" max="2" width="26.7109375" bestFit="1" customWidth="1"/>
    <col min="3" max="3" width="13.7109375" bestFit="1" customWidth="1"/>
    <col min="4" max="4" width="12.42578125" bestFit="1" customWidth="1"/>
    <col min="5" max="5" width="14.85546875" bestFit="1" customWidth="1"/>
    <col min="6" max="6" width="13.7109375" bestFit="1" customWidth="1"/>
    <col min="7" max="8" width="13.5703125" customWidth="1"/>
    <col min="9" max="9" width="13.5703125" hidden="1" customWidth="1"/>
    <col min="10" max="10" width="13.5703125" style="6" hidden="1" customWidth="1"/>
    <col min="11" max="12" width="13.5703125" hidden="1" customWidth="1"/>
    <col min="13" max="14" width="13.5703125" customWidth="1"/>
  </cols>
  <sheetData>
    <row r="1" spans="1:12" x14ac:dyDescent="0.25">
      <c r="A1" s="81" t="str">
        <f>CONCATENATE("FY ",Notes!$B$1," AEA State Aid Payments")</f>
        <v>FY 2027 AEA State Aid Payments</v>
      </c>
      <c r="B1" s="82"/>
      <c r="C1" s="82"/>
      <c r="D1" s="82"/>
      <c r="E1" s="82"/>
      <c r="F1" s="82"/>
    </row>
    <row r="2" spans="1:12" ht="30" x14ac:dyDescent="0.25">
      <c r="A2" s="38"/>
      <c r="B2" s="58" t="s">
        <v>825</v>
      </c>
      <c r="C2" s="40" t="s">
        <v>21</v>
      </c>
      <c r="D2" s="40" t="str">
        <f>CONCATENATE(Payment!$B$2," 
Payment")</f>
        <v>July 
Payment</v>
      </c>
      <c r="E2" s="40" t="str">
        <f>CONCATENATE("Paid Through 
",Payment!$B$2)</f>
        <v>Paid Through 
July</v>
      </c>
      <c r="F2" s="40" t="s">
        <v>22</v>
      </c>
      <c r="I2" t="s">
        <v>27</v>
      </c>
      <c r="J2" s="62" t="s">
        <v>748</v>
      </c>
      <c r="L2" s="25" t="s">
        <v>750</v>
      </c>
    </row>
    <row r="3" spans="1:12" ht="27.75" hidden="1" customHeight="1" x14ac:dyDescent="0.25">
      <c r="A3" s="41"/>
      <c r="B3" s="42" t="str">
        <f>Data[[#Headers],[AEA Name]]</f>
        <v>AEA Name</v>
      </c>
      <c r="C3" s="42" t="str">
        <f>Data[[#Headers],[Original Budget]]</f>
        <v>Original Budget</v>
      </c>
      <c r="D3" s="3" t="str">
        <f>IF(Payment!$B$2="April","Pay 2 Final","Pay1 - July - Feb")</f>
        <v>Pay1 - July - Feb</v>
      </c>
      <c r="E3" s="43" t="str">
        <f>CONCATENATE("Paid Thru ",Payment!$B$2)</f>
        <v>Paid Thru July</v>
      </c>
      <c r="F3" s="43"/>
      <c r="K3" t="s">
        <v>26</v>
      </c>
    </row>
    <row r="4" spans="1:12" x14ac:dyDescent="0.25">
      <c r="A4" s="44" t="str">
        <f>Data!A2</f>
        <v>01</v>
      </c>
      <c r="B4" s="45" t="str">
        <f>INDEX(Data[],MATCH($A4,Data[AEA],0),MATCH(B$3,Data[#Headers],0))</f>
        <v>Keystone AEA 1</v>
      </c>
      <c r="C4" s="24">
        <f>INDEX(Data[],MATCH($A4,Data[AEA],0),MATCH(C$3,Data[#Headers],0))</f>
        <v>1774879</v>
      </c>
      <c r="D4" s="24">
        <f>INDEX(Data[],MATCH($A4,Data[AEA],0),MATCH(D$3,Data[#Headers],0))</f>
        <v>443722</v>
      </c>
      <c r="E4" s="24">
        <f>INDEX(Data[],MATCH($A4,Data[AEA],0),MATCH(E$3,Data[#Headers],0))</f>
        <v>443722</v>
      </c>
      <c r="F4" s="24">
        <f>C4-E4</f>
        <v>1331157</v>
      </c>
      <c r="I4" t="s">
        <v>816</v>
      </c>
      <c r="J4" s="6">
        <v>443722</v>
      </c>
      <c r="K4" t="str">
        <f>MID(I4,3,2)</f>
        <v>01</v>
      </c>
      <c r="L4" s="6">
        <f>INDEX($A$4:$F$12,MATCH(K4,$A$4:$A$12,0),4)-J4</f>
        <v>0</v>
      </c>
    </row>
    <row r="5" spans="1:12" x14ac:dyDescent="0.25">
      <c r="A5" s="44" t="str">
        <f>Data!A3</f>
        <v>05</v>
      </c>
      <c r="B5" s="45" t="str">
        <f>INDEX(Data[],MATCH($A5,Data[AEA],0),MATCH(B$3,Data[#Headers],0))</f>
        <v>Prairie Lakes AEA 8</v>
      </c>
      <c r="C5" s="24">
        <f>INDEX(Data[],MATCH($A5,Data[AEA],0),MATCH(C$3,Data[#Headers],0))</f>
        <v>1632031</v>
      </c>
      <c r="D5" s="24">
        <f>INDEX(Data[],MATCH($A5,Data[AEA],0),MATCH(D$3,Data[#Headers],0))</f>
        <v>408011</v>
      </c>
      <c r="E5" s="24">
        <f>INDEX(Data[],MATCH($A5,Data[AEA],0),MATCH(E$3,Data[#Headers],0))</f>
        <v>408011</v>
      </c>
      <c r="F5" s="24">
        <f t="shared" ref="F5:F12" si="0">C5-E5</f>
        <v>1224020</v>
      </c>
      <c r="I5" t="s">
        <v>817</v>
      </c>
      <c r="J5" s="6">
        <v>408011</v>
      </c>
      <c r="K5" t="str">
        <f t="shared" ref="K5:K12" si="1">MID(I5,3,2)</f>
        <v>05</v>
      </c>
      <c r="L5" s="6">
        <f t="shared" ref="L5:L12" si="2">INDEX($A$4:$F$12,MATCH(K5,$A$4:$A$12,0),4)-J5</f>
        <v>0</v>
      </c>
    </row>
    <row r="6" spans="1:12" x14ac:dyDescent="0.25">
      <c r="A6" s="44" t="str">
        <f>Data!A4</f>
        <v>07</v>
      </c>
      <c r="B6" s="45" t="str">
        <f>INDEX(Data[],MATCH($A6,Data[AEA],0),MATCH(B$3,Data[#Headers],0))</f>
        <v>Central Rivers</v>
      </c>
      <c r="C6" s="24">
        <f>INDEX(Data[],MATCH($A6,Data[AEA],0),MATCH(C$3,Data[#Headers],0))</f>
        <v>3658632</v>
      </c>
      <c r="D6" s="24">
        <f>INDEX(Data[],MATCH($A6,Data[AEA],0),MATCH(D$3,Data[#Headers],0))</f>
        <v>914663</v>
      </c>
      <c r="E6" s="24">
        <f>INDEX(Data[],MATCH($A6,Data[AEA],0),MATCH(E$3,Data[#Headers],0))</f>
        <v>914663</v>
      </c>
      <c r="F6" s="24">
        <f t="shared" si="0"/>
        <v>2743969</v>
      </c>
      <c r="I6" t="s">
        <v>818</v>
      </c>
      <c r="J6" s="6">
        <v>914663</v>
      </c>
      <c r="K6" t="str">
        <f t="shared" si="1"/>
        <v>07</v>
      </c>
      <c r="L6" s="6">
        <f t="shared" si="2"/>
        <v>0</v>
      </c>
    </row>
    <row r="7" spans="1:12" x14ac:dyDescent="0.25">
      <c r="A7" s="44" t="str">
        <f>Data!A5</f>
        <v>09</v>
      </c>
      <c r="B7" s="45" t="str">
        <f>INDEX(Data[],MATCH($A7,Data[AEA],0),MATCH(B$3,Data[#Headers],0))</f>
        <v>Mississippi Bend AEA 9</v>
      </c>
      <c r="C7" s="24">
        <f>INDEX(Data[],MATCH($A7,Data[AEA],0),MATCH(C$3,Data[#Headers],0))</f>
        <v>2252743</v>
      </c>
      <c r="D7" s="24">
        <f>INDEX(Data[],MATCH($A7,Data[AEA],0),MATCH(D$3,Data[#Headers],0))</f>
        <v>563188</v>
      </c>
      <c r="E7" s="24">
        <f>INDEX(Data[],MATCH($A7,Data[AEA],0),MATCH(E$3,Data[#Headers],0))</f>
        <v>563188</v>
      </c>
      <c r="F7" s="24">
        <f t="shared" si="0"/>
        <v>1689555</v>
      </c>
      <c r="I7" t="s">
        <v>819</v>
      </c>
      <c r="J7" s="6">
        <v>563188</v>
      </c>
      <c r="K7" t="str">
        <f t="shared" si="1"/>
        <v>09</v>
      </c>
      <c r="L7" s="6">
        <f t="shared" si="2"/>
        <v>0</v>
      </c>
    </row>
    <row r="8" spans="1:12" x14ac:dyDescent="0.25">
      <c r="A8" s="44" t="str">
        <f>Data!A6</f>
        <v>10</v>
      </c>
      <c r="B8" s="45" t="str">
        <f>INDEX(Data[],MATCH($A8,Data[AEA],0),MATCH(B$3,Data[#Headers],0))</f>
        <v>Grant Wood AEA 10</v>
      </c>
      <c r="C8" s="24">
        <f>INDEX(Data[],MATCH($A8,Data[AEA],0),MATCH(C$3,Data[#Headers],0))</f>
        <v>3501518</v>
      </c>
      <c r="D8" s="24">
        <f>INDEX(Data[],MATCH($A8,Data[AEA],0),MATCH(D$3,Data[#Headers],0))</f>
        <v>875382</v>
      </c>
      <c r="E8" s="24">
        <f>INDEX(Data[],MATCH($A8,Data[AEA],0),MATCH(E$3,Data[#Headers],0))</f>
        <v>875382</v>
      </c>
      <c r="F8" s="24">
        <f t="shared" si="0"/>
        <v>2626136</v>
      </c>
      <c r="I8" t="s">
        <v>820</v>
      </c>
      <c r="J8" s="6">
        <v>875382</v>
      </c>
      <c r="K8" t="str">
        <f t="shared" si="1"/>
        <v>10</v>
      </c>
      <c r="L8" s="6">
        <f t="shared" si="2"/>
        <v>0</v>
      </c>
    </row>
    <row r="9" spans="1:12" x14ac:dyDescent="0.25">
      <c r="A9" s="44" t="str">
        <f>Data!A7</f>
        <v>11</v>
      </c>
      <c r="B9" s="45" t="str">
        <f>INDEX(Data[],MATCH($A9,Data[AEA],0),MATCH(B$3,Data[#Headers],0))</f>
        <v>Heartland AEA 11</v>
      </c>
      <c r="C9" s="24">
        <f>INDEX(Data[],MATCH($A9,Data[AEA],0),MATCH(C$3,Data[#Headers],0))</f>
        <v>6705538</v>
      </c>
      <c r="D9" s="24">
        <f>INDEX(Data[],MATCH($A9,Data[AEA],0),MATCH(D$3,Data[#Headers],0))</f>
        <v>1676392</v>
      </c>
      <c r="E9" s="24">
        <f>INDEX(Data[],MATCH($A9,Data[AEA],0),MATCH(E$3,Data[#Headers],0))</f>
        <v>1676392</v>
      </c>
      <c r="F9" s="24">
        <f t="shared" si="0"/>
        <v>5029146</v>
      </c>
      <c r="I9" t="s">
        <v>821</v>
      </c>
      <c r="J9" s="6">
        <v>1676392</v>
      </c>
      <c r="K9" t="str">
        <f t="shared" si="1"/>
        <v>11</v>
      </c>
      <c r="L9" s="6">
        <f t="shared" si="2"/>
        <v>0</v>
      </c>
    </row>
    <row r="10" spans="1:12" x14ac:dyDescent="0.25">
      <c r="A10" s="44" t="str">
        <f>Data!A8</f>
        <v>12</v>
      </c>
      <c r="B10" s="45" t="str">
        <f>INDEX(Data[],MATCH($A10,Data[AEA],0),MATCH(B$3,Data[#Headers],0))</f>
        <v>Northwest AEA</v>
      </c>
      <c r="C10" s="24">
        <f>INDEX(Data[],MATCH($A10,Data[AEA],0),MATCH(C$3,Data[#Headers],0))</f>
        <v>2479238</v>
      </c>
      <c r="D10" s="24">
        <f>INDEX(Data[],MATCH($A10,Data[AEA],0),MATCH(D$3,Data[#Headers],0))</f>
        <v>619815</v>
      </c>
      <c r="E10" s="24">
        <f>INDEX(Data[],MATCH($A10,Data[AEA],0),MATCH(E$3,Data[#Headers],0))</f>
        <v>619815</v>
      </c>
      <c r="F10" s="24">
        <f t="shared" si="0"/>
        <v>1859423</v>
      </c>
      <c r="I10" t="s">
        <v>822</v>
      </c>
      <c r="J10" s="6">
        <v>619815</v>
      </c>
      <c r="K10" t="str">
        <f t="shared" si="1"/>
        <v>12</v>
      </c>
      <c r="L10" s="6">
        <f t="shared" si="2"/>
        <v>0</v>
      </c>
    </row>
    <row r="11" spans="1:12" x14ac:dyDescent="0.25">
      <c r="A11" s="44" t="str">
        <f>Data!A9</f>
        <v>13</v>
      </c>
      <c r="B11" s="45" t="str">
        <f>INDEX(Data[],MATCH($A11,Data[AEA],0),MATCH(B$3,Data[#Headers],0))</f>
        <v>Green Hills AEA 13</v>
      </c>
      <c r="C11" s="24">
        <f>INDEX(Data[],MATCH($A11,Data[AEA],0),MATCH(C$3,Data[#Headers],0))</f>
        <v>1742503</v>
      </c>
      <c r="D11" s="24">
        <f>INDEX(Data[],MATCH($A11,Data[AEA],0),MATCH(D$3,Data[#Headers],0))</f>
        <v>435631</v>
      </c>
      <c r="E11" s="24">
        <f>INDEX(Data[],MATCH($A11,Data[AEA],0),MATCH(E$3,Data[#Headers],0))</f>
        <v>435631</v>
      </c>
      <c r="F11" s="24">
        <f t="shared" si="0"/>
        <v>1306872</v>
      </c>
      <c r="I11" t="s">
        <v>823</v>
      </c>
      <c r="J11" s="6">
        <v>435631</v>
      </c>
      <c r="K11" t="str">
        <f t="shared" si="1"/>
        <v>13</v>
      </c>
      <c r="L11" s="6">
        <f t="shared" si="2"/>
        <v>0</v>
      </c>
    </row>
    <row r="12" spans="1:12" x14ac:dyDescent="0.25">
      <c r="A12" s="44" t="str">
        <f>Data!A10</f>
        <v>15</v>
      </c>
      <c r="B12" s="45" t="str">
        <f>INDEX(Data[],MATCH($A12,Data[AEA],0),MATCH(B$3,Data[#Headers],0))</f>
        <v>Great Prairie AEA 15</v>
      </c>
      <c r="C12" s="24">
        <f>INDEX(Data[],MATCH($A12,Data[AEA],0),MATCH(C$3,Data[#Headers],0))</f>
        <v>1594176</v>
      </c>
      <c r="D12" s="24">
        <f>INDEX(Data[],MATCH($A12,Data[AEA],0),MATCH(D$3,Data[#Headers],0))</f>
        <v>398547</v>
      </c>
      <c r="E12" s="24">
        <f>INDEX(Data[],MATCH($A12,Data[AEA],0),MATCH(E$3,Data[#Headers],0))</f>
        <v>398547</v>
      </c>
      <c r="F12" s="24">
        <f t="shared" si="0"/>
        <v>1195629</v>
      </c>
      <c r="I12" t="s">
        <v>824</v>
      </c>
      <c r="J12" s="6">
        <v>398547</v>
      </c>
      <c r="K12" t="str">
        <f t="shared" si="1"/>
        <v>15</v>
      </c>
      <c r="L12" s="6">
        <f t="shared" si="2"/>
        <v>0</v>
      </c>
    </row>
    <row r="13" spans="1:12" ht="15.75" thickBot="1" x14ac:dyDescent="0.3">
      <c r="A13" s="39"/>
      <c r="B13" s="39"/>
      <c r="C13" s="51">
        <f>SUM(C4:C12)</f>
        <v>25341258</v>
      </c>
      <c r="D13" s="51">
        <f t="shared" ref="D13:F13" si="3">SUM(D4:D12)</f>
        <v>6335351</v>
      </c>
      <c r="E13" s="51">
        <f t="shared" si="3"/>
        <v>6335351</v>
      </c>
      <c r="F13" s="51">
        <f t="shared" si="3"/>
        <v>19005907</v>
      </c>
      <c r="J13" s="6">
        <f>SUM(J4:J12)</f>
        <v>6335351</v>
      </c>
    </row>
    <row r="14" spans="1:12" ht="15.75" thickTop="1" x14ac:dyDescent="0.25"/>
    <row r="17" spans="9:12" x14ac:dyDescent="0.25">
      <c r="I17" t="s">
        <v>747</v>
      </c>
      <c r="J17" s="6" t="s">
        <v>1</v>
      </c>
      <c r="L17" s="29" t="s">
        <v>749</v>
      </c>
    </row>
    <row r="18" spans="9:12" x14ac:dyDescent="0.25">
      <c r="I18">
        <v>92010000</v>
      </c>
      <c r="J18" s="6">
        <v>443713</v>
      </c>
      <c r="K18" t="str">
        <f>MID(I18,3,2)</f>
        <v>01</v>
      </c>
      <c r="L18" s="6">
        <f>INDEX($A$4:$F$12,MATCH(K18,$A$4:$A$12,0),4)-J18</f>
        <v>9</v>
      </c>
    </row>
    <row r="19" spans="9:12" x14ac:dyDescent="0.25">
      <c r="I19">
        <v>92050000</v>
      </c>
      <c r="J19" s="6">
        <v>407998</v>
      </c>
      <c r="K19" t="str">
        <f t="shared" ref="K19:K26" si="4">MID(I19,3,2)</f>
        <v>05</v>
      </c>
      <c r="L19" s="6">
        <f t="shared" ref="L19:L26" si="5">INDEX($A$4:$F$12,MATCH(K19,$A$4:$A$12,0),4)-J19</f>
        <v>13</v>
      </c>
    </row>
    <row r="20" spans="9:12" x14ac:dyDescent="0.25">
      <c r="I20">
        <v>92070000</v>
      </c>
      <c r="J20" s="6">
        <v>914643</v>
      </c>
      <c r="K20" t="str">
        <f t="shared" si="4"/>
        <v>07</v>
      </c>
      <c r="L20" s="6">
        <f t="shared" si="5"/>
        <v>20</v>
      </c>
    </row>
    <row r="21" spans="9:12" x14ac:dyDescent="0.25">
      <c r="I21">
        <v>92090000</v>
      </c>
      <c r="J21" s="6">
        <v>563179</v>
      </c>
      <c r="K21" t="str">
        <f t="shared" si="4"/>
        <v>09</v>
      </c>
      <c r="L21" s="6">
        <f t="shared" si="5"/>
        <v>9</v>
      </c>
    </row>
    <row r="22" spans="9:12" x14ac:dyDescent="0.25">
      <c r="I22">
        <v>92100000</v>
      </c>
      <c r="J22" s="6">
        <v>875372</v>
      </c>
      <c r="K22" t="str">
        <f t="shared" si="4"/>
        <v>10</v>
      </c>
      <c r="L22" s="6">
        <f t="shared" si="5"/>
        <v>10</v>
      </c>
    </row>
    <row r="23" spans="9:12" x14ac:dyDescent="0.25">
      <c r="I23">
        <v>92110000</v>
      </c>
      <c r="J23" s="6">
        <v>1676362</v>
      </c>
      <c r="K23" t="str">
        <f t="shared" si="4"/>
        <v>11</v>
      </c>
      <c r="L23" s="6">
        <f t="shared" si="5"/>
        <v>30</v>
      </c>
    </row>
    <row r="24" spans="9:12" x14ac:dyDescent="0.25">
      <c r="I24">
        <v>92120000</v>
      </c>
      <c r="J24" s="6">
        <v>619793</v>
      </c>
      <c r="K24" t="str">
        <f t="shared" si="4"/>
        <v>12</v>
      </c>
      <c r="L24" s="6">
        <f t="shared" si="5"/>
        <v>22</v>
      </c>
    </row>
    <row r="25" spans="9:12" x14ac:dyDescent="0.25">
      <c r="I25">
        <v>92130000</v>
      </c>
      <c r="J25" s="6">
        <v>435610</v>
      </c>
      <c r="K25" t="str">
        <f t="shared" si="4"/>
        <v>13</v>
      </c>
      <c r="L25" s="6">
        <f t="shared" si="5"/>
        <v>21</v>
      </c>
    </row>
    <row r="26" spans="9:12" x14ac:dyDescent="0.25">
      <c r="I26">
        <v>92150000</v>
      </c>
      <c r="J26" s="6">
        <v>398535</v>
      </c>
      <c r="K26" t="str">
        <f t="shared" si="4"/>
        <v>15</v>
      </c>
      <c r="L26" s="6">
        <f t="shared" si="5"/>
        <v>12</v>
      </c>
    </row>
    <row r="27" spans="9:12" x14ac:dyDescent="0.25">
      <c r="J27" s="6">
        <f>SUM(J18:J26)</f>
        <v>6335205</v>
      </c>
      <c r="L27" s="6"/>
    </row>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topLeftCell="A6" zoomScale="90" zoomScaleNormal="90" workbookViewId="0">
      <selection activeCell="C41" sqref="C4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83" t="str">
        <f>_xlfn.CONCAT("FY ",K2," AEA Enrollments and Cost - Final - State Aid and Property Tax Breakdown")</f>
        <v>FY 2027 AEA Enrollments and Cost - Final - State Aid and Property Tax Breakdown</v>
      </c>
      <c r="B1" s="83"/>
      <c r="C1" s="83"/>
      <c r="D1" s="83"/>
      <c r="E1" s="83"/>
      <c r="F1" s="83"/>
      <c r="G1" s="83"/>
      <c r="H1" s="83"/>
      <c r="I1" s="83"/>
    </row>
    <row r="2" spans="1:11" s="10" customFormat="1" ht="45" x14ac:dyDescent="0.25">
      <c r="A2" s="7" t="s">
        <v>31</v>
      </c>
      <c r="B2" s="7" t="s">
        <v>32</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33" t="str">
        <f>Data_Detail_OLD[[#Headers],[Special Education Property Tax Portion]]</f>
        <v>Special Education Property Tax Portion</v>
      </c>
      <c r="H2" s="33"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2027</v>
      </c>
    </row>
    <row r="3" spans="1:11" x14ac:dyDescent="0.25">
      <c r="A3" s="18" t="str">
        <f>Data!A2</f>
        <v>01</v>
      </c>
      <c r="B3" s="11" t="str">
        <f>INDEX(Data_Detail_OLD[],MATCH('PaymentCodingDetailCheck-old'!$A3,Data_Detail_OLD[AEA],0),3)</f>
        <v>Keystone AEA 1</v>
      </c>
      <c r="C3" s="12" t="e">
        <f>('PaymentCodingDetai_Sept-May-old'!C3*9)+'PaymentCodingDetail_June-old'!C3-'PaymentCodingTotal-old'!C3</f>
        <v>#DIV/0!</v>
      </c>
      <c r="D3" s="12" t="e">
        <f>('PaymentCodingDetai_Sept-May-old'!D3*9)+'PaymentCodingDetail_June-old'!D3-'PaymentCodingTotal-old'!D3</f>
        <v>#DIV/0!</v>
      </c>
      <c r="E3" s="12" t="e">
        <f>('PaymentCodingDetai_Sept-May-old'!E3*9)+'PaymentCodingDetail_June-old'!E3-'PaymentCodingTotal-old'!E3</f>
        <v>#DIV/0!</v>
      </c>
      <c r="F3" s="22" t="e">
        <f>('PaymentCodingDetai_Sept-May-old'!F3*9)+'PaymentCodingDetail_June-old'!F3-'PaymentCodingTotal-old'!F3</f>
        <v>#DIV/0!</v>
      </c>
      <c r="G3" s="34" t="e">
        <f>('PaymentCodingDetai_Sept-May-old'!G3*9)+'PaymentCodingDetail_June-old'!G3-'PaymentCodingTotal-old'!G3</f>
        <v>#DIV/0!</v>
      </c>
      <c r="H3" s="34" t="e">
        <f>('PaymentCodingDetai_Sept-May-old'!H3*9)+'PaymentCodingDetail_June-old'!H3-'PaymentCodingTotal-old'!H3</f>
        <v>#DIV/0!</v>
      </c>
      <c r="I3" s="12" t="e">
        <f>('PaymentCodingDetai_Sept-May-old'!I3*9)+'PaymentCodingDetail_June-old'!I3-'PaymentCodingTotal-old'!I3</f>
        <v>#DIV/0!</v>
      </c>
      <c r="K3" s="6" t="e">
        <f>G12+D24+H12+C36+D36-G36</f>
        <v>#DIV/0!</v>
      </c>
    </row>
    <row r="4" spans="1:11" x14ac:dyDescent="0.25">
      <c r="A4" s="18" t="str">
        <f>Data!A3</f>
        <v>05</v>
      </c>
      <c r="B4" s="11" t="str">
        <f>INDEX(Data_Detail_OLD[],MATCH('PaymentCodingDetailCheck-old'!$A4,Data_Detail_OLD[AEA],0),3)</f>
        <v>Prairie Lakes AEA 8</v>
      </c>
      <c r="C4" s="12" t="e">
        <f>('PaymentCodingDetai_Sept-May-old'!C4*9)+'PaymentCodingDetail_June-old'!C4-'PaymentCodingTotal-old'!C4</f>
        <v>#DIV/0!</v>
      </c>
      <c r="D4" s="12" t="e">
        <f>('PaymentCodingDetai_Sept-May-old'!D4*9)+'PaymentCodingDetail_June-old'!D4-'PaymentCodingTotal-old'!D4</f>
        <v>#DIV/0!</v>
      </c>
      <c r="E4" s="12" t="e">
        <f>('PaymentCodingDetai_Sept-May-old'!E4*9)+'PaymentCodingDetail_June-old'!E4-'PaymentCodingTotal-old'!E4</f>
        <v>#DIV/0!</v>
      </c>
      <c r="F4" s="22" t="e">
        <f>('PaymentCodingDetai_Sept-May-old'!F4*9)+'PaymentCodingDetail_June-old'!F4-'PaymentCodingTotal-old'!F4</f>
        <v>#DIV/0!</v>
      </c>
      <c r="G4" s="34" t="e">
        <f>('PaymentCodingDetai_Sept-May-old'!G4*9)+'PaymentCodingDetail_June-old'!G4-'PaymentCodingTotal-old'!G4</f>
        <v>#DIV/0!</v>
      </c>
      <c r="H4" s="34" t="e">
        <f>('PaymentCodingDetai_Sept-May-old'!H4*9)+'PaymentCodingDetail_June-old'!H4-'PaymentCodingTotal-old'!H4</f>
        <v>#DIV/0!</v>
      </c>
      <c r="I4" s="12" t="e">
        <f>('PaymentCodingDetai_Sept-May-old'!I4*9)+'PaymentCodingDetail_June-old'!I4-'PaymentCodingTotal-old'!I4</f>
        <v>#DIV/0!</v>
      </c>
      <c r="K4" s="6" t="e">
        <f>F12+C24+F24+G24-F36</f>
        <v>#DIV/0!</v>
      </c>
    </row>
    <row r="5" spans="1:11" x14ac:dyDescent="0.25">
      <c r="A5" s="18" t="str">
        <f>Data!A4</f>
        <v>07</v>
      </c>
      <c r="B5" s="11" t="str">
        <f>INDEX(Data_Detail_OLD[],MATCH('PaymentCodingDetailCheck-old'!$A5,Data_Detail_OLD[AEA],0),3)</f>
        <v>Central Rivers</v>
      </c>
      <c r="C5" s="12" t="e">
        <f>('PaymentCodingDetai_Sept-May-old'!C5*9)+'PaymentCodingDetail_June-old'!C5-'PaymentCodingTotal-old'!C5</f>
        <v>#DIV/0!</v>
      </c>
      <c r="D5" s="12" t="e">
        <f>('PaymentCodingDetai_Sept-May-old'!D5*9)+'PaymentCodingDetail_June-old'!D5-'PaymentCodingTotal-old'!D5</f>
        <v>#DIV/0!</v>
      </c>
      <c r="E5" s="12" t="e">
        <f>('PaymentCodingDetai_Sept-May-old'!E5*9)+'PaymentCodingDetail_June-old'!E5-'PaymentCodingTotal-old'!E5</f>
        <v>#DIV/0!</v>
      </c>
      <c r="F5" s="22" t="e">
        <f>('PaymentCodingDetai_Sept-May-old'!F5*9)+'PaymentCodingDetail_June-old'!F5-'PaymentCodingTotal-old'!F5</f>
        <v>#DIV/0!</v>
      </c>
      <c r="G5" s="34" t="e">
        <f>('PaymentCodingDetai_Sept-May-old'!G5*9)+'PaymentCodingDetail_June-old'!G5-'PaymentCodingTotal-old'!G5</f>
        <v>#DIV/0!</v>
      </c>
      <c r="H5" s="34" t="e">
        <f>('PaymentCodingDetai_Sept-May-old'!H5*9)+'PaymentCodingDetail_June-old'!H5-'PaymentCodingTotal-old'!H5</f>
        <v>#DIV/0!</v>
      </c>
      <c r="I5" s="12" t="e">
        <f>('PaymentCodingDetai_Sept-May-old'!I5*9)+'PaymentCodingDetail_June-old'!I5-'PaymentCodingTotal-old'!I5</f>
        <v>#DIV/0!</v>
      </c>
      <c r="K5" s="6" t="e">
        <f>F12+E12-D12</f>
        <v>#DIV/0!</v>
      </c>
    </row>
    <row r="6" spans="1:11" x14ac:dyDescent="0.25">
      <c r="A6" s="18" t="str">
        <f>Data!A5</f>
        <v>09</v>
      </c>
      <c r="B6" s="11" t="str">
        <f>INDEX(Data_Detail_OLD[],MATCH('PaymentCodingDetailCheck-old'!$A6,Data_Detail_OLD[AEA],0),3)</f>
        <v>Mississippi Bend AEA 9</v>
      </c>
      <c r="C6" s="12" t="e">
        <f>('PaymentCodingDetai_Sept-May-old'!C6*9)+'PaymentCodingDetail_June-old'!C6-'PaymentCodingTotal-old'!C6</f>
        <v>#DIV/0!</v>
      </c>
      <c r="D6" s="12" t="e">
        <f>('PaymentCodingDetai_Sept-May-old'!D6*9)+'PaymentCodingDetail_June-old'!D6-'PaymentCodingTotal-old'!D6</f>
        <v>#DIV/0!</v>
      </c>
      <c r="E6" s="12" t="e">
        <f>('PaymentCodingDetai_Sept-May-old'!E6*9)+'PaymentCodingDetail_June-old'!E6-'PaymentCodingTotal-old'!E6</f>
        <v>#DIV/0!</v>
      </c>
      <c r="F6" s="22" t="e">
        <f>('PaymentCodingDetai_Sept-May-old'!F6*9)+'PaymentCodingDetail_June-old'!F6-'PaymentCodingTotal-old'!F6</f>
        <v>#DIV/0!</v>
      </c>
      <c r="G6" s="34" t="e">
        <f>('PaymentCodingDetai_Sept-May-old'!G6*9)+'PaymentCodingDetail_June-old'!G6-'PaymentCodingTotal-old'!G6</f>
        <v>#DIV/0!</v>
      </c>
      <c r="H6" s="34" t="e">
        <f>('PaymentCodingDetai_Sept-May-old'!H6*9)+'PaymentCodingDetail_June-old'!H6-'PaymentCodingTotal-old'!H6</f>
        <v>#DIV/0!</v>
      </c>
      <c r="I6" s="12" t="e">
        <f>('PaymentCodingDetai_Sept-May-old'!I6*9)+'PaymentCodingDetail_June-old'!I6-'PaymentCodingTotal-old'!I6</f>
        <v>#DIV/0!</v>
      </c>
      <c r="K6" s="6" t="e">
        <f>H12+G12+F12-I12</f>
        <v>#DIV/0!</v>
      </c>
    </row>
    <row r="7" spans="1:11" x14ac:dyDescent="0.25">
      <c r="A7" s="18" t="str">
        <f>Data!A6</f>
        <v>10</v>
      </c>
      <c r="B7" s="11" t="str">
        <f>INDEX(Data_Detail_OLD[],MATCH('PaymentCodingDetailCheck-old'!$A7,Data_Detail_OLD[AEA],0),3)</f>
        <v>Grant Wood AEA 10</v>
      </c>
      <c r="C7" s="12" t="e">
        <f>('PaymentCodingDetai_Sept-May-old'!C7*9)+'PaymentCodingDetail_June-old'!C7-'PaymentCodingTotal-old'!C7</f>
        <v>#DIV/0!</v>
      </c>
      <c r="D7" s="12" t="e">
        <f>('PaymentCodingDetai_Sept-May-old'!D7*9)+'PaymentCodingDetail_June-old'!D7-'PaymentCodingTotal-old'!D7</f>
        <v>#DIV/0!</v>
      </c>
      <c r="E7" s="12" t="e">
        <f>('PaymentCodingDetai_Sept-May-old'!E7*9)+'PaymentCodingDetail_June-old'!E7-'PaymentCodingTotal-old'!E7</f>
        <v>#DIV/0!</v>
      </c>
      <c r="F7" s="22" t="e">
        <f>('PaymentCodingDetai_Sept-May-old'!F7*9)+'PaymentCodingDetail_June-old'!F7-'PaymentCodingTotal-old'!F7</f>
        <v>#DIV/0!</v>
      </c>
      <c r="G7" s="34" t="e">
        <f>('PaymentCodingDetai_Sept-May-old'!G7*9)+'PaymentCodingDetail_June-old'!G7-'PaymentCodingTotal-old'!G7</f>
        <v>#DIV/0!</v>
      </c>
      <c r="H7" s="34" t="e">
        <f>('PaymentCodingDetai_Sept-May-old'!H7*9)+'PaymentCodingDetail_June-old'!H7-'PaymentCodingTotal-old'!H7</f>
        <v>#DIV/0!</v>
      </c>
      <c r="I7" s="12" t="e">
        <f>('PaymentCodingDetai_Sept-May-old'!I7*9)+'PaymentCodingDetail_June-old'!I7-'PaymentCodingTotal-old'!I7</f>
        <v>#DIV/0!</v>
      </c>
      <c r="K7" s="6" t="e">
        <f>C24+D24-E24</f>
        <v>#DIV/0!</v>
      </c>
    </row>
    <row r="8" spans="1:11" x14ac:dyDescent="0.25">
      <c r="A8" s="18" t="str">
        <f>Data!A7</f>
        <v>11</v>
      </c>
      <c r="B8" s="11" t="str">
        <f>INDEX(Data_Detail_OLD[],MATCH('PaymentCodingDetailCheck-old'!$A8,Data_Detail_OLD[AEA],0),3)</f>
        <v>Heartland AEA 11</v>
      </c>
      <c r="C8" s="12" t="e">
        <f>('PaymentCodingDetai_Sept-May-old'!C8*9)+'PaymentCodingDetail_June-old'!C8-'PaymentCodingTotal-old'!C8</f>
        <v>#DIV/0!</v>
      </c>
      <c r="D8" s="12" t="e">
        <f>('PaymentCodingDetai_Sept-May-old'!D8*9)+'PaymentCodingDetail_June-old'!D8-'PaymentCodingTotal-old'!D8</f>
        <v>#DIV/0!</v>
      </c>
      <c r="E8" s="12" t="e">
        <f>('PaymentCodingDetai_Sept-May-old'!E8*9)+'PaymentCodingDetail_June-old'!E8-'PaymentCodingTotal-old'!E8</f>
        <v>#DIV/0!</v>
      </c>
      <c r="F8" s="22" t="e">
        <f>('PaymentCodingDetai_Sept-May-old'!F8*9)+'PaymentCodingDetail_June-old'!F8-'PaymentCodingTotal-old'!F8</f>
        <v>#DIV/0!</v>
      </c>
      <c r="G8" s="34" t="e">
        <f>('PaymentCodingDetai_Sept-May-old'!G8*9)+'PaymentCodingDetail_June-old'!G8-'PaymentCodingTotal-old'!G8</f>
        <v>#DIV/0!</v>
      </c>
      <c r="H8" s="34" t="e">
        <f>('PaymentCodingDetai_Sept-May-old'!H8*9)+'PaymentCodingDetail_June-old'!H8-'PaymentCodingTotal-old'!H8</f>
        <v>#DIV/0!</v>
      </c>
      <c r="I8" s="12" t="e">
        <f>('PaymentCodingDetai_Sept-May-old'!I8*9)+'PaymentCodingDetail_June-old'!I8-'PaymentCodingTotal-old'!I8</f>
        <v>#DIV/0!</v>
      </c>
    </row>
    <row r="9" spans="1:11" x14ac:dyDescent="0.25">
      <c r="A9" s="18" t="str">
        <f>Data!A8</f>
        <v>12</v>
      </c>
      <c r="B9" s="11" t="str">
        <f>INDEX(Data_Detail_OLD[],MATCH('PaymentCodingDetailCheck-old'!$A9,Data_Detail_OLD[AEA],0),3)</f>
        <v>Northwest AEA</v>
      </c>
      <c r="C9" s="12" t="e">
        <f>('PaymentCodingDetai_Sept-May-old'!C9*9)+'PaymentCodingDetail_June-old'!C9-'PaymentCodingTotal-old'!C9</f>
        <v>#DIV/0!</v>
      </c>
      <c r="D9" s="12" t="e">
        <f>('PaymentCodingDetai_Sept-May-old'!D9*9)+'PaymentCodingDetail_June-old'!D9-'PaymentCodingTotal-old'!D9</f>
        <v>#DIV/0!</v>
      </c>
      <c r="E9" s="12" t="e">
        <f>('PaymentCodingDetai_Sept-May-old'!E9*9)+'PaymentCodingDetail_June-old'!E9-'PaymentCodingTotal-old'!E9</f>
        <v>#DIV/0!</v>
      </c>
      <c r="F9" s="22" t="e">
        <f>('PaymentCodingDetai_Sept-May-old'!F9*9)+'PaymentCodingDetail_June-old'!F9-'PaymentCodingTotal-old'!F9</f>
        <v>#DIV/0!</v>
      </c>
      <c r="G9" s="34" t="e">
        <f>('PaymentCodingDetai_Sept-May-old'!G9*9)+'PaymentCodingDetail_June-old'!G9-'PaymentCodingTotal-old'!G9</f>
        <v>#DIV/0!</v>
      </c>
      <c r="H9" s="34" t="e">
        <f>('PaymentCodingDetai_Sept-May-old'!H9*9)+'PaymentCodingDetail_June-old'!H9-'PaymentCodingTotal-old'!H9</f>
        <v>#DIV/0!</v>
      </c>
      <c r="I9" s="12" t="e">
        <f>('PaymentCodingDetai_Sept-May-old'!I9*9)+'PaymentCodingDetail_June-old'!I9-'PaymentCodingTotal-old'!I9</f>
        <v>#DIV/0!</v>
      </c>
    </row>
    <row r="10" spans="1:11" x14ac:dyDescent="0.25">
      <c r="A10" s="18" t="str">
        <f>Data!A9</f>
        <v>13</v>
      </c>
      <c r="B10" s="11" t="str">
        <f>INDEX(Data_Detail_OLD[],MATCH('PaymentCodingDetailCheck-old'!$A10,Data_Detail_OLD[AEA],0),3)</f>
        <v>Green Hills AEA 13</v>
      </c>
      <c r="C10" s="12" t="e">
        <f>('PaymentCodingDetai_Sept-May-old'!C10*9)+'PaymentCodingDetail_June-old'!C10-'PaymentCodingTotal-old'!C10</f>
        <v>#DIV/0!</v>
      </c>
      <c r="D10" s="12" t="e">
        <f>('PaymentCodingDetai_Sept-May-old'!D10*9)+'PaymentCodingDetail_June-old'!D10-'PaymentCodingTotal-old'!D10</f>
        <v>#DIV/0!</v>
      </c>
      <c r="E10" s="12" t="e">
        <f>('PaymentCodingDetai_Sept-May-old'!E10*9)+'PaymentCodingDetail_June-old'!E10-'PaymentCodingTotal-old'!E10</f>
        <v>#DIV/0!</v>
      </c>
      <c r="F10" s="22" t="e">
        <f>('PaymentCodingDetai_Sept-May-old'!F10*9)+'PaymentCodingDetail_June-old'!F10-'PaymentCodingTotal-old'!F10</f>
        <v>#DIV/0!</v>
      </c>
      <c r="G10" s="34" t="e">
        <f>('PaymentCodingDetai_Sept-May-old'!G10*9)+'PaymentCodingDetail_June-old'!G10-'PaymentCodingTotal-old'!G10</f>
        <v>#DIV/0!</v>
      </c>
      <c r="H10" s="34" t="e">
        <f>('PaymentCodingDetai_Sept-May-old'!H10*9)+'PaymentCodingDetail_June-old'!H10-'PaymentCodingTotal-old'!H10</f>
        <v>#DIV/0!</v>
      </c>
      <c r="I10" s="12" t="e">
        <f>('PaymentCodingDetai_Sept-May-old'!I10*9)+'PaymentCodingDetail_June-old'!I10-'PaymentCodingTotal-old'!I10</f>
        <v>#DIV/0!</v>
      </c>
    </row>
    <row r="11" spans="1:11" x14ac:dyDescent="0.25">
      <c r="A11" s="18" t="str">
        <f>Data!A10</f>
        <v>15</v>
      </c>
      <c r="B11" s="11" t="str">
        <f>INDEX(Data_Detail_OLD[],MATCH('PaymentCodingDetailCheck-old'!$A11,Data_Detail_OLD[AEA],0),3)</f>
        <v>Great Prairie AEA 15</v>
      </c>
      <c r="C11" s="12" t="e">
        <f>('PaymentCodingDetai_Sept-May-old'!C11*9)+'PaymentCodingDetail_June-old'!C11-'PaymentCodingTotal-old'!C11</f>
        <v>#DIV/0!</v>
      </c>
      <c r="D11" s="12" t="e">
        <f>('PaymentCodingDetai_Sept-May-old'!D11*9)+'PaymentCodingDetail_June-old'!D11-'PaymentCodingTotal-old'!D11</f>
        <v>#DIV/0!</v>
      </c>
      <c r="E11" s="12" t="e">
        <f>('PaymentCodingDetai_Sept-May-old'!E11*9)+'PaymentCodingDetail_June-old'!E11-'PaymentCodingTotal-old'!E11</f>
        <v>#DIV/0!</v>
      </c>
      <c r="F11" s="22" t="e">
        <f>('PaymentCodingDetai_Sept-May-old'!F11*9)+'PaymentCodingDetail_June-old'!F11-'PaymentCodingTotal-old'!F11</f>
        <v>#DIV/0!</v>
      </c>
      <c r="G11" s="34" t="e">
        <f>('PaymentCodingDetai_Sept-May-old'!G11*9)+'PaymentCodingDetail_June-old'!G11-'PaymentCodingTotal-old'!G11</f>
        <v>#DIV/0!</v>
      </c>
      <c r="H11" s="34" t="e">
        <f>('PaymentCodingDetai_Sept-May-old'!H11*9)+'PaymentCodingDetail_June-old'!H11-'PaymentCodingTotal-old'!H11</f>
        <v>#DIV/0!</v>
      </c>
      <c r="I11" s="12" t="e">
        <f>('PaymentCodingDetai_Sept-May-old'!I11*9)+'PaymentCodingDetail_June-old'!I11-'PaymentCodingTotal-old'!I11</f>
        <v>#DIV/0!</v>
      </c>
    </row>
    <row r="12" spans="1:11" ht="15.75" thickBot="1" x14ac:dyDescent="0.3">
      <c r="C12" s="13" t="e">
        <f>SUM(C3:C11)</f>
        <v>#DIV/0!</v>
      </c>
      <c r="D12" s="13" t="e">
        <f t="shared" ref="D12:I12" si="0">SUM(D3:D11)</f>
        <v>#DIV/0!</v>
      </c>
      <c r="E12" s="13" t="e">
        <f t="shared" si="0"/>
        <v>#DIV/0!</v>
      </c>
      <c r="F12" s="23" t="e">
        <f t="shared" si="0"/>
        <v>#DIV/0!</v>
      </c>
      <c r="G12" s="35" t="e">
        <f t="shared" si="0"/>
        <v>#DIV/0!</v>
      </c>
      <c r="H12" s="35" t="e">
        <f>SUM(H3:H11)</f>
        <v>#DIV/0!</v>
      </c>
      <c r="I12" s="16" t="e">
        <f t="shared" si="0"/>
        <v>#DIV/0!</v>
      </c>
    </row>
    <row r="13" spans="1:11" ht="7.5" customHeight="1" thickTop="1" x14ac:dyDescent="0.25"/>
    <row r="14" spans="1:11" ht="45" x14ac:dyDescent="0.25">
      <c r="A14" s="17" t="str">
        <f t="shared" ref="A14:B23" si="1">A2</f>
        <v>AEA</v>
      </c>
      <c r="B14" s="17" t="str">
        <f t="shared" si="1"/>
        <v>AEA Name</v>
      </c>
      <c r="C14" s="21" t="str">
        <f>Data_Detail_OLD[[#Headers],[State Aid Portion Sharing Operations]]</f>
        <v>State Aid Portion Sharing Operations</v>
      </c>
      <c r="D14" s="33" t="str">
        <f>Data_Detail_OLD[[#Headers],[Sharing Operations Property Tax]]</f>
        <v>Sharing Operations Property Tax</v>
      </c>
      <c r="E14" s="33" t="str">
        <f>Data_Detail_OLD[[#Headers],[Total AEA Sharing Operations]]</f>
        <v>Total AEA Sharing Operations</v>
      </c>
      <c r="F14" s="21" t="str">
        <f>Data_Detail_OLD[[#Headers],[AEA Teacher Salary Supplement District Cost]]</f>
        <v>AEA Teacher Salary Supplement District Cost</v>
      </c>
      <c r="G14" s="21" t="str">
        <f>Data_Detail_OLD[[#Headers],[AEA Professional Development Supplement District Cost]]</f>
        <v>AEA Professional Development Supplement District Cost</v>
      </c>
    </row>
    <row r="15" spans="1:11" x14ac:dyDescent="0.25">
      <c r="A15" s="11" t="str">
        <f t="shared" si="1"/>
        <v>01</v>
      </c>
      <c r="B15" s="11" t="str">
        <f t="shared" si="1"/>
        <v>Keystone AEA 1</v>
      </c>
      <c r="C15" s="22" t="e">
        <f>('PaymentCodingDetai_Sept-May-old'!C15*9)+'PaymentCodingDetail_June-old'!C15-'PaymentCodingTotal-old'!C15</f>
        <v>#DIV/0!</v>
      </c>
      <c r="D15" s="34" t="e">
        <f>('PaymentCodingDetai_Sept-May-old'!D15*9)+'PaymentCodingDetail_June-old'!D15-'PaymentCodingTotal-old'!D15</f>
        <v>#DIV/0!</v>
      </c>
      <c r="E15" s="34" t="e">
        <f>('PaymentCodingDetai_Sept-May-old'!E15*9)+'PaymentCodingDetail_June-old'!E15-'PaymentCodingTotal-old'!E15</f>
        <v>#DIV/0!</v>
      </c>
      <c r="F15" s="22" t="e">
        <f>('PaymentCodingDetai_Sept-May-old'!F15*9)+'PaymentCodingDetail_June-old'!F15-'PaymentCodingTotal-old'!F15</f>
        <v>#DIV/0!</v>
      </c>
      <c r="G15" s="22">
        <f>('PaymentCodingDetai_Sept-May-old'!G15*9)+'PaymentCodingDetail_June-old'!G15-'PaymentCodingTotal-old'!G15</f>
        <v>0</v>
      </c>
    </row>
    <row r="16" spans="1:11" x14ac:dyDescent="0.25">
      <c r="A16" s="11" t="str">
        <f t="shared" si="1"/>
        <v>05</v>
      </c>
      <c r="B16" s="11" t="str">
        <f t="shared" si="1"/>
        <v>Prairie Lakes AEA 8</v>
      </c>
      <c r="C16" s="22" t="e">
        <f>('PaymentCodingDetai_Sept-May-old'!C16*9)+'PaymentCodingDetail_June-old'!C16-'PaymentCodingTotal-old'!C16</f>
        <v>#DIV/0!</v>
      </c>
      <c r="D16" s="34" t="e">
        <f>('PaymentCodingDetai_Sept-May-old'!D16*9)+'PaymentCodingDetail_June-old'!D16-'PaymentCodingTotal-old'!D16</f>
        <v>#DIV/0!</v>
      </c>
      <c r="E16" s="34" t="e">
        <f>('PaymentCodingDetai_Sept-May-old'!E16*9)+'PaymentCodingDetail_June-old'!E16-'PaymentCodingTotal-old'!E16</f>
        <v>#DIV/0!</v>
      </c>
      <c r="F16" s="22" t="e">
        <f>('PaymentCodingDetai_Sept-May-old'!F16*9)+'PaymentCodingDetail_June-old'!F16-'PaymentCodingTotal-old'!F16</f>
        <v>#DIV/0!</v>
      </c>
      <c r="G16" s="22">
        <f>('PaymentCodingDetai_Sept-May-old'!G16*9)+'PaymentCodingDetail_June-old'!G16-'PaymentCodingTotal-old'!G16</f>
        <v>0</v>
      </c>
      <c r="H16" s="84" t="s">
        <v>62</v>
      </c>
    </row>
    <row r="17" spans="1:12" x14ac:dyDescent="0.25">
      <c r="A17" s="11" t="str">
        <f t="shared" si="1"/>
        <v>07</v>
      </c>
      <c r="B17" s="11" t="str">
        <f t="shared" si="1"/>
        <v>Central Rivers</v>
      </c>
      <c r="C17" s="22" t="e">
        <f>('PaymentCodingDetai_Sept-May-old'!C17*9)+'PaymentCodingDetail_June-old'!C17-'PaymentCodingTotal-old'!C17</f>
        <v>#DIV/0!</v>
      </c>
      <c r="D17" s="34" t="e">
        <f>('PaymentCodingDetai_Sept-May-old'!D17*9)+'PaymentCodingDetail_June-old'!D17-'PaymentCodingTotal-old'!D17</f>
        <v>#DIV/0!</v>
      </c>
      <c r="E17" s="34" t="e">
        <f>('PaymentCodingDetai_Sept-May-old'!E17*9)+'PaymentCodingDetail_June-old'!E17-'PaymentCodingTotal-old'!E17</f>
        <v>#DIV/0!</v>
      </c>
      <c r="F17" s="22" t="e">
        <f>('PaymentCodingDetai_Sept-May-old'!F17*9)+'PaymentCodingDetail_June-old'!F17-'PaymentCodingTotal-old'!F17</f>
        <v>#DIV/0!</v>
      </c>
      <c r="G17" s="22">
        <f>('PaymentCodingDetai_Sept-May-old'!G17*9)+'PaymentCodingDetail_June-old'!G17-'PaymentCodingTotal-old'!G17</f>
        <v>0</v>
      </c>
      <c r="H17" s="84"/>
    </row>
    <row r="18" spans="1:12" x14ac:dyDescent="0.25">
      <c r="A18" s="11" t="str">
        <f t="shared" si="1"/>
        <v>09</v>
      </c>
      <c r="B18" s="11" t="str">
        <f t="shared" si="1"/>
        <v>Mississippi Bend AEA 9</v>
      </c>
      <c r="C18" s="22" t="e">
        <f>('PaymentCodingDetai_Sept-May-old'!C18*9)+'PaymentCodingDetail_June-old'!C18-'PaymentCodingTotal-old'!C18</f>
        <v>#DIV/0!</v>
      </c>
      <c r="D18" s="34" t="e">
        <f>('PaymentCodingDetai_Sept-May-old'!D18*9)+'PaymentCodingDetail_June-old'!D18-'PaymentCodingTotal-old'!D18</f>
        <v>#DIV/0!</v>
      </c>
      <c r="E18" s="34" t="e">
        <f>('PaymentCodingDetai_Sept-May-old'!E18*9)+'PaymentCodingDetail_June-old'!E18-'PaymentCodingTotal-old'!E18</f>
        <v>#DIV/0!</v>
      </c>
      <c r="F18" s="22" t="e">
        <f>('PaymentCodingDetai_Sept-May-old'!F18*9)+'PaymentCodingDetail_June-old'!F18-'PaymentCodingTotal-old'!F18</f>
        <v>#DIV/0!</v>
      </c>
      <c r="G18" s="22">
        <f>('PaymentCodingDetai_Sept-May-old'!G18*9)+'PaymentCodingDetail_June-old'!G18-'PaymentCodingTotal-old'!G18</f>
        <v>0</v>
      </c>
      <c r="H18" s="85" t="s">
        <v>714</v>
      </c>
    </row>
    <row r="19" spans="1:12" x14ac:dyDescent="0.25">
      <c r="A19" s="11" t="str">
        <f t="shared" si="1"/>
        <v>10</v>
      </c>
      <c r="B19" s="11" t="str">
        <f t="shared" si="1"/>
        <v>Grant Wood AEA 10</v>
      </c>
      <c r="C19" s="22" t="e">
        <f>('PaymentCodingDetai_Sept-May-old'!C19*9)+'PaymentCodingDetail_June-old'!C19-'PaymentCodingTotal-old'!C19</f>
        <v>#DIV/0!</v>
      </c>
      <c r="D19" s="34" t="e">
        <f>('PaymentCodingDetai_Sept-May-old'!D19*9)+'PaymentCodingDetail_June-old'!D19-'PaymentCodingTotal-old'!D19</f>
        <v>#DIV/0!</v>
      </c>
      <c r="E19" s="34" t="e">
        <f>('PaymentCodingDetai_Sept-May-old'!E19*9)+'PaymentCodingDetail_June-old'!E19-'PaymentCodingTotal-old'!E19</f>
        <v>#DIV/0!</v>
      </c>
      <c r="F19" s="22" t="e">
        <f>('PaymentCodingDetai_Sept-May-old'!F19*9)+'PaymentCodingDetail_June-old'!F19-'PaymentCodingTotal-old'!F19</f>
        <v>#DIV/0!</v>
      </c>
      <c r="G19" s="22">
        <f>('PaymentCodingDetai_Sept-May-old'!G19*9)+'PaymentCodingDetail_June-old'!G19-'PaymentCodingTotal-old'!G19</f>
        <v>0</v>
      </c>
      <c r="H19" s="85"/>
    </row>
    <row r="20" spans="1:12" x14ac:dyDescent="0.25">
      <c r="A20" s="11" t="str">
        <f t="shared" si="1"/>
        <v>11</v>
      </c>
      <c r="B20" s="11" t="str">
        <f t="shared" si="1"/>
        <v>Heartland AEA 11</v>
      </c>
      <c r="C20" s="22" t="e">
        <f>('PaymentCodingDetai_Sept-May-old'!C20*9)+'PaymentCodingDetail_June-old'!C20-'PaymentCodingTotal-old'!C20</f>
        <v>#DIV/0!</v>
      </c>
      <c r="D20" s="34" t="e">
        <f>('PaymentCodingDetai_Sept-May-old'!D20*9)+'PaymentCodingDetail_June-old'!D20-'PaymentCodingTotal-old'!D20</f>
        <v>#DIV/0!</v>
      </c>
      <c r="E20" s="34" t="e">
        <f>('PaymentCodingDetai_Sept-May-old'!E20*9)+'PaymentCodingDetail_June-old'!E20-'PaymentCodingTotal-old'!E20</f>
        <v>#DIV/0!</v>
      </c>
      <c r="F20" s="22" t="e">
        <f>('PaymentCodingDetai_Sept-May-old'!F20*9)+'PaymentCodingDetail_June-old'!F20-'PaymentCodingTotal-old'!F20</f>
        <v>#DIV/0!</v>
      </c>
      <c r="G20" s="22">
        <f>('PaymentCodingDetai_Sept-May-old'!G20*9)+'PaymentCodingDetail_June-old'!G20-'PaymentCodingTotal-old'!G20</f>
        <v>0</v>
      </c>
    </row>
    <row r="21" spans="1:12" x14ac:dyDescent="0.25">
      <c r="A21" s="11" t="str">
        <f t="shared" si="1"/>
        <v>12</v>
      </c>
      <c r="B21" s="11" t="str">
        <f t="shared" si="1"/>
        <v>Northwest AEA</v>
      </c>
      <c r="C21" s="22" t="e">
        <f>('PaymentCodingDetai_Sept-May-old'!C21*9)+'PaymentCodingDetail_June-old'!C21-'PaymentCodingTotal-old'!C21</f>
        <v>#DIV/0!</v>
      </c>
      <c r="D21" s="34" t="e">
        <f>('PaymentCodingDetai_Sept-May-old'!D21*9)+'PaymentCodingDetail_June-old'!D21-'PaymentCodingTotal-old'!D21</f>
        <v>#DIV/0!</v>
      </c>
      <c r="E21" s="34" t="e">
        <f>('PaymentCodingDetai_Sept-May-old'!E21*9)+'PaymentCodingDetail_June-old'!E21-'PaymentCodingTotal-old'!E21</f>
        <v>#DIV/0!</v>
      </c>
      <c r="F21" s="22" t="e">
        <f>('PaymentCodingDetai_Sept-May-old'!F21*9)+'PaymentCodingDetail_June-old'!F21-'PaymentCodingTotal-old'!F21</f>
        <v>#DIV/0!</v>
      </c>
      <c r="G21" s="22">
        <f>('PaymentCodingDetai_Sept-May-old'!G21*9)+'PaymentCodingDetail_June-old'!G21-'PaymentCodingTotal-old'!G21</f>
        <v>0</v>
      </c>
    </row>
    <row r="22" spans="1:12" x14ac:dyDescent="0.25">
      <c r="A22" s="11" t="str">
        <f t="shared" si="1"/>
        <v>13</v>
      </c>
      <c r="B22" s="11" t="str">
        <f t="shared" si="1"/>
        <v>Green Hills AEA 13</v>
      </c>
      <c r="C22" s="22" t="e">
        <f>('PaymentCodingDetai_Sept-May-old'!C22*9)+'PaymentCodingDetail_June-old'!C22-'PaymentCodingTotal-old'!C22</f>
        <v>#DIV/0!</v>
      </c>
      <c r="D22" s="34" t="e">
        <f>('PaymentCodingDetai_Sept-May-old'!D22*9)+'PaymentCodingDetail_June-old'!D22-'PaymentCodingTotal-old'!D22</f>
        <v>#DIV/0!</v>
      </c>
      <c r="E22" s="34" t="e">
        <f>('PaymentCodingDetai_Sept-May-old'!E22*9)+'PaymentCodingDetail_June-old'!E22-'PaymentCodingTotal-old'!E22</f>
        <v>#DIV/0!</v>
      </c>
      <c r="F22" s="22" t="e">
        <f>('PaymentCodingDetai_Sept-May-old'!F22*9)+'PaymentCodingDetail_June-old'!F22-'PaymentCodingTotal-old'!F22</f>
        <v>#DIV/0!</v>
      </c>
      <c r="G22" s="22">
        <f>('PaymentCodingDetai_Sept-May-old'!G22*9)+'PaymentCodingDetail_June-old'!G22-'PaymentCodingTotal-old'!G22</f>
        <v>0</v>
      </c>
    </row>
    <row r="23" spans="1:12" x14ac:dyDescent="0.25">
      <c r="A23" s="11" t="str">
        <f t="shared" si="1"/>
        <v>15</v>
      </c>
      <c r="B23" s="11" t="str">
        <f t="shared" si="1"/>
        <v>Great Prairie AEA 15</v>
      </c>
      <c r="C23" s="22" t="e">
        <f>('PaymentCodingDetai_Sept-May-old'!C23*9)+'PaymentCodingDetail_June-old'!C23-'PaymentCodingTotal-old'!C23</f>
        <v>#DIV/0!</v>
      </c>
      <c r="D23" s="34" t="e">
        <f>('PaymentCodingDetai_Sept-May-old'!D23*9)+'PaymentCodingDetail_June-old'!D23-'PaymentCodingTotal-old'!D23</f>
        <v>#DIV/0!</v>
      </c>
      <c r="E23" s="34" t="e">
        <f>('PaymentCodingDetai_Sept-May-old'!E23*9)+'PaymentCodingDetail_June-old'!E23-'PaymentCodingTotal-old'!E23</f>
        <v>#DIV/0!</v>
      </c>
      <c r="F23" s="22" t="e">
        <f>('PaymentCodingDetai_Sept-May-old'!F23*9)+'PaymentCodingDetail_June-old'!F23-'PaymentCodingTotal-old'!F23</f>
        <v>#DIV/0!</v>
      </c>
      <c r="G23" s="22">
        <f>('PaymentCodingDetai_Sept-May-old'!G23*9)+'PaymentCodingDetail_June-old'!G23-'PaymentCodingTotal-old'!G23</f>
        <v>0</v>
      </c>
    </row>
    <row r="24" spans="1:12" ht="15.75" thickBot="1" x14ac:dyDescent="0.3">
      <c r="C24" s="14" t="e">
        <f>SUM(C15:C23)</f>
        <v>#DIV/0!</v>
      </c>
      <c r="D24" s="35" t="e">
        <f>SUM(D15:D23)</f>
        <v>#DIV/0!</v>
      </c>
      <c r="E24" s="36" t="e">
        <f>SUM(E15:E23)</f>
        <v>#DIV/0!</v>
      </c>
      <c r="F24" s="23" t="e">
        <f>SUM(F15:F23)</f>
        <v>#DIV/0!</v>
      </c>
      <c r="G24" s="23">
        <f>SUM(G15:G23)</f>
        <v>0</v>
      </c>
    </row>
    <row r="25" spans="1:12" ht="7.5" customHeight="1" thickTop="1" x14ac:dyDescent="0.25">
      <c r="F25" s="6"/>
      <c r="G25" s="6"/>
      <c r="H25" s="6"/>
    </row>
    <row r="26" spans="1:12" ht="30" x14ac:dyDescent="0.25">
      <c r="A26" s="17" t="str">
        <f t="shared" ref="A26:B35" si="2">A14</f>
        <v>AEA</v>
      </c>
      <c r="B26" s="17" t="str">
        <f t="shared" si="2"/>
        <v>AEA Name</v>
      </c>
      <c r="C26" s="33" t="str">
        <f>Data_Detail_OLD[[#Headers],[AEA Media Services District Cost]]</f>
        <v>AEA Media Services District Cost</v>
      </c>
      <c r="D26" s="33" t="str">
        <f>Data_Detail_OLD[[#Headers],[AEA Ed Services District Cost]]</f>
        <v>AEA Ed Services District Cost</v>
      </c>
      <c r="E26" s="8" t="str">
        <f>Data_Detail_OLD[[#Headers],[Total Budget]]</f>
        <v>Total Budget</v>
      </c>
      <c r="F26" s="21" t="str">
        <f>Data_Detail_OLD[[#Headers],[State Aid Portion]]</f>
        <v>State Aid Portion</v>
      </c>
      <c r="G26" s="33" t="str">
        <f>Data_Detail_OLD[[#Headers],[Property Tax Portion]]</f>
        <v>Property Tax Portion</v>
      </c>
      <c r="H26" t="s">
        <v>61</v>
      </c>
      <c r="I26" t="s">
        <v>62</v>
      </c>
      <c r="J26" t="s">
        <v>63</v>
      </c>
    </row>
    <row r="27" spans="1:12" x14ac:dyDescent="0.25">
      <c r="A27" s="11" t="str">
        <f t="shared" si="2"/>
        <v>01</v>
      </c>
      <c r="B27" s="11" t="str">
        <f t="shared" si="2"/>
        <v>Keystone AEA 1</v>
      </c>
      <c r="C27" s="34" t="e">
        <f>('PaymentCodingDetai_Sept-May-old'!C27*9)+'PaymentCodingDetail_June-old'!C27-'PaymentCodingTotal-old'!C27</f>
        <v>#DIV/0!</v>
      </c>
      <c r="D27" s="34" t="e">
        <f>('PaymentCodingDetai_Sept-May-old'!D27*9)+'PaymentCodingDetail_June-old'!D27-'PaymentCodingTotal-old'!D27</f>
        <v>#DIV/0!</v>
      </c>
      <c r="E27" s="12" t="e">
        <f>('PaymentCodingDetai_Sept-May-old'!E27*9)+'PaymentCodingDetail_June-old'!E27-'PaymentCodingTotal-old'!E27</f>
        <v>#N/A</v>
      </c>
      <c r="F27" s="22" t="e">
        <f>('PaymentCodingDetai_Sept-May-old'!F27*9)+'PaymentCodingDetail_June-old'!F27-'PaymentCodingTotal-old'!F27</f>
        <v>#DIV/0!</v>
      </c>
      <c r="G27" s="34" t="e">
        <f>('PaymentCodingDetai_Sept-May-old'!G27*9)+'PaymentCodingDetail_June-old'!G27-'PaymentCodingTotal-old'!G27</f>
        <v>#DIV/0!</v>
      </c>
      <c r="H27" s="6" t="e">
        <f>E27-D27-C27-G15-F15-E15-H3-G3-F3</f>
        <v>#N/A</v>
      </c>
      <c r="I27" s="6" t="e">
        <f>F27-G15-F15-C15-F3</f>
        <v>#DIV/0!</v>
      </c>
      <c r="J27" s="6" t="e">
        <f>G27-D27-C27-D15-H3-G3</f>
        <v>#DIV/0!</v>
      </c>
      <c r="K27" s="6" t="e">
        <f>F27*9</f>
        <v>#DIV/0!</v>
      </c>
      <c r="L27" s="6" t="e">
        <f>G27*9</f>
        <v>#DIV/0!</v>
      </c>
    </row>
    <row r="28" spans="1:12" x14ac:dyDescent="0.25">
      <c r="A28" s="11" t="str">
        <f t="shared" si="2"/>
        <v>05</v>
      </c>
      <c r="B28" s="11" t="str">
        <f t="shared" si="2"/>
        <v>Prairie Lakes AEA 8</v>
      </c>
      <c r="C28" s="34" t="e">
        <f>('PaymentCodingDetai_Sept-May-old'!C28*9)+'PaymentCodingDetail_June-old'!C28-'PaymentCodingTotal-old'!C28</f>
        <v>#DIV/0!</v>
      </c>
      <c r="D28" s="34" t="e">
        <f>('PaymentCodingDetai_Sept-May-old'!D28*9)+'PaymentCodingDetail_June-old'!D28-'PaymentCodingTotal-old'!D28</f>
        <v>#DIV/0!</v>
      </c>
      <c r="E28" s="12" t="e">
        <f>('PaymentCodingDetai_Sept-May-old'!E28*9)+'PaymentCodingDetail_June-old'!E28-'PaymentCodingTotal-old'!E28</f>
        <v>#N/A</v>
      </c>
      <c r="F28" s="22" t="e">
        <f>('PaymentCodingDetai_Sept-May-old'!F28*9)+'PaymentCodingDetail_June-old'!F28-'PaymentCodingTotal-old'!F28</f>
        <v>#DIV/0!</v>
      </c>
      <c r="G28" s="34" t="e">
        <f>('PaymentCodingDetai_Sept-May-old'!G28*9)+'PaymentCodingDetail_June-old'!G28-'PaymentCodingTotal-old'!G28</f>
        <v>#DIV/0!</v>
      </c>
      <c r="H28" s="6" t="e">
        <f t="shared" ref="H28:H36" si="3">E28-D28-C28-G16-F16-E16-H4-G4-F4</f>
        <v>#N/A</v>
      </c>
      <c r="I28" s="6" t="e">
        <f t="shared" ref="I28:I36" si="4">F28-G16-F16-C16-F4</f>
        <v>#DIV/0!</v>
      </c>
      <c r="J28" s="6" t="e">
        <f t="shared" ref="J28:J36" si="5">G28-D28-C28-D16-H4-G4</f>
        <v>#DIV/0!</v>
      </c>
      <c r="K28" s="6" t="e">
        <f t="shared" ref="K28:L35" si="6">F28*9</f>
        <v>#DIV/0!</v>
      </c>
      <c r="L28" s="6" t="e">
        <f t="shared" si="6"/>
        <v>#DIV/0!</v>
      </c>
    </row>
    <row r="29" spans="1:12" x14ac:dyDescent="0.25">
      <c r="A29" s="11" t="str">
        <f t="shared" si="2"/>
        <v>07</v>
      </c>
      <c r="B29" s="11" t="str">
        <f t="shared" si="2"/>
        <v>Central Rivers</v>
      </c>
      <c r="C29" s="34" t="e">
        <f>('PaymentCodingDetai_Sept-May-old'!C29*9)+'PaymentCodingDetail_June-old'!C29-'PaymentCodingTotal-old'!C29</f>
        <v>#DIV/0!</v>
      </c>
      <c r="D29" s="34" t="e">
        <f>('PaymentCodingDetai_Sept-May-old'!D29*9)+'PaymentCodingDetail_June-old'!D29-'PaymentCodingTotal-old'!D29</f>
        <v>#DIV/0!</v>
      </c>
      <c r="E29" s="12" t="e">
        <f>('PaymentCodingDetai_Sept-May-old'!E29*9)+'PaymentCodingDetail_June-old'!E29-'PaymentCodingTotal-old'!E29</f>
        <v>#N/A</v>
      </c>
      <c r="F29" s="22" t="e">
        <f>('PaymentCodingDetai_Sept-May-old'!F29*9)+'PaymentCodingDetail_June-old'!F29-'PaymentCodingTotal-old'!F29</f>
        <v>#DIV/0!</v>
      </c>
      <c r="G29" s="34" t="e">
        <f>('PaymentCodingDetai_Sept-May-old'!G29*9)+'PaymentCodingDetail_June-old'!G29-'PaymentCodingTotal-old'!G29</f>
        <v>#DIV/0!</v>
      </c>
      <c r="H29" s="6" t="e">
        <f t="shared" si="3"/>
        <v>#N/A</v>
      </c>
      <c r="I29" s="6" t="e">
        <f t="shared" si="4"/>
        <v>#DIV/0!</v>
      </c>
      <c r="J29" s="6" t="e">
        <f t="shared" si="5"/>
        <v>#DIV/0!</v>
      </c>
      <c r="K29" s="6" t="e">
        <f t="shared" si="6"/>
        <v>#DIV/0!</v>
      </c>
      <c r="L29" s="6" t="e">
        <f t="shared" si="6"/>
        <v>#DIV/0!</v>
      </c>
    </row>
    <row r="30" spans="1:12" x14ac:dyDescent="0.25">
      <c r="A30" s="11" t="str">
        <f t="shared" si="2"/>
        <v>09</v>
      </c>
      <c r="B30" s="11" t="str">
        <f t="shared" si="2"/>
        <v>Mississippi Bend AEA 9</v>
      </c>
      <c r="C30" s="34" t="e">
        <f>('PaymentCodingDetai_Sept-May-old'!C30*9)+'PaymentCodingDetail_June-old'!C30-'PaymentCodingTotal-old'!C30</f>
        <v>#DIV/0!</v>
      </c>
      <c r="D30" s="34" t="e">
        <f>('PaymentCodingDetai_Sept-May-old'!D30*9)+'PaymentCodingDetail_June-old'!D30-'PaymentCodingTotal-old'!D30</f>
        <v>#DIV/0!</v>
      </c>
      <c r="E30" s="12" t="e">
        <f>('PaymentCodingDetai_Sept-May-old'!E30*9)+'PaymentCodingDetail_June-old'!E30-'PaymentCodingTotal-old'!E30</f>
        <v>#N/A</v>
      </c>
      <c r="F30" s="22" t="e">
        <f>('PaymentCodingDetai_Sept-May-old'!F30*9)+'PaymentCodingDetail_June-old'!F30-'PaymentCodingTotal-old'!F30</f>
        <v>#DIV/0!</v>
      </c>
      <c r="G30" s="34" t="e">
        <f>('PaymentCodingDetai_Sept-May-old'!G30*9)+'PaymentCodingDetail_June-old'!G30-'PaymentCodingTotal-old'!G30</f>
        <v>#DIV/0!</v>
      </c>
      <c r="H30" s="6" t="e">
        <f t="shared" si="3"/>
        <v>#N/A</v>
      </c>
      <c r="I30" s="6" t="e">
        <f t="shared" si="4"/>
        <v>#DIV/0!</v>
      </c>
      <c r="J30" s="6" t="e">
        <f t="shared" si="5"/>
        <v>#DIV/0!</v>
      </c>
      <c r="K30" s="6" t="e">
        <f t="shared" si="6"/>
        <v>#DIV/0!</v>
      </c>
      <c r="L30" s="6" t="e">
        <f t="shared" si="6"/>
        <v>#DIV/0!</v>
      </c>
    </row>
    <row r="31" spans="1:12" x14ac:dyDescent="0.25">
      <c r="A31" s="11" t="str">
        <f t="shared" si="2"/>
        <v>10</v>
      </c>
      <c r="B31" s="11" t="str">
        <f t="shared" si="2"/>
        <v>Grant Wood AEA 10</v>
      </c>
      <c r="C31" s="34" t="e">
        <f>('PaymentCodingDetai_Sept-May-old'!C31*9)+'PaymentCodingDetail_June-old'!C31-'PaymentCodingTotal-old'!C31</f>
        <v>#DIV/0!</v>
      </c>
      <c r="D31" s="34" t="e">
        <f>('PaymentCodingDetai_Sept-May-old'!D31*9)+'PaymentCodingDetail_June-old'!D31-'PaymentCodingTotal-old'!D31</f>
        <v>#DIV/0!</v>
      </c>
      <c r="E31" s="12" t="e">
        <f>('PaymentCodingDetai_Sept-May-old'!E31*9)+'PaymentCodingDetail_June-old'!E31-'PaymentCodingTotal-old'!E31</f>
        <v>#N/A</v>
      </c>
      <c r="F31" s="22" t="e">
        <f>('PaymentCodingDetai_Sept-May-old'!F31*9)+'PaymentCodingDetail_June-old'!F31-'PaymentCodingTotal-old'!F31</f>
        <v>#DIV/0!</v>
      </c>
      <c r="G31" s="34" t="e">
        <f>('PaymentCodingDetai_Sept-May-old'!G31*9)+'PaymentCodingDetail_June-old'!G31-'PaymentCodingTotal-old'!G31</f>
        <v>#DIV/0!</v>
      </c>
      <c r="H31" s="6" t="e">
        <f t="shared" si="3"/>
        <v>#N/A</v>
      </c>
      <c r="I31" s="6" t="e">
        <f t="shared" si="4"/>
        <v>#DIV/0!</v>
      </c>
      <c r="J31" s="6" t="e">
        <f t="shared" si="5"/>
        <v>#DIV/0!</v>
      </c>
      <c r="K31" s="6" t="e">
        <f t="shared" si="6"/>
        <v>#DIV/0!</v>
      </c>
      <c r="L31" s="6" t="e">
        <f t="shared" si="6"/>
        <v>#DIV/0!</v>
      </c>
    </row>
    <row r="32" spans="1:12" x14ac:dyDescent="0.25">
      <c r="A32" s="11" t="str">
        <f t="shared" si="2"/>
        <v>11</v>
      </c>
      <c r="B32" s="11" t="str">
        <f t="shared" si="2"/>
        <v>Heartland AEA 11</v>
      </c>
      <c r="C32" s="34" t="e">
        <f>('PaymentCodingDetai_Sept-May-old'!C32*9)+'PaymentCodingDetail_June-old'!C32-'PaymentCodingTotal-old'!C32</f>
        <v>#DIV/0!</v>
      </c>
      <c r="D32" s="34" t="e">
        <f>('PaymentCodingDetai_Sept-May-old'!D32*9)+'PaymentCodingDetail_June-old'!D32-'PaymentCodingTotal-old'!D32</f>
        <v>#DIV/0!</v>
      </c>
      <c r="E32" s="12" t="e">
        <f>('PaymentCodingDetai_Sept-May-old'!E32*9)+'PaymentCodingDetail_June-old'!E32-'PaymentCodingTotal-old'!E32</f>
        <v>#N/A</v>
      </c>
      <c r="F32" s="22" t="e">
        <f>('PaymentCodingDetai_Sept-May-old'!F32*9)+'PaymentCodingDetail_June-old'!F32-'PaymentCodingTotal-old'!F32</f>
        <v>#DIV/0!</v>
      </c>
      <c r="G32" s="34" t="e">
        <f>('PaymentCodingDetai_Sept-May-old'!G32*9)+'PaymentCodingDetail_June-old'!G32-'PaymentCodingTotal-old'!G32</f>
        <v>#DIV/0!</v>
      </c>
      <c r="H32" s="6" t="e">
        <f t="shared" si="3"/>
        <v>#N/A</v>
      </c>
      <c r="I32" s="6" t="e">
        <f t="shared" si="4"/>
        <v>#DIV/0!</v>
      </c>
      <c r="J32" s="6" t="e">
        <f t="shared" si="5"/>
        <v>#DIV/0!</v>
      </c>
      <c r="K32" s="6" t="e">
        <f t="shared" si="6"/>
        <v>#DIV/0!</v>
      </c>
      <c r="L32" s="6" t="e">
        <f t="shared" si="6"/>
        <v>#DIV/0!</v>
      </c>
    </row>
    <row r="33" spans="1:12" x14ac:dyDescent="0.25">
      <c r="A33" s="11" t="str">
        <f t="shared" si="2"/>
        <v>12</v>
      </c>
      <c r="B33" s="11" t="str">
        <f t="shared" si="2"/>
        <v>Northwest AEA</v>
      </c>
      <c r="C33" s="34" t="e">
        <f>('PaymentCodingDetai_Sept-May-old'!C33*9)+'PaymentCodingDetail_June-old'!C33-'PaymentCodingTotal-old'!C33</f>
        <v>#DIV/0!</v>
      </c>
      <c r="D33" s="34" t="e">
        <f>('PaymentCodingDetai_Sept-May-old'!D33*9)+'PaymentCodingDetail_June-old'!D33-'PaymentCodingTotal-old'!D33</f>
        <v>#DIV/0!</v>
      </c>
      <c r="E33" s="12" t="e">
        <f>('PaymentCodingDetai_Sept-May-old'!E33*9)+'PaymentCodingDetail_June-old'!E33-'PaymentCodingTotal-old'!E33</f>
        <v>#N/A</v>
      </c>
      <c r="F33" s="22" t="e">
        <f>('PaymentCodingDetai_Sept-May-old'!F33*9)+'PaymentCodingDetail_June-old'!F33-'PaymentCodingTotal-old'!F33</f>
        <v>#DIV/0!</v>
      </c>
      <c r="G33" s="34" t="e">
        <f>('PaymentCodingDetai_Sept-May-old'!G33*9)+'PaymentCodingDetail_June-old'!G33-'PaymentCodingTotal-old'!G33</f>
        <v>#DIV/0!</v>
      </c>
      <c r="H33" s="6" t="e">
        <f t="shared" si="3"/>
        <v>#N/A</v>
      </c>
      <c r="I33" s="6" t="e">
        <f t="shared" si="4"/>
        <v>#DIV/0!</v>
      </c>
      <c r="J33" s="6" t="e">
        <f t="shared" si="5"/>
        <v>#DIV/0!</v>
      </c>
      <c r="K33" s="6" t="e">
        <f t="shared" si="6"/>
        <v>#DIV/0!</v>
      </c>
      <c r="L33" s="6" t="e">
        <f t="shared" si="6"/>
        <v>#DIV/0!</v>
      </c>
    </row>
    <row r="34" spans="1:12" x14ac:dyDescent="0.25">
      <c r="A34" s="11" t="str">
        <f t="shared" si="2"/>
        <v>13</v>
      </c>
      <c r="B34" s="11" t="str">
        <f t="shared" si="2"/>
        <v>Green Hills AEA 13</v>
      </c>
      <c r="C34" s="34" t="e">
        <f>('PaymentCodingDetai_Sept-May-old'!C34*9)+'PaymentCodingDetail_June-old'!C34-'PaymentCodingTotal-old'!C34</f>
        <v>#DIV/0!</v>
      </c>
      <c r="D34" s="34" t="e">
        <f>('PaymentCodingDetai_Sept-May-old'!D34*9)+'PaymentCodingDetail_June-old'!D34-'PaymentCodingTotal-old'!D34</f>
        <v>#DIV/0!</v>
      </c>
      <c r="E34" s="12" t="e">
        <f>('PaymentCodingDetai_Sept-May-old'!E34*9)+'PaymentCodingDetail_June-old'!E34-'PaymentCodingTotal-old'!E34</f>
        <v>#N/A</v>
      </c>
      <c r="F34" s="22" t="e">
        <f>('PaymentCodingDetai_Sept-May-old'!F34*9)+'PaymentCodingDetail_June-old'!F34-'PaymentCodingTotal-old'!F34</f>
        <v>#DIV/0!</v>
      </c>
      <c r="G34" s="34" t="e">
        <f>('PaymentCodingDetai_Sept-May-old'!G34*9)+'PaymentCodingDetail_June-old'!G34-'PaymentCodingTotal-old'!G34</f>
        <v>#DIV/0!</v>
      </c>
      <c r="H34" s="6" t="e">
        <f t="shared" si="3"/>
        <v>#N/A</v>
      </c>
      <c r="I34" s="6" t="e">
        <f t="shared" si="4"/>
        <v>#DIV/0!</v>
      </c>
      <c r="J34" s="6" t="e">
        <f t="shared" si="5"/>
        <v>#DIV/0!</v>
      </c>
      <c r="K34" s="6" t="e">
        <f t="shared" si="6"/>
        <v>#DIV/0!</v>
      </c>
      <c r="L34" s="6" t="e">
        <f t="shared" si="6"/>
        <v>#DIV/0!</v>
      </c>
    </row>
    <row r="35" spans="1:12" x14ac:dyDescent="0.25">
      <c r="A35" s="11" t="str">
        <f t="shared" si="2"/>
        <v>15</v>
      </c>
      <c r="B35" s="11" t="str">
        <f t="shared" si="2"/>
        <v>Great Prairie AEA 15</v>
      </c>
      <c r="C35" s="34" t="e">
        <f>('PaymentCodingDetai_Sept-May-old'!C35*9)+'PaymentCodingDetail_June-old'!C35-'PaymentCodingTotal-old'!C35</f>
        <v>#DIV/0!</v>
      </c>
      <c r="D35" s="34" t="e">
        <f>('PaymentCodingDetai_Sept-May-old'!D35*9)+'PaymentCodingDetail_June-old'!D35-'PaymentCodingTotal-old'!D35</f>
        <v>#DIV/0!</v>
      </c>
      <c r="E35" s="12" t="e">
        <f>('PaymentCodingDetai_Sept-May-old'!E35*9)+'PaymentCodingDetail_June-old'!E35-'PaymentCodingTotal-old'!E35</f>
        <v>#N/A</v>
      </c>
      <c r="F35" s="22" t="e">
        <f>('PaymentCodingDetai_Sept-May-old'!F35*9)+'PaymentCodingDetail_June-old'!F35-'PaymentCodingTotal-old'!F35</f>
        <v>#DIV/0!</v>
      </c>
      <c r="G35" s="34" t="e">
        <f>('PaymentCodingDetai_Sept-May-old'!G35*9)+'PaymentCodingDetail_June-old'!G35-'PaymentCodingTotal-old'!G35</f>
        <v>#DIV/0!</v>
      </c>
      <c r="H35" s="6" t="e">
        <f t="shared" si="3"/>
        <v>#N/A</v>
      </c>
      <c r="I35" s="6" t="e">
        <f t="shared" si="4"/>
        <v>#DIV/0!</v>
      </c>
      <c r="J35" s="6" t="e">
        <f t="shared" si="5"/>
        <v>#DIV/0!</v>
      </c>
      <c r="K35" s="6" t="e">
        <f t="shared" si="6"/>
        <v>#DIV/0!</v>
      </c>
      <c r="L35" s="6" t="e">
        <f t="shared" si="6"/>
        <v>#DIV/0!</v>
      </c>
    </row>
    <row r="36" spans="1:12" ht="15.75" thickBot="1" x14ac:dyDescent="0.3">
      <c r="C36" s="35" t="e">
        <f t="shared" ref="C36:E36" si="7">SUM(C27:C35)</f>
        <v>#DIV/0!</v>
      </c>
      <c r="D36" s="35" t="e">
        <f t="shared" si="7"/>
        <v>#DIV/0!</v>
      </c>
      <c r="E36" s="16" t="e">
        <f t="shared" si="7"/>
        <v>#N/A</v>
      </c>
      <c r="F36" s="22" t="e">
        <f>SUM(F27:F35)</f>
        <v>#DIV/0!</v>
      </c>
      <c r="G36" s="34" t="e">
        <f>SUM(G27:G35)</f>
        <v>#DIV/0!</v>
      </c>
      <c r="H36" s="6" t="e">
        <f t="shared" si="3"/>
        <v>#N/A</v>
      </c>
      <c r="I36" s="6" t="e">
        <f t="shared" si="4"/>
        <v>#DIV/0!</v>
      </c>
      <c r="J36" s="6" t="e">
        <f t="shared" si="5"/>
        <v>#DIV/0!</v>
      </c>
      <c r="K36" s="6" t="e">
        <f>SUM(K27:K35)</f>
        <v>#DIV/0!</v>
      </c>
      <c r="L36" s="6" t="e">
        <f>SUM(L27:L35)</f>
        <v>#DIV/0!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E294-8C0A-4ACB-96B9-8B1FA9D02961}">
  <sheetPr>
    <tabColor rgb="FFFFC000"/>
    <pageSetUpPr fitToPage="1"/>
  </sheetPr>
  <dimension ref="A1:M36"/>
  <sheetViews>
    <sheetView zoomScale="90" zoomScaleNormal="90" workbookViewId="0">
      <selection activeCell="C5" sqref="C5"/>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6.140625" hidden="1" customWidth="1"/>
    <col min="12" max="12" width="19.5703125" hidden="1" customWidth="1"/>
    <col min="13" max="13" width="13.5703125" hidden="1" customWidth="1"/>
  </cols>
  <sheetData>
    <row r="1" spans="1:13" ht="45" customHeight="1" x14ac:dyDescent="0.25">
      <c r="A1" s="83" t="str">
        <f>_xlfn.CONCAT("FY ",K1," AEA Enrollments and Cost - Final - State Aid and Property Tax Breakdown")</f>
        <v>FY 2027 AEA Enrollments and Cost - Final - State Aid and Property Tax Breakdown</v>
      </c>
      <c r="B1" s="83"/>
      <c r="C1" s="83"/>
      <c r="D1" s="83"/>
      <c r="E1" s="83"/>
      <c r="F1" s="83"/>
      <c r="G1" s="83"/>
      <c r="H1" s="83"/>
      <c r="I1" s="83"/>
      <c r="K1" s="10">
        <f>Notes!B1</f>
        <v>2027</v>
      </c>
    </row>
    <row r="2" spans="1:13" s="10" customFormat="1" ht="45" x14ac:dyDescent="0.25">
      <c r="A2" s="7" t="s">
        <v>31</v>
      </c>
      <c r="B2" s="7" t="s">
        <v>32</v>
      </c>
      <c r="C2" s="21" t="s">
        <v>54</v>
      </c>
      <c r="D2" s="9" t="s">
        <v>55</v>
      </c>
      <c r="E2" s="8" t="s">
        <v>56</v>
      </c>
      <c r="F2" s="21" t="s">
        <v>57</v>
      </c>
      <c r="G2" s="9" t="s">
        <v>751</v>
      </c>
      <c r="H2" s="9" t="s">
        <v>752</v>
      </c>
      <c r="I2" s="8" t="s">
        <v>753</v>
      </c>
      <c r="K2" s="10" t="s">
        <v>758</v>
      </c>
      <c r="L2" s="10" t="s">
        <v>759</v>
      </c>
      <c r="M2" s="10" t="s">
        <v>760</v>
      </c>
    </row>
    <row r="3" spans="1:13" x14ac:dyDescent="0.25">
      <c r="A3" s="18" t="str">
        <f>Data!A2</f>
        <v>01</v>
      </c>
      <c r="B3" s="11" t="str">
        <f>INDEX(Data_Detail_OLD[],MATCH(PaymentCodingTotal!$A3,Data_Detail_OLD[AEA],0),3)</f>
        <v>Keystone AEA 1</v>
      </c>
      <c r="C3" s="22">
        <f>SUMIFS(INDEX(PaymentBreakdown[],0,MATCH(C$2,PaymentBreakdown[#Headers],0)),PaymentBreakdown[AEA],$A3,PaymentBreakdown[FiscalYear],$K$1)</f>
        <v>22768</v>
      </c>
      <c r="D3" s="19">
        <f>SUMIFS(INDEX(PaymentBreakdown[],0,MATCH(D$2,PaymentBreakdown[#Headers],0)),PaymentBreakdown[AEA],$A3,PaymentBreakdown[FiscalYear],$K$1)</f>
        <v>7234</v>
      </c>
      <c r="E3" s="12">
        <f>SUMIFS(INDEX(PaymentBreakdown[],0,MATCH(E$2,PaymentBreakdown[#Headers],0)),PaymentBreakdown[AEA],$A3,PaymentBreakdown[FiscalYear],$K$1)</f>
        <v>30002</v>
      </c>
      <c r="F3" s="22">
        <f>SUMIFS(INDEX(PaymentBreakdown[],0,MATCH(F$2,PaymentBreakdown[#Headers],0)),PaymentBreakdown[AEA],$A3,PaymentBreakdown[FiscalYear],$K$1)</f>
        <v>1151304</v>
      </c>
      <c r="G3" s="19">
        <f>SUMIFS(INDEX(PaymentBreakdown[],0,MATCH(G$2,PaymentBreakdown[#Headers],0)),PaymentBreakdown[AEA],$A3,PaymentBreakdown[FiscalYear],$K$1)</f>
        <v>280819</v>
      </c>
      <c r="H3" s="19">
        <f>SUMIFS(INDEX(PaymentBreakdown[],0,MATCH(H$2,PaymentBreakdown[#Headers],0)),PaymentBreakdown[AEA],$A3,PaymentBreakdown[FiscalYear],$K$1)</f>
        <v>312754</v>
      </c>
      <c r="I3" s="49">
        <f>SUMIFS(INDEX(PaymentBreakdown[],0,MATCH(I$2,PaymentBreakdown[#Headers],0)),PaymentBreakdown[AEA],$A3,PaymentBreakdown[FiscalYear],$K$1)</f>
        <v>1774879</v>
      </c>
      <c r="K3" s="6">
        <f>E3-D3-C3</f>
        <v>0</v>
      </c>
      <c r="L3" s="6">
        <f t="shared" ref="L3:L12" si="0">SUM(C3:D3,F3:H3)-I3</f>
        <v>0</v>
      </c>
      <c r="M3" s="6">
        <f t="shared" ref="M3:M12" si="1">SUM(E3:H3)-I3</f>
        <v>0</v>
      </c>
    </row>
    <row r="4" spans="1:13" x14ac:dyDescent="0.25">
      <c r="A4" s="18" t="str">
        <f>Data!A3</f>
        <v>05</v>
      </c>
      <c r="B4" s="11" t="str">
        <f>INDEX(Data_Detail_OLD[],MATCH(PaymentCodingTotal!$A4,Data_Detail_OLD[AEA],0),3)</f>
        <v>Prairie Lakes AEA 8</v>
      </c>
      <c r="C4" s="22">
        <f>SUMIFS(INDEX(PaymentBreakdown[],0,MATCH(C$2,PaymentBreakdown[#Headers],0)),PaymentBreakdown[AEA],$A4,PaymentBreakdown[FiscalYear],$K$1)</f>
        <v>0</v>
      </c>
      <c r="D4" s="19">
        <f>SUMIFS(INDEX(PaymentBreakdown[],0,MATCH(D$2,PaymentBreakdown[#Headers],0)),PaymentBreakdown[AEA],$A4,PaymentBreakdown[FiscalYear],$K$1)</f>
        <v>0</v>
      </c>
      <c r="E4" s="12">
        <f>SUMIFS(INDEX(PaymentBreakdown[],0,MATCH(E$2,PaymentBreakdown[#Headers],0)),PaymentBreakdown[AEA],$A4,PaymentBreakdown[FiscalYear],$K$1)</f>
        <v>0</v>
      </c>
      <c r="F4" s="22">
        <f>SUMIFS(INDEX(PaymentBreakdown[],0,MATCH(F$2,PaymentBreakdown[#Headers],0)),PaymentBreakdown[AEA],$A4,PaymentBreakdown[FiscalYear],$K$1)</f>
        <v>1287125</v>
      </c>
      <c r="G4" s="19">
        <f>SUMIFS(INDEX(PaymentBreakdown[],0,MATCH(G$2,PaymentBreakdown[#Headers],0)),PaymentBreakdown[AEA],$A4,PaymentBreakdown[FiscalYear],$K$1)</f>
        <v>162734</v>
      </c>
      <c r="H4" s="19">
        <f>SUMIFS(INDEX(PaymentBreakdown[],0,MATCH(H$2,PaymentBreakdown[#Headers],0)),PaymentBreakdown[AEA],$A4,PaymentBreakdown[FiscalYear],$K$1)</f>
        <v>182172</v>
      </c>
      <c r="I4" s="49">
        <f>SUMIFS(INDEX(PaymentBreakdown[],0,MATCH(I$2,PaymentBreakdown[#Headers],0)),PaymentBreakdown[AEA],$A4,PaymentBreakdown[FiscalYear],$K$1)</f>
        <v>1632031</v>
      </c>
      <c r="K4" s="6">
        <f t="shared" ref="K4:K12" si="2">E4-D4-C4</f>
        <v>0</v>
      </c>
      <c r="L4" s="6">
        <f t="shared" si="0"/>
        <v>0</v>
      </c>
      <c r="M4" s="6">
        <f t="shared" si="1"/>
        <v>0</v>
      </c>
    </row>
    <row r="5" spans="1:13" x14ac:dyDescent="0.25">
      <c r="A5" s="18" t="str">
        <f>Data!A4</f>
        <v>07</v>
      </c>
      <c r="B5" s="11" t="str">
        <f>INDEX(Data_Detail_OLD[],MATCH(PaymentCodingTotal!$A5,Data_Detail_OLD[AEA],0),3)</f>
        <v>Central Rivers</v>
      </c>
      <c r="C5" s="22">
        <f>SUMIFS(INDEX(PaymentBreakdown[],0,MATCH(C$2,PaymentBreakdown[#Headers],0)),PaymentBreakdown[AEA],$A5,PaymentBreakdown[FiscalYear],$K$1)</f>
        <v>23459</v>
      </c>
      <c r="D5" s="19">
        <f>SUMIFS(INDEX(PaymentBreakdown[],0,MATCH(D$2,PaymentBreakdown[#Headers],0)),PaymentBreakdown[AEA],$A5,PaymentBreakdown[FiscalYear],$K$1)</f>
        <v>6541</v>
      </c>
      <c r="E5" s="12">
        <f>SUMIFS(INDEX(PaymentBreakdown[],0,MATCH(E$2,PaymentBreakdown[#Headers],0)),PaymentBreakdown[AEA],$A5,PaymentBreakdown[FiscalYear],$K$1)</f>
        <v>30000</v>
      </c>
      <c r="F5" s="22">
        <f>SUMIFS(INDEX(PaymentBreakdown[],0,MATCH(F$2,PaymentBreakdown[#Headers],0)),PaymentBreakdown[AEA],$A5,PaymentBreakdown[FiscalYear],$K$1)</f>
        <v>3034131</v>
      </c>
      <c r="G5" s="19">
        <f>SUMIFS(INDEX(PaymentBreakdown[],0,MATCH(G$2,PaymentBreakdown[#Headers],0)),PaymentBreakdown[AEA],$A5,PaymentBreakdown[FiscalYear],$K$1)</f>
        <v>281142</v>
      </c>
      <c r="H5" s="19">
        <f>SUMIFS(INDEX(PaymentBreakdown[],0,MATCH(H$2,PaymentBreakdown[#Headers],0)),PaymentBreakdown[AEA],$A5,PaymentBreakdown[FiscalYear],$K$1)</f>
        <v>313359</v>
      </c>
      <c r="I5" s="49">
        <f>SUMIFS(INDEX(PaymentBreakdown[],0,MATCH(I$2,PaymentBreakdown[#Headers],0)),PaymentBreakdown[AEA],$A5,PaymentBreakdown[FiscalYear],$K$1)</f>
        <v>3658632</v>
      </c>
      <c r="K5" s="6">
        <f t="shared" si="2"/>
        <v>0</v>
      </c>
      <c r="L5" s="6">
        <f t="shared" si="0"/>
        <v>0</v>
      </c>
      <c r="M5" s="6">
        <f t="shared" si="1"/>
        <v>0</v>
      </c>
    </row>
    <row r="6" spans="1:13" x14ac:dyDescent="0.25">
      <c r="A6" s="18" t="str">
        <f>Data!A5</f>
        <v>09</v>
      </c>
      <c r="B6" s="11" t="str">
        <f>INDEX(Data_Detail_OLD[],MATCH(PaymentCodingTotal!$A6,Data_Detail_OLD[AEA],0),3)</f>
        <v>Mississippi Bend AEA 9</v>
      </c>
      <c r="C6" s="22">
        <f>SUMIFS(INDEX(PaymentBreakdown[],0,MATCH(C$2,PaymentBreakdown[#Headers],0)),PaymentBreakdown[AEA],$A6,PaymentBreakdown[FiscalYear],$K$1)</f>
        <v>23608</v>
      </c>
      <c r="D6" s="19">
        <f>SUMIFS(INDEX(PaymentBreakdown[],0,MATCH(D$2,PaymentBreakdown[#Headers],0)),PaymentBreakdown[AEA],$A6,PaymentBreakdown[FiscalYear],$K$1)</f>
        <v>6392</v>
      </c>
      <c r="E6" s="12">
        <f>SUMIFS(INDEX(PaymentBreakdown[],0,MATCH(E$2,PaymentBreakdown[#Headers],0)),PaymentBreakdown[AEA],$A6,PaymentBreakdown[FiscalYear],$K$1)</f>
        <v>30000</v>
      </c>
      <c r="F6" s="22">
        <f>SUMIFS(INDEX(PaymentBreakdown[],0,MATCH(F$2,PaymentBreakdown[#Headers],0)),PaymentBreakdown[AEA],$A6,PaymentBreakdown[FiscalYear],$K$1)</f>
        <v>1650730</v>
      </c>
      <c r="G6" s="19">
        <f>SUMIFS(INDEX(PaymentBreakdown[],0,MATCH(G$2,PaymentBreakdown[#Headers],0)),PaymentBreakdown[AEA],$A6,PaymentBreakdown[FiscalYear],$K$1)</f>
        <v>273194</v>
      </c>
      <c r="H6" s="19">
        <f>SUMIFS(INDEX(PaymentBreakdown[],0,MATCH(H$2,PaymentBreakdown[#Headers],0)),PaymentBreakdown[AEA],$A6,PaymentBreakdown[FiscalYear],$K$1)</f>
        <v>298819</v>
      </c>
      <c r="I6" s="49">
        <f>SUMIFS(INDEX(PaymentBreakdown[],0,MATCH(I$2,PaymentBreakdown[#Headers],0)),PaymentBreakdown[AEA],$A6,PaymentBreakdown[FiscalYear],$K$1)</f>
        <v>2252743</v>
      </c>
      <c r="K6" s="6">
        <f t="shared" si="2"/>
        <v>0</v>
      </c>
      <c r="L6" s="6">
        <f t="shared" si="0"/>
        <v>0</v>
      </c>
      <c r="M6" s="6">
        <f t="shared" si="1"/>
        <v>0</v>
      </c>
    </row>
    <row r="7" spans="1:13" x14ac:dyDescent="0.25">
      <c r="A7" s="18" t="str">
        <f>Data!A6</f>
        <v>10</v>
      </c>
      <c r="B7" s="11" t="str">
        <f>INDEX(Data_Detail_OLD[],MATCH(PaymentCodingTotal!$A7,Data_Detail_OLD[AEA],0),3)</f>
        <v>Grant Wood AEA 10</v>
      </c>
      <c r="C7" s="22">
        <f>SUMIFS(INDEX(PaymentBreakdown[],0,MATCH(C$2,PaymentBreakdown[#Headers],0)),PaymentBreakdown[AEA],$A7,PaymentBreakdown[FiscalYear],$K$1)</f>
        <v>23740</v>
      </c>
      <c r="D7" s="19">
        <f>SUMIFS(INDEX(PaymentBreakdown[],0,MATCH(D$2,PaymentBreakdown[#Headers],0)),PaymentBreakdown[AEA],$A7,PaymentBreakdown[FiscalYear],$K$1)</f>
        <v>6262</v>
      </c>
      <c r="E7" s="12">
        <f>SUMIFS(INDEX(PaymentBreakdown[],0,MATCH(E$2,PaymentBreakdown[#Headers],0)),PaymentBreakdown[AEA],$A7,PaymentBreakdown[FiscalYear],$K$1)</f>
        <v>30002</v>
      </c>
      <c r="F7" s="22">
        <f>SUMIFS(INDEX(PaymentBreakdown[],0,MATCH(F$2,PaymentBreakdown[#Headers],0)),PaymentBreakdown[AEA],$A7,PaymentBreakdown[FiscalYear],$K$1)</f>
        <v>2606513</v>
      </c>
      <c r="G7" s="19">
        <f>SUMIFS(INDEX(PaymentBreakdown[],0,MATCH(G$2,PaymentBreakdown[#Headers],0)),PaymentBreakdown[AEA],$A7,PaymentBreakdown[FiscalYear],$K$1)</f>
        <v>411928</v>
      </c>
      <c r="H7" s="19">
        <f>SUMIFS(INDEX(PaymentBreakdown[],0,MATCH(H$2,PaymentBreakdown[#Headers],0)),PaymentBreakdown[AEA],$A7,PaymentBreakdown[FiscalYear],$K$1)</f>
        <v>453075</v>
      </c>
      <c r="I7" s="49">
        <f>SUMIFS(INDEX(PaymentBreakdown[],0,MATCH(I$2,PaymentBreakdown[#Headers],0)),PaymentBreakdown[AEA],$A7,PaymentBreakdown[FiscalYear],$K$1)</f>
        <v>3501518</v>
      </c>
      <c r="K7" s="6">
        <f t="shared" si="2"/>
        <v>0</v>
      </c>
      <c r="L7" s="6">
        <f t="shared" si="0"/>
        <v>0</v>
      </c>
      <c r="M7" s="6">
        <f t="shared" si="1"/>
        <v>0</v>
      </c>
    </row>
    <row r="8" spans="1:13" x14ac:dyDescent="0.25">
      <c r="A8" s="18" t="str">
        <f>Data!A7</f>
        <v>11</v>
      </c>
      <c r="B8" s="11" t="str">
        <f>INDEX(Data_Detail_OLD[],MATCH(PaymentCodingTotal!$A8,Data_Detail_OLD[AEA],0),3)</f>
        <v>Heartland AEA 11</v>
      </c>
      <c r="C8" s="22">
        <f>SUMIFS(INDEX(PaymentBreakdown[],0,MATCH(C$2,PaymentBreakdown[#Headers],0)),PaymentBreakdown[AEA],$A8,PaymentBreakdown[FiscalYear],$K$1)</f>
        <v>24219</v>
      </c>
      <c r="D8" s="19">
        <f>SUMIFS(INDEX(PaymentBreakdown[],0,MATCH(D$2,PaymentBreakdown[#Headers],0)),PaymentBreakdown[AEA],$A8,PaymentBreakdown[FiscalYear],$K$1)</f>
        <v>5781</v>
      </c>
      <c r="E8" s="12">
        <f>SUMIFS(INDEX(PaymentBreakdown[],0,MATCH(E$2,PaymentBreakdown[#Headers],0)),PaymentBreakdown[AEA],$A8,PaymentBreakdown[FiscalYear],$K$1)</f>
        <v>30000</v>
      </c>
      <c r="F8" s="22">
        <f>SUMIFS(INDEX(PaymentBreakdown[],0,MATCH(F$2,PaymentBreakdown[#Headers],0)),PaymentBreakdown[AEA],$A8,PaymentBreakdown[FiscalYear],$K$1)</f>
        <v>4837875</v>
      </c>
      <c r="G8" s="19">
        <f>SUMIFS(INDEX(PaymentBreakdown[],0,MATCH(G$2,PaymentBreakdown[#Headers],0)),PaymentBreakdown[AEA],$A8,PaymentBreakdown[FiscalYear],$K$1)</f>
        <v>875430</v>
      </c>
      <c r="H8" s="19">
        <f>SUMIFS(INDEX(PaymentBreakdown[],0,MATCH(H$2,PaymentBreakdown[#Headers],0)),PaymentBreakdown[AEA],$A8,PaymentBreakdown[FiscalYear],$K$1)</f>
        <v>962233</v>
      </c>
      <c r="I8" s="49">
        <f>SUMIFS(INDEX(PaymentBreakdown[],0,MATCH(I$2,PaymentBreakdown[#Headers],0)),PaymentBreakdown[AEA],$A8,PaymentBreakdown[FiscalYear],$K$1)</f>
        <v>6705538</v>
      </c>
      <c r="K8" s="6">
        <f t="shared" si="2"/>
        <v>0</v>
      </c>
      <c r="L8" s="6">
        <f t="shared" si="0"/>
        <v>0</v>
      </c>
      <c r="M8" s="6">
        <f t="shared" si="1"/>
        <v>0</v>
      </c>
    </row>
    <row r="9" spans="1:13" x14ac:dyDescent="0.25">
      <c r="A9" s="18" t="str">
        <f>Data!A8</f>
        <v>12</v>
      </c>
      <c r="B9" s="11" t="str">
        <f>INDEX(Data_Detail_OLD[],MATCH(PaymentCodingTotal!$A9,Data_Detail_OLD[AEA],0),3)</f>
        <v>Northwest AEA</v>
      </c>
      <c r="C9" s="22">
        <f>SUMIFS(INDEX(PaymentBreakdown[],0,MATCH(C$2,PaymentBreakdown[#Headers],0)),PaymentBreakdown[AEA],$A9,PaymentBreakdown[FiscalYear],$K$1)</f>
        <v>23246</v>
      </c>
      <c r="D9" s="19">
        <f>SUMIFS(INDEX(PaymentBreakdown[],0,MATCH(D$2,PaymentBreakdown[#Headers],0)),PaymentBreakdown[AEA],$A9,PaymentBreakdown[FiscalYear],$K$1)</f>
        <v>6755</v>
      </c>
      <c r="E9" s="12">
        <f>SUMIFS(INDEX(PaymentBreakdown[],0,MATCH(E$2,PaymentBreakdown[#Headers],0)),PaymentBreakdown[AEA],$A9,PaymentBreakdown[FiscalYear],$K$1)</f>
        <v>30001</v>
      </c>
      <c r="F9" s="22">
        <f>SUMIFS(INDEX(PaymentBreakdown[],0,MATCH(F$2,PaymentBreakdown[#Headers],0)),PaymentBreakdown[AEA],$A9,PaymentBreakdown[FiscalYear],$K$1)</f>
        <v>1626650</v>
      </c>
      <c r="G9" s="19">
        <f>SUMIFS(INDEX(PaymentBreakdown[],0,MATCH(G$2,PaymentBreakdown[#Headers],0)),PaymentBreakdown[AEA],$A9,PaymentBreakdown[FiscalYear],$K$1)</f>
        <v>388169</v>
      </c>
      <c r="H9" s="19">
        <f>SUMIFS(INDEX(PaymentBreakdown[],0,MATCH(H$2,PaymentBreakdown[#Headers],0)),PaymentBreakdown[AEA],$A9,PaymentBreakdown[FiscalYear],$K$1)</f>
        <v>434418</v>
      </c>
      <c r="I9" s="49">
        <f>SUMIFS(INDEX(PaymentBreakdown[],0,MATCH(I$2,PaymentBreakdown[#Headers],0)),PaymentBreakdown[AEA],$A9,PaymentBreakdown[FiscalYear],$K$1)</f>
        <v>2479238</v>
      </c>
      <c r="K9" s="6">
        <f t="shared" si="2"/>
        <v>0</v>
      </c>
      <c r="L9" s="6">
        <f t="shared" si="0"/>
        <v>0</v>
      </c>
      <c r="M9" s="6">
        <f t="shared" si="1"/>
        <v>0</v>
      </c>
    </row>
    <row r="10" spans="1:13" x14ac:dyDescent="0.25">
      <c r="A10" s="18" t="str">
        <f>Data!A9</f>
        <v>13</v>
      </c>
      <c r="B10" s="11" t="str">
        <f>INDEX(Data_Detail_OLD[],MATCH(PaymentCodingTotal!$A10,Data_Detail_OLD[AEA],0),3)</f>
        <v>Green Hills AEA 13</v>
      </c>
      <c r="C10" s="22">
        <f>SUMIFS(INDEX(PaymentBreakdown[],0,MATCH(C$2,PaymentBreakdown[#Headers],0)),PaymentBreakdown[AEA],$A10,PaymentBreakdown[FiscalYear],$K$1)</f>
        <v>23682</v>
      </c>
      <c r="D10" s="19">
        <f>SUMIFS(INDEX(PaymentBreakdown[],0,MATCH(D$2,PaymentBreakdown[#Headers],0)),PaymentBreakdown[AEA],$A10,PaymentBreakdown[FiscalYear],$K$1)</f>
        <v>6320</v>
      </c>
      <c r="E10" s="12">
        <f>SUMIFS(INDEX(PaymentBreakdown[],0,MATCH(E$2,PaymentBreakdown[#Headers],0)),PaymentBreakdown[AEA],$A10,PaymentBreakdown[FiscalYear],$K$1)</f>
        <v>30002</v>
      </c>
      <c r="F10" s="22">
        <f>SUMIFS(INDEX(PaymentBreakdown[],0,MATCH(F$2,PaymentBreakdown[#Headers],0)),PaymentBreakdown[AEA],$A10,PaymentBreakdown[FiscalYear],$K$1)</f>
        <v>1522932</v>
      </c>
      <c r="G10" s="19">
        <f>SUMIFS(INDEX(PaymentBreakdown[],0,MATCH(G$2,PaymentBreakdown[#Headers],0)),PaymentBreakdown[AEA],$A10,PaymentBreakdown[FiscalYear],$K$1)</f>
        <v>90025</v>
      </c>
      <c r="H10" s="19">
        <f>SUMIFS(INDEX(PaymentBreakdown[],0,MATCH(H$2,PaymentBreakdown[#Headers],0)),PaymentBreakdown[AEA],$A10,PaymentBreakdown[FiscalYear],$K$1)</f>
        <v>99544</v>
      </c>
      <c r="I10" s="49">
        <f>SUMIFS(INDEX(PaymentBreakdown[],0,MATCH(I$2,PaymentBreakdown[#Headers],0)),PaymentBreakdown[AEA],$A10,PaymentBreakdown[FiscalYear],$K$1)</f>
        <v>1742503</v>
      </c>
      <c r="K10" s="6">
        <f t="shared" si="2"/>
        <v>0</v>
      </c>
      <c r="L10" s="6">
        <f t="shared" si="0"/>
        <v>0</v>
      </c>
      <c r="M10" s="6">
        <f t="shared" si="1"/>
        <v>0</v>
      </c>
    </row>
    <row r="11" spans="1:13" x14ac:dyDescent="0.25">
      <c r="A11" s="18" t="str">
        <f>Data!A10</f>
        <v>15</v>
      </c>
      <c r="B11" s="11" t="str">
        <f>INDEX(Data_Detail_OLD[],MATCH(PaymentCodingTotal!$A11,Data_Detail_OLD[AEA],0),3)</f>
        <v>Great Prairie AEA 15</v>
      </c>
      <c r="C11" s="22">
        <f>SUMIFS(INDEX(PaymentBreakdown[],0,MATCH(C$2,PaymentBreakdown[#Headers],0)),PaymentBreakdown[AEA],$A11,PaymentBreakdown[FiscalYear],$K$1)</f>
        <v>23850</v>
      </c>
      <c r="D11" s="19">
        <f>SUMIFS(INDEX(PaymentBreakdown[],0,MATCH(D$2,PaymentBreakdown[#Headers],0)),PaymentBreakdown[AEA],$A11,PaymentBreakdown[FiscalYear],$K$1)</f>
        <v>6153</v>
      </c>
      <c r="E11" s="12">
        <f>SUMIFS(INDEX(PaymentBreakdown[],0,MATCH(E$2,PaymentBreakdown[#Headers],0)),PaymentBreakdown[AEA],$A11,PaymentBreakdown[FiscalYear],$K$1)</f>
        <v>30003</v>
      </c>
      <c r="F11" s="22">
        <f>SUMIFS(INDEX(PaymentBreakdown[],0,MATCH(F$2,PaymentBreakdown[#Headers],0)),PaymentBreakdown[AEA],$A11,PaymentBreakdown[FiscalYear],$K$1)</f>
        <v>1338502</v>
      </c>
      <c r="G11" s="19">
        <f>SUMIFS(INDEX(PaymentBreakdown[],0,MATCH(G$2,PaymentBreakdown[#Headers],0)),PaymentBreakdown[AEA],$A11,PaymentBreakdown[FiscalYear],$K$1)</f>
        <v>107475</v>
      </c>
      <c r="H11" s="19">
        <f>SUMIFS(INDEX(PaymentBreakdown[],0,MATCH(H$2,PaymentBreakdown[#Headers],0)),PaymentBreakdown[AEA],$A11,PaymentBreakdown[FiscalYear],$K$1)</f>
        <v>118196</v>
      </c>
      <c r="I11" s="49">
        <f>SUMIFS(INDEX(PaymentBreakdown[],0,MATCH(I$2,PaymentBreakdown[#Headers],0)),PaymentBreakdown[AEA],$A11,PaymentBreakdown[FiscalYear],$K$1)</f>
        <v>1594176</v>
      </c>
      <c r="K11" s="6">
        <f t="shared" si="2"/>
        <v>0</v>
      </c>
      <c r="L11" s="6">
        <f t="shared" si="0"/>
        <v>0</v>
      </c>
      <c r="M11" s="6">
        <f t="shared" si="1"/>
        <v>0</v>
      </c>
    </row>
    <row r="12" spans="1:13" ht="15.75" thickBot="1" x14ac:dyDescent="0.3">
      <c r="C12" s="37">
        <f>SUM(C3:C11)</f>
        <v>188572</v>
      </c>
      <c r="D12" s="20">
        <f t="shared" ref="D12:I12" si="3">SUM(D3:D11)</f>
        <v>51438</v>
      </c>
      <c r="E12" s="16">
        <f t="shared" si="3"/>
        <v>240010</v>
      </c>
      <c r="F12" s="37">
        <f>SUM(F3:F11)</f>
        <v>19055762</v>
      </c>
      <c r="G12" s="20">
        <f t="shared" si="3"/>
        <v>2870916</v>
      </c>
      <c r="H12" s="20">
        <f>SUM(H3:H11)</f>
        <v>3174570</v>
      </c>
      <c r="I12" s="16">
        <f t="shared" si="3"/>
        <v>25341258</v>
      </c>
      <c r="K12" s="6">
        <f t="shared" si="2"/>
        <v>0</v>
      </c>
      <c r="L12" s="6">
        <f t="shared" si="0"/>
        <v>0</v>
      </c>
      <c r="M12" s="6">
        <f t="shared" si="1"/>
        <v>0</v>
      </c>
    </row>
    <row r="13" spans="1:13" ht="7.5" customHeight="1" thickTop="1" x14ac:dyDescent="0.25"/>
    <row r="14" spans="1:13" ht="45" x14ac:dyDescent="0.25">
      <c r="A14" s="17" t="str">
        <f t="shared" ref="A14:B23" si="4">A2</f>
        <v>AEA</v>
      </c>
      <c r="B14" s="17" t="str">
        <f t="shared" si="4"/>
        <v>AEA Name</v>
      </c>
      <c r="C14" s="21" t="s">
        <v>754</v>
      </c>
      <c r="D14" s="9" t="s">
        <v>755</v>
      </c>
      <c r="G14" s="32"/>
    </row>
    <row r="15" spans="1:13" x14ac:dyDescent="0.25">
      <c r="A15" s="11" t="str">
        <f t="shared" si="4"/>
        <v>01</v>
      </c>
      <c r="B15" s="11" t="str">
        <f t="shared" si="4"/>
        <v>Keystone AEA 1</v>
      </c>
      <c r="C15" s="22">
        <f>SUMIFS(INDEX(PaymentBreakdown[],0,MATCH(C$14,PaymentBreakdown[#Headers],0)),PaymentBreakdown[AEA],$A15,PaymentBreakdown[FiscalYear],$K$1)</f>
        <v>1174072</v>
      </c>
      <c r="D15" s="19">
        <f>SUMIFS(INDEX(PaymentBreakdown[],0,MATCH(D$14,PaymentBreakdown[#Headers],0)),PaymentBreakdown[AEA],$A15,PaymentBreakdown[FiscalYear],$K$1)</f>
        <v>600807</v>
      </c>
      <c r="G15" s="60"/>
    </row>
    <row r="16" spans="1:13" x14ac:dyDescent="0.25">
      <c r="A16" s="11" t="str">
        <f t="shared" si="4"/>
        <v>05</v>
      </c>
      <c r="B16" s="11" t="str">
        <f t="shared" si="4"/>
        <v>Prairie Lakes AEA 8</v>
      </c>
      <c r="C16" s="22">
        <f>SUMIFS(INDEX(PaymentBreakdown[],0,MATCH(C$14,PaymentBreakdown[#Headers],0)),PaymentBreakdown[AEA],$A16,PaymentBreakdown[FiscalYear],$K$1)</f>
        <v>1287125</v>
      </c>
      <c r="D16" s="19">
        <f>SUMIFS(INDEX(PaymentBreakdown[],0,MATCH(D$14,PaymentBreakdown[#Headers],0)),PaymentBreakdown[AEA],$A16,PaymentBreakdown[FiscalYear],$K$1)</f>
        <v>344906</v>
      </c>
      <c r="F16" s="84" t="s">
        <v>62</v>
      </c>
      <c r="G16" s="60"/>
    </row>
    <row r="17" spans="1:13" x14ac:dyDescent="0.25">
      <c r="A17" s="11" t="str">
        <f t="shared" si="4"/>
        <v>07</v>
      </c>
      <c r="B17" s="11" t="str">
        <f t="shared" si="4"/>
        <v>Central Rivers</v>
      </c>
      <c r="C17" s="22">
        <f>SUMIFS(INDEX(PaymentBreakdown[],0,MATCH(C$14,PaymentBreakdown[#Headers],0)),PaymentBreakdown[AEA],$A17,PaymentBreakdown[FiscalYear],$K$1)</f>
        <v>3057590</v>
      </c>
      <c r="D17" s="19">
        <f>SUMIFS(INDEX(PaymentBreakdown[],0,MATCH(D$14,PaymentBreakdown[#Headers],0)),PaymentBreakdown[AEA],$A17,PaymentBreakdown[FiscalYear],$K$1)</f>
        <v>601042</v>
      </c>
      <c r="F17" s="84"/>
      <c r="G17" s="60"/>
    </row>
    <row r="18" spans="1:13" x14ac:dyDescent="0.25">
      <c r="A18" s="11" t="str">
        <f t="shared" si="4"/>
        <v>09</v>
      </c>
      <c r="B18" s="11" t="str">
        <f t="shared" si="4"/>
        <v>Mississippi Bend AEA 9</v>
      </c>
      <c r="C18" s="22">
        <f>SUMIFS(INDEX(PaymentBreakdown[],0,MATCH(C$14,PaymentBreakdown[#Headers],0)),PaymentBreakdown[AEA],$A18,PaymentBreakdown[FiscalYear],$K$1)</f>
        <v>1674338</v>
      </c>
      <c r="D18" s="19">
        <f>SUMIFS(INDEX(PaymentBreakdown[],0,MATCH(D$14,PaymentBreakdown[#Headers],0)),PaymentBreakdown[AEA],$A18,PaymentBreakdown[FiscalYear],$K$1)</f>
        <v>578405</v>
      </c>
      <c r="F18" s="85" t="s">
        <v>714</v>
      </c>
      <c r="G18" s="60"/>
    </row>
    <row r="19" spans="1:13" x14ac:dyDescent="0.25">
      <c r="A19" s="11" t="str">
        <f t="shared" si="4"/>
        <v>10</v>
      </c>
      <c r="B19" s="11" t="str">
        <f t="shared" si="4"/>
        <v>Grant Wood AEA 10</v>
      </c>
      <c r="C19" s="22">
        <f>SUMIFS(INDEX(PaymentBreakdown[],0,MATCH(C$14,PaymentBreakdown[#Headers],0)),PaymentBreakdown[AEA],$A19,PaymentBreakdown[FiscalYear],$K$1)</f>
        <v>2630253</v>
      </c>
      <c r="D19" s="19">
        <f>SUMIFS(INDEX(PaymentBreakdown[],0,MATCH(D$14,PaymentBreakdown[#Headers],0)),PaymentBreakdown[AEA],$A19,PaymentBreakdown[FiscalYear],$K$1)</f>
        <v>871265</v>
      </c>
      <c r="F19" s="85"/>
      <c r="G19" s="60"/>
    </row>
    <row r="20" spans="1:13" x14ac:dyDescent="0.25">
      <c r="A20" s="11" t="str">
        <f t="shared" si="4"/>
        <v>11</v>
      </c>
      <c r="B20" s="11" t="str">
        <f t="shared" si="4"/>
        <v>Heartland AEA 11</v>
      </c>
      <c r="C20" s="22">
        <f>SUMIFS(INDEX(PaymentBreakdown[],0,MATCH(C$14,PaymentBreakdown[#Headers],0)),PaymentBreakdown[AEA],$A20,PaymentBreakdown[FiscalYear],$K$1)</f>
        <v>4862094</v>
      </c>
      <c r="D20" s="19">
        <f>SUMIFS(INDEX(PaymentBreakdown[],0,MATCH(D$14,PaymentBreakdown[#Headers],0)),PaymentBreakdown[AEA],$A20,PaymentBreakdown[FiscalYear],$K$1)</f>
        <v>1843444</v>
      </c>
      <c r="G20" s="60"/>
    </row>
    <row r="21" spans="1:13" x14ac:dyDescent="0.25">
      <c r="A21" s="11" t="str">
        <f t="shared" si="4"/>
        <v>12</v>
      </c>
      <c r="B21" s="11" t="str">
        <f t="shared" si="4"/>
        <v>Northwest AEA</v>
      </c>
      <c r="C21" s="22">
        <f>SUMIFS(INDEX(PaymentBreakdown[],0,MATCH(C$14,PaymentBreakdown[#Headers],0)),PaymentBreakdown[AEA],$A21,PaymentBreakdown[FiscalYear],$K$1)</f>
        <v>1649896</v>
      </c>
      <c r="D21" s="19">
        <f>SUMIFS(INDEX(PaymentBreakdown[],0,MATCH(D$14,PaymentBreakdown[#Headers],0)),PaymentBreakdown[AEA],$A21,PaymentBreakdown[FiscalYear],$K$1)</f>
        <v>829342</v>
      </c>
      <c r="G21" s="60"/>
    </row>
    <row r="22" spans="1:13" x14ac:dyDescent="0.25">
      <c r="A22" s="11" t="str">
        <f t="shared" si="4"/>
        <v>13</v>
      </c>
      <c r="B22" s="11" t="str">
        <f t="shared" si="4"/>
        <v>Green Hills AEA 13</v>
      </c>
      <c r="C22" s="22">
        <f>SUMIFS(INDEX(PaymentBreakdown[],0,MATCH(C$14,PaymentBreakdown[#Headers],0)),PaymentBreakdown[AEA],$A22,PaymentBreakdown[FiscalYear],$K$1)</f>
        <v>1546614</v>
      </c>
      <c r="D22" s="19">
        <f>SUMIFS(INDEX(PaymentBreakdown[],0,MATCH(D$14,PaymentBreakdown[#Headers],0)),PaymentBreakdown[AEA],$A22,PaymentBreakdown[FiscalYear],$K$1)</f>
        <v>195889</v>
      </c>
      <c r="G22" s="60"/>
    </row>
    <row r="23" spans="1:13" x14ac:dyDescent="0.25">
      <c r="A23" s="11" t="str">
        <f t="shared" si="4"/>
        <v>15</v>
      </c>
      <c r="B23" s="11" t="str">
        <f t="shared" si="4"/>
        <v>Great Prairie AEA 15</v>
      </c>
      <c r="C23" s="22">
        <f>SUMIFS(INDEX(PaymentBreakdown[],0,MATCH(C$14,PaymentBreakdown[#Headers],0)),PaymentBreakdown[AEA],$A23,PaymentBreakdown[FiscalYear],$K$1)</f>
        <v>1362352</v>
      </c>
      <c r="D23" s="19">
        <f>SUMIFS(INDEX(PaymentBreakdown[],0,MATCH(D$14,PaymentBreakdown[#Headers],0)),PaymentBreakdown[AEA],$A23,PaymentBreakdown[FiscalYear],$K$1)</f>
        <v>231824</v>
      </c>
      <c r="G23" s="60"/>
    </row>
    <row r="24" spans="1:13" ht="15.75" thickBot="1" x14ac:dyDescent="0.3">
      <c r="C24" s="37">
        <f>SUM(C15:C23)</f>
        <v>19244334</v>
      </c>
      <c r="D24" s="20">
        <f>SUM(D15:D23)</f>
        <v>6096924</v>
      </c>
      <c r="G24" s="61"/>
      <c r="K24" s="86" t="s">
        <v>756</v>
      </c>
      <c r="L24" s="88" t="s">
        <v>63</v>
      </c>
    </row>
    <row r="25" spans="1:13" ht="27.75" customHeight="1" thickTop="1" x14ac:dyDescent="0.25">
      <c r="K25" s="86"/>
      <c r="L25" s="88"/>
    </row>
    <row r="26" spans="1:13" ht="30" customHeight="1" x14ac:dyDescent="0.25">
      <c r="K26" s="87"/>
      <c r="L26" s="89"/>
      <c r="M26" t="s">
        <v>761</v>
      </c>
    </row>
    <row r="27" spans="1:13" x14ac:dyDescent="0.25">
      <c r="H27" s="6"/>
      <c r="J27" s="6"/>
      <c r="K27" s="6">
        <f>C3+F3-C15</f>
        <v>0</v>
      </c>
      <c r="L27" s="6">
        <f>D3+G3+H3-D15</f>
        <v>0</v>
      </c>
      <c r="M27" s="6">
        <f>I3-D15-C15</f>
        <v>0</v>
      </c>
    </row>
    <row r="28" spans="1:13" x14ac:dyDescent="0.25">
      <c r="J28" s="6"/>
      <c r="K28" s="6">
        <f t="shared" ref="K28:K35" si="5">C4+F4-C16</f>
        <v>0</v>
      </c>
      <c r="L28" s="6">
        <f t="shared" ref="L28:L35" si="6">D4+G4+H4-D16</f>
        <v>0</v>
      </c>
      <c r="M28" s="6">
        <f t="shared" ref="M28:M35" si="7">I4-D16-C16</f>
        <v>0</v>
      </c>
    </row>
    <row r="29" spans="1:13" x14ac:dyDescent="0.25">
      <c r="J29" s="6"/>
      <c r="K29" s="6">
        <f t="shared" si="5"/>
        <v>0</v>
      </c>
      <c r="L29" s="6">
        <f t="shared" si="6"/>
        <v>0</v>
      </c>
      <c r="M29" s="6">
        <f t="shared" si="7"/>
        <v>0</v>
      </c>
    </row>
    <row r="30" spans="1:13" x14ac:dyDescent="0.25">
      <c r="J30" s="6"/>
      <c r="K30" s="6">
        <f t="shared" si="5"/>
        <v>0</v>
      </c>
      <c r="L30" s="6">
        <f t="shared" si="6"/>
        <v>0</v>
      </c>
      <c r="M30" s="6">
        <f t="shared" si="7"/>
        <v>0</v>
      </c>
    </row>
    <row r="31" spans="1:13" x14ac:dyDescent="0.25">
      <c r="J31" s="6"/>
      <c r="K31" s="6">
        <f t="shared" si="5"/>
        <v>0</v>
      </c>
      <c r="L31" s="6">
        <f t="shared" si="6"/>
        <v>0</v>
      </c>
      <c r="M31" s="6">
        <f t="shared" si="7"/>
        <v>0</v>
      </c>
    </row>
    <row r="32" spans="1:13" x14ac:dyDescent="0.25">
      <c r="J32" s="6"/>
      <c r="K32" s="6">
        <f t="shared" si="5"/>
        <v>0</v>
      </c>
      <c r="L32" s="6">
        <f t="shared" si="6"/>
        <v>0</v>
      </c>
      <c r="M32" s="6">
        <f t="shared" si="7"/>
        <v>0</v>
      </c>
    </row>
    <row r="33" spans="10:13" x14ac:dyDescent="0.25">
      <c r="J33" s="6"/>
      <c r="K33" s="6">
        <f t="shared" si="5"/>
        <v>0</v>
      </c>
      <c r="L33" s="6">
        <f t="shared" si="6"/>
        <v>0</v>
      </c>
      <c r="M33" s="6">
        <f t="shared" si="7"/>
        <v>0</v>
      </c>
    </row>
    <row r="34" spans="10:13" x14ac:dyDescent="0.25">
      <c r="J34" s="6"/>
      <c r="K34" s="6">
        <f t="shared" si="5"/>
        <v>0</v>
      </c>
      <c r="L34" s="6">
        <f t="shared" si="6"/>
        <v>0</v>
      </c>
      <c r="M34" s="6">
        <f t="shared" si="7"/>
        <v>0</v>
      </c>
    </row>
    <row r="35" spans="10:13" x14ac:dyDescent="0.25">
      <c r="J35" s="6"/>
      <c r="K35" s="6">
        <f t="shared" si="5"/>
        <v>0</v>
      </c>
      <c r="L35" s="6">
        <f t="shared" si="6"/>
        <v>0</v>
      </c>
      <c r="M35" s="6">
        <f t="shared" si="7"/>
        <v>0</v>
      </c>
    </row>
    <row r="36" spans="10:13" x14ac:dyDescent="0.25">
      <c r="K36" s="6"/>
      <c r="L36" s="6"/>
    </row>
  </sheetData>
  <sheetProtection sheet="1" objects="1" scenarios="1"/>
  <mergeCells count="5">
    <mergeCell ref="A1:I1"/>
    <mergeCell ref="K24:K26"/>
    <mergeCell ref="L24:L26"/>
    <mergeCell ref="F16:F17"/>
    <mergeCell ref="F18:F19"/>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13B5-1B73-42F1-9064-3E7242742F66}">
  <sheetPr>
    <tabColor theme="6" tint="-0.249977111117893"/>
    <pageSetUpPr fitToPage="1"/>
  </sheetPr>
  <dimension ref="A1:M35"/>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6.85546875" hidden="1" customWidth="1"/>
    <col min="11" max="11" width="21.7109375" hidden="1" customWidth="1"/>
    <col min="12" max="12" width="19.5703125" hidden="1" customWidth="1"/>
    <col min="13" max="13" width="13.5703125" hidden="1" customWidth="1"/>
    <col min="14" max="14" width="9.140625" customWidth="1"/>
  </cols>
  <sheetData>
    <row r="1" spans="1:13" ht="45" customHeight="1" x14ac:dyDescent="0.25">
      <c r="A1" s="83" t="str">
        <f>_xlfn.CONCAT("FY ",K1," AEA Enrollments and Cost - Final - State Aid and Property Tax Breakdown - July thru February Payment")</f>
        <v>FY 2027 AEA Enrollments and Cost - Final - State Aid and Property Tax Breakdown - July thru February Payment</v>
      </c>
      <c r="B1" s="83"/>
      <c r="C1" s="83"/>
      <c r="D1" s="83"/>
      <c r="E1" s="83"/>
      <c r="F1" s="83"/>
      <c r="G1" s="83"/>
      <c r="H1" s="83"/>
      <c r="I1" s="83"/>
      <c r="K1" s="10">
        <f>Notes!B1</f>
        <v>2027</v>
      </c>
    </row>
    <row r="2" spans="1:13" s="10" customFormat="1" ht="45" x14ac:dyDescent="0.25">
      <c r="A2" s="7" t="s">
        <v>31</v>
      </c>
      <c r="B2" s="7" t="s">
        <v>32</v>
      </c>
      <c r="C2" s="21" t="s">
        <v>54</v>
      </c>
      <c r="D2" s="9" t="s">
        <v>55</v>
      </c>
      <c r="E2" s="8" t="s">
        <v>56</v>
      </c>
      <c r="F2" s="21" t="s">
        <v>57</v>
      </c>
      <c r="G2" s="9" t="s">
        <v>751</v>
      </c>
      <c r="H2" s="9" t="s">
        <v>752</v>
      </c>
      <c r="I2" s="8" t="s">
        <v>753</v>
      </c>
      <c r="K2" s="10" t="s">
        <v>758</v>
      </c>
      <c r="L2" s="10" t="s">
        <v>759</v>
      </c>
      <c r="M2" s="10" t="s">
        <v>760</v>
      </c>
    </row>
    <row r="3" spans="1:13" x14ac:dyDescent="0.25">
      <c r="A3" s="18" t="str">
        <f>Data!A2</f>
        <v>01</v>
      </c>
      <c r="B3" s="11" t="str">
        <f>INDEX(Data_Detail_OLD[],MATCH('PaymentCodingDetai_July-Feb'!$A3,Data_Detail_OLD[AEA],0),3)</f>
        <v>Keystone AEA 1</v>
      </c>
      <c r="C3" s="22">
        <f>ROUND(SUMIFS(INDEX(PaymentBreakdown[],0,MATCH(C$2,PaymentBreakdown[#Headers],0)),PaymentBreakdown[AEA],$A3,PaymentBreakdown[FiscalYear],$K$1)/SUMIFS(INDEX(PaymentBreakdown[],0,MATCH($I$2,PaymentBreakdown[#Headers],0)),PaymentBreakdown[AEA],$A3,PaymentBreakdown[FiscalYear],$K$1)*
INDEX(Data[],MATCH($A3,Data[AEA],0),MATCH("Pay1 - July - Feb",Data[#Headers],0)),0)</f>
        <v>5692</v>
      </c>
      <c r="D3" s="19">
        <f>ROUND(SUMIFS(INDEX(PaymentBreakdown[],0,MATCH(D$2,PaymentBreakdown[#Headers],0)),PaymentBreakdown[AEA],$A3,PaymentBreakdown[FiscalYear],$K$1)/SUMIFS(INDEX(PaymentBreakdown[],0,MATCH($I$2,PaymentBreakdown[#Headers],0)),PaymentBreakdown[AEA],$A3,PaymentBreakdown[FiscalYear],$K$1)*
INDEX(Data[],MATCH($A3,Data[AEA],0),MATCH("Pay1 - July - Feb",Data[#Headers],0)),0)</f>
        <v>1809</v>
      </c>
      <c r="E3" s="12">
        <f>ROUND(SUMIFS(INDEX(PaymentBreakdown[],0,MATCH(E$2,PaymentBreakdown[#Headers],0)),PaymentBreakdown[AEA],$A3,PaymentBreakdown[FiscalYear],$K$1)/SUMIFS(INDEX(PaymentBreakdown[],0,MATCH($I$2,PaymentBreakdown[#Headers],0)),PaymentBreakdown[AEA],$A3,PaymentBreakdown[FiscalYear],$K$1)*
INDEX(Data[],MATCH($A3,Data[AEA],0),MATCH("Pay1 - July - Feb",Data[#Headers],0)),0)</f>
        <v>7501</v>
      </c>
      <c r="F3" s="22">
        <f>ROUND(SUMIFS(INDEX(PaymentBreakdown[],0,MATCH(F$2,PaymentBreakdown[#Headers],0)),PaymentBreakdown[AEA],$A3,PaymentBreakdown[FiscalYear],$K$1)/SUMIFS(INDEX(PaymentBreakdown[],0,MATCH($I$2,PaymentBreakdown[#Headers],0)),PaymentBreakdown[AEA],$A3,PaymentBreakdown[FiscalYear],$K$1)*
INDEX(Data[],MATCH($A3,Data[AEA],0),MATCH("Pay1 - July - Feb",Data[#Headers],0)),0)</f>
        <v>287827</v>
      </c>
      <c r="G3" s="19">
        <f>ROUND(SUMIFS(INDEX(PaymentBreakdown[],0,MATCH(G$2,PaymentBreakdown[#Headers],0)),PaymentBreakdown[AEA],$A3,PaymentBreakdown[FiscalYear],$K$1)/SUMIFS(INDEX(PaymentBreakdown[],0,MATCH($I$2,PaymentBreakdown[#Headers],0)),PaymentBreakdown[AEA],$A3,PaymentBreakdown[FiscalYear],$K$1)*
INDEX(Data[],MATCH($A3,Data[AEA],0),MATCH("Pay1 - July - Feb",Data[#Headers],0)),0)</f>
        <v>70205</v>
      </c>
      <c r="H3" s="19">
        <f>ROUND(SUMIFS(INDEX(PaymentBreakdown[],0,MATCH(H$2,PaymentBreakdown[#Headers],0)),PaymentBreakdown[AEA],$A3,PaymentBreakdown[FiscalYear],$K$1)/SUMIFS(INDEX(PaymentBreakdown[],0,MATCH($I$2,PaymentBreakdown[#Headers],0)),PaymentBreakdown[AEA],$A3,PaymentBreakdown[FiscalYear],$K$1)*
INDEX(Data[],MATCH($A3,Data[AEA],0),MATCH("Pay1 - July - Feb",Data[#Headers],0)),0)</f>
        <v>78189</v>
      </c>
      <c r="I3" s="12">
        <f>ROUND(SUMIFS(INDEX(PaymentBreakdown[],0,MATCH(I$2,PaymentBreakdown[#Headers],0)),PaymentBreakdown[AEA],$A3,PaymentBreakdown[FiscalYear],$K$1)/SUMIFS(INDEX(PaymentBreakdown[],0,MATCH($I$2,PaymentBreakdown[#Headers],0)),PaymentBreakdown[AEA],$A3,PaymentBreakdown[FiscalYear],$K$1)*
INDEX(Data[],MATCH($A3,Data[AEA],0),MATCH("Pay1 - July - Feb",Data[#Headers],0)),0)</f>
        <v>443722</v>
      </c>
      <c r="K3" s="6">
        <f>E3-D3-C3</f>
        <v>0</v>
      </c>
      <c r="L3" s="6">
        <f t="shared" ref="L3:L12" si="0">SUM(C3:D3,F3:H3)-I3</f>
        <v>0</v>
      </c>
      <c r="M3" s="6">
        <f t="shared" ref="M3:M12" si="1">SUM(E3:H3)-I3</f>
        <v>0</v>
      </c>
    </row>
    <row r="4" spans="1:13" x14ac:dyDescent="0.25">
      <c r="A4" s="18" t="str">
        <f>Data!A3</f>
        <v>05</v>
      </c>
      <c r="B4" s="11" t="str">
        <f>INDEX(Data_Detail_OLD[],MATCH('PaymentCodingDetai_July-Feb'!$A4,Data_Detail_OLD[AEA],0),3)</f>
        <v>Prairie Lakes AEA 8</v>
      </c>
      <c r="C4" s="22">
        <f>ROUND(SUMIFS(INDEX(PaymentBreakdown[],0,MATCH(C$2,PaymentBreakdown[#Headers],0)),PaymentBreakdown[AEA],$A4,PaymentBreakdown[FiscalYear],$K$1)/SUMIFS(INDEX(PaymentBreakdown[],0,MATCH($I$2,PaymentBreakdown[#Headers],0)),PaymentBreakdown[AEA],$A4,PaymentBreakdown[FiscalYear],$K$1)*
INDEX(Data[],MATCH($A4,Data[AEA],0),MATCH("Pay1 - July - Feb",Data[#Headers],0)),0)</f>
        <v>0</v>
      </c>
      <c r="D4" s="19">
        <f>ROUND(SUMIFS(INDEX(PaymentBreakdown[],0,MATCH(D$2,PaymentBreakdown[#Headers],0)),PaymentBreakdown[AEA],$A4,PaymentBreakdown[FiscalYear],$K$1)/SUMIFS(INDEX(PaymentBreakdown[],0,MATCH($I$2,PaymentBreakdown[#Headers],0)),PaymentBreakdown[AEA],$A4,PaymentBreakdown[FiscalYear],$K$1)*
INDEX(Data[],MATCH($A4,Data[AEA],0),MATCH("Pay1 - July - Feb",Data[#Headers],0)),0)</f>
        <v>0</v>
      </c>
      <c r="E4" s="12">
        <f>ROUND(SUMIFS(INDEX(PaymentBreakdown[],0,MATCH(E$2,PaymentBreakdown[#Headers],0)),PaymentBreakdown[AEA],$A4,PaymentBreakdown[FiscalYear],$K$1)/SUMIFS(INDEX(PaymentBreakdown[],0,MATCH($I$2,PaymentBreakdown[#Headers],0)),PaymentBreakdown[AEA],$A4,PaymentBreakdown[FiscalYear],$K$1)*
INDEX(Data[],MATCH($A4,Data[AEA],0),MATCH("Pay1 - July - Feb",Data[#Headers],0)),0)</f>
        <v>0</v>
      </c>
      <c r="F4" s="22">
        <f>ROUND(SUMIFS(INDEX(PaymentBreakdown[],0,MATCH(F$2,PaymentBreakdown[#Headers],0)),PaymentBreakdown[AEA],$A4,PaymentBreakdown[FiscalYear],$K$1)/SUMIFS(INDEX(PaymentBreakdown[],0,MATCH($I$2,PaymentBreakdown[#Headers],0)),PaymentBreakdown[AEA],$A4,PaymentBreakdown[FiscalYear],$K$1)*
INDEX(Data[],MATCH($A4,Data[AEA],0),MATCH("Pay1 - July - Feb",Data[#Headers],0)),0)</f>
        <v>321784</v>
      </c>
      <c r="G4" s="19">
        <f>ROUND(SUMIFS(INDEX(PaymentBreakdown[],0,MATCH(G$2,PaymentBreakdown[#Headers],0)),PaymentBreakdown[AEA],$A4,PaymentBreakdown[FiscalYear],$K$1)/SUMIFS(INDEX(PaymentBreakdown[],0,MATCH($I$2,PaymentBreakdown[#Headers],0)),PaymentBreakdown[AEA],$A4,PaymentBreakdown[FiscalYear],$K$1)*
INDEX(Data[],MATCH($A4,Data[AEA],0),MATCH("Pay1 - July - Feb",Data[#Headers],0)),0)</f>
        <v>40684</v>
      </c>
      <c r="H4" s="19">
        <f>ROUND(SUMIFS(INDEX(PaymentBreakdown[],0,MATCH(H$2,PaymentBreakdown[#Headers],0)),PaymentBreakdown[AEA],$A4,PaymentBreakdown[FiscalYear],$K$1)/SUMIFS(INDEX(PaymentBreakdown[],0,MATCH($I$2,PaymentBreakdown[#Headers],0)),PaymentBreakdown[AEA],$A4,PaymentBreakdown[FiscalYear],$K$1)*
INDEX(Data[],MATCH($A4,Data[AEA],0),MATCH("Pay1 - July - Feb",Data[#Headers],0)),0)</f>
        <v>45543</v>
      </c>
      <c r="I4" s="12">
        <f>ROUND(SUMIFS(INDEX(PaymentBreakdown[],0,MATCH(I$2,PaymentBreakdown[#Headers],0)),PaymentBreakdown[AEA],$A4,PaymentBreakdown[FiscalYear],$K$1)/SUMIFS(INDEX(PaymentBreakdown[],0,MATCH($I$2,PaymentBreakdown[#Headers],0)),PaymentBreakdown[AEA],$A4,PaymentBreakdown[FiscalYear],$K$1)*
INDEX(Data[],MATCH($A4,Data[AEA],0),MATCH("Pay1 - July - Feb",Data[#Headers],0)),0)</f>
        <v>408011</v>
      </c>
      <c r="K4" s="6">
        <f t="shared" ref="K4:K12" si="2">E4-D4-C4</f>
        <v>0</v>
      </c>
      <c r="L4" s="6">
        <f t="shared" si="0"/>
        <v>0</v>
      </c>
      <c r="M4" s="6">
        <f t="shared" si="1"/>
        <v>0</v>
      </c>
    </row>
    <row r="5" spans="1:13" x14ac:dyDescent="0.25">
      <c r="A5" s="18" t="str">
        <f>Data!A4</f>
        <v>07</v>
      </c>
      <c r="B5" s="11" t="str">
        <f>INDEX(Data_Detail_OLD[],MATCH('PaymentCodingDetai_July-Feb'!$A5,Data_Detail_OLD[AEA],0),3)</f>
        <v>Central Rivers</v>
      </c>
      <c r="C5" s="22">
        <f>ROUND(SUMIFS(INDEX(PaymentBreakdown[],0,MATCH(C$2,PaymentBreakdown[#Headers],0)),PaymentBreakdown[AEA],$A5,PaymentBreakdown[FiscalYear],$K$1)/SUMIFS(INDEX(PaymentBreakdown[],0,MATCH($I$2,PaymentBreakdown[#Headers],0)),PaymentBreakdown[AEA],$A5,PaymentBreakdown[FiscalYear],$K$1)*
INDEX(Data[],MATCH($A5,Data[AEA],0),MATCH("Pay1 - July - Feb",Data[#Headers],0)),0)</f>
        <v>5865</v>
      </c>
      <c r="D5" s="19">
        <f>ROUND(SUMIFS(INDEX(PaymentBreakdown[],0,MATCH(D$2,PaymentBreakdown[#Headers],0)),PaymentBreakdown[AEA],$A5,PaymentBreakdown[FiscalYear],$K$1)/SUMIFS(INDEX(PaymentBreakdown[],0,MATCH($I$2,PaymentBreakdown[#Headers],0)),PaymentBreakdown[AEA],$A5,PaymentBreakdown[FiscalYear],$K$1)*
INDEX(Data[],MATCH($A5,Data[AEA],0),MATCH("Pay1 - July - Feb",Data[#Headers],0)),0)</f>
        <v>1635</v>
      </c>
      <c r="E5" s="12">
        <f>ROUND(SUMIFS(INDEX(PaymentBreakdown[],0,MATCH(E$2,PaymentBreakdown[#Headers],0)),PaymentBreakdown[AEA],$A5,PaymentBreakdown[FiscalYear],$K$1)/SUMIFS(INDEX(PaymentBreakdown[],0,MATCH($I$2,PaymentBreakdown[#Headers],0)),PaymentBreakdown[AEA],$A5,PaymentBreakdown[FiscalYear],$K$1)*
INDEX(Data[],MATCH($A5,Data[AEA],0),MATCH("Pay1 - July - Feb",Data[#Headers],0)),0)</f>
        <v>7500</v>
      </c>
      <c r="F5" s="22">
        <f>ROUND(SUMIFS(INDEX(PaymentBreakdown[],0,MATCH(F$2,PaymentBreakdown[#Headers],0)),PaymentBreakdown[AEA],$A5,PaymentBreakdown[FiscalYear],$K$1)/SUMIFS(INDEX(PaymentBreakdown[],0,MATCH($I$2,PaymentBreakdown[#Headers],0)),PaymentBreakdown[AEA],$A5,PaymentBreakdown[FiscalYear],$K$1)*
INDEX(Data[],MATCH($A5,Data[AEA],0),MATCH("Pay1 - July - Feb",Data[#Headers],0)),0)</f>
        <v>758537</v>
      </c>
      <c r="G5" s="19">
        <f>ROUND(SUMIFS(INDEX(PaymentBreakdown[],0,MATCH(G$2,PaymentBreakdown[#Headers],0)),PaymentBreakdown[AEA],$A5,PaymentBreakdown[FiscalYear],$K$1)/SUMIFS(INDEX(PaymentBreakdown[],0,MATCH($I$2,PaymentBreakdown[#Headers],0)),PaymentBreakdown[AEA],$A5,PaymentBreakdown[FiscalYear],$K$1)*
INDEX(Data[],MATCH($A5,Data[AEA],0),MATCH("Pay1 - July - Feb",Data[#Headers],0)),0)</f>
        <v>70286</v>
      </c>
      <c r="H5" s="19">
        <f>ROUND(SUMIFS(INDEX(PaymentBreakdown[],0,MATCH(H$2,PaymentBreakdown[#Headers],0)),PaymentBreakdown[AEA],$A5,PaymentBreakdown[FiscalYear],$K$1)/SUMIFS(INDEX(PaymentBreakdown[],0,MATCH($I$2,PaymentBreakdown[#Headers],0)),PaymentBreakdown[AEA],$A5,PaymentBreakdown[FiscalYear],$K$1)*
INDEX(Data[],MATCH($A5,Data[AEA],0),MATCH("Pay1 - July - Feb",Data[#Headers],0)),0)</f>
        <v>78340</v>
      </c>
      <c r="I5" s="12">
        <f>ROUND(SUMIFS(INDEX(PaymentBreakdown[],0,MATCH(I$2,PaymentBreakdown[#Headers],0)),PaymentBreakdown[AEA],$A5,PaymentBreakdown[FiscalYear],$K$1)/SUMIFS(INDEX(PaymentBreakdown[],0,MATCH($I$2,PaymentBreakdown[#Headers],0)),PaymentBreakdown[AEA],$A5,PaymentBreakdown[FiscalYear],$K$1)*
INDEX(Data[],MATCH($A5,Data[AEA],0),MATCH("Pay1 - July - Feb",Data[#Headers],0)),0)</f>
        <v>914663</v>
      </c>
      <c r="K5" s="6">
        <f t="shared" si="2"/>
        <v>0</v>
      </c>
      <c r="L5" s="6">
        <f t="shared" si="0"/>
        <v>0</v>
      </c>
      <c r="M5" s="6">
        <f t="shared" si="1"/>
        <v>0</v>
      </c>
    </row>
    <row r="6" spans="1:13" x14ac:dyDescent="0.25">
      <c r="A6" s="18" t="str">
        <f>Data!A5</f>
        <v>09</v>
      </c>
      <c r="B6" s="11" t="str">
        <f>INDEX(Data_Detail_OLD[],MATCH('PaymentCodingDetai_July-Feb'!$A6,Data_Detail_OLD[AEA],0),3)</f>
        <v>Mississippi Bend AEA 9</v>
      </c>
      <c r="C6" s="22">
        <f>ROUND(SUMIFS(INDEX(PaymentBreakdown[],0,MATCH(C$2,PaymentBreakdown[#Headers],0)),PaymentBreakdown[AEA],$A6,PaymentBreakdown[FiscalYear],$K$1)/SUMIFS(INDEX(PaymentBreakdown[],0,MATCH($I$2,PaymentBreakdown[#Headers],0)),PaymentBreakdown[AEA],$A6,PaymentBreakdown[FiscalYear],$K$1)*
INDEX(Data[],MATCH($A6,Data[AEA],0),MATCH("Pay1 - July - Feb",Data[#Headers],0)),0)</f>
        <v>5902</v>
      </c>
      <c r="D6" s="19">
        <f>ROUND(SUMIFS(INDEX(PaymentBreakdown[],0,MATCH(D$2,PaymentBreakdown[#Headers],0)),PaymentBreakdown[AEA],$A6,PaymentBreakdown[FiscalYear],$K$1)/SUMIFS(INDEX(PaymentBreakdown[],0,MATCH($I$2,PaymentBreakdown[#Headers],0)),PaymentBreakdown[AEA],$A6,PaymentBreakdown[FiscalYear],$K$1)*
INDEX(Data[],MATCH($A6,Data[AEA],0),MATCH("Pay1 - July - Feb",Data[#Headers],0)),0)</f>
        <v>1598</v>
      </c>
      <c r="E6" s="12">
        <f>ROUND(SUMIFS(INDEX(PaymentBreakdown[],0,MATCH(E$2,PaymentBreakdown[#Headers],0)),PaymentBreakdown[AEA],$A6,PaymentBreakdown[FiscalYear],$K$1)/SUMIFS(INDEX(PaymentBreakdown[],0,MATCH($I$2,PaymentBreakdown[#Headers],0)),PaymentBreakdown[AEA],$A6,PaymentBreakdown[FiscalYear],$K$1)*
INDEX(Data[],MATCH($A6,Data[AEA],0),MATCH("Pay1 - July - Feb",Data[#Headers],0)),0)</f>
        <v>7500</v>
      </c>
      <c r="F6" s="22">
        <f>ROUND(SUMIFS(INDEX(PaymentBreakdown[],0,MATCH(F$2,PaymentBreakdown[#Headers],0)),PaymentBreakdown[AEA],$A6,PaymentBreakdown[FiscalYear],$K$1)/SUMIFS(INDEX(PaymentBreakdown[],0,MATCH($I$2,PaymentBreakdown[#Headers],0)),PaymentBreakdown[AEA],$A6,PaymentBreakdown[FiscalYear],$K$1)*
INDEX(Data[],MATCH($A6,Data[AEA],0),MATCH("Pay1 - July - Feb",Data[#Headers],0)),0)</f>
        <v>412684</v>
      </c>
      <c r="G6" s="19">
        <f>ROUND(SUMIFS(INDEX(PaymentBreakdown[],0,MATCH(G$2,PaymentBreakdown[#Headers],0)),PaymentBreakdown[AEA],$A6,PaymentBreakdown[FiscalYear],$K$1)/SUMIFS(INDEX(PaymentBreakdown[],0,MATCH($I$2,PaymentBreakdown[#Headers],0)),PaymentBreakdown[AEA],$A6,PaymentBreakdown[FiscalYear],$K$1)*
INDEX(Data[],MATCH($A6,Data[AEA],0),MATCH("Pay1 - July - Feb",Data[#Headers],0)),0)</f>
        <v>68299</v>
      </c>
      <c r="H6" s="19">
        <f>ROUND(SUMIFS(INDEX(PaymentBreakdown[],0,MATCH(H$2,PaymentBreakdown[#Headers],0)),PaymentBreakdown[AEA],$A6,PaymentBreakdown[FiscalYear],$K$1)/SUMIFS(INDEX(PaymentBreakdown[],0,MATCH($I$2,PaymentBreakdown[#Headers],0)),PaymentBreakdown[AEA],$A6,PaymentBreakdown[FiscalYear],$K$1)*
INDEX(Data[],MATCH($A6,Data[AEA],0),MATCH("Pay1 - July - Feb",Data[#Headers],0)),0)</f>
        <v>74705</v>
      </c>
      <c r="I6" s="12">
        <f>ROUND(SUMIFS(INDEX(PaymentBreakdown[],0,MATCH(I$2,PaymentBreakdown[#Headers],0)),PaymentBreakdown[AEA],$A6,PaymentBreakdown[FiscalYear],$K$1)/SUMIFS(INDEX(PaymentBreakdown[],0,MATCH($I$2,PaymentBreakdown[#Headers],0)),PaymentBreakdown[AEA],$A6,PaymentBreakdown[FiscalYear],$K$1)*
INDEX(Data[],MATCH($A6,Data[AEA],0),MATCH("Pay1 - July - Feb",Data[#Headers],0)),0)</f>
        <v>563188</v>
      </c>
      <c r="K6" s="6">
        <f t="shared" si="2"/>
        <v>0</v>
      </c>
      <c r="L6" s="6">
        <f t="shared" si="0"/>
        <v>0</v>
      </c>
      <c r="M6" s="6">
        <f t="shared" si="1"/>
        <v>0</v>
      </c>
    </row>
    <row r="7" spans="1:13" x14ac:dyDescent="0.25">
      <c r="A7" s="18" t="str">
        <f>Data!A6</f>
        <v>10</v>
      </c>
      <c r="B7" s="11" t="str">
        <f>INDEX(Data_Detail_OLD[],MATCH('PaymentCodingDetai_July-Feb'!$A7,Data_Detail_OLD[AEA],0),3)</f>
        <v>Grant Wood AEA 10</v>
      </c>
      <c r="C7" s="22">
        <f>ROUND(SUMIFS(INDEX(PaymentBreakdown[],0,MATCH(C$2,PaymentBreakdown[#Headers],0)),PaymentBreakdown[AEA],$A7,PaymentBreakdown[FiscalYear],$K$1)/SUMIFS(INDEX(PaymentBreakdown[],0,MATCH($I$2,PaymentBreakdown[#Headers],0)),PaymentBreakdown[AEA],$A7,PaymentBreakdown[FiscalYear],$K$1)*
INDEX(Data[],MATCH($A7,Data[AEA],0),MATCH("Pay1 - July - Feb",Data[#Headers],0)),0)</f>
        <v>5935</v>
      </c>
      <c r="D7" s="19">
        <f>ROUND(SUMIFS(INDEX(PaymentBreakdown[],0,MATCH(D$2,PaymentBreakdown[#Headers],0)),PaymentBreakdown[AEA],$A7,PaymentBreakdown[FiscalYear],$K$1)/SUMIFS(INDEX(PaymentBreakdown[],0,MATCH($I$2,PaymentBreakdown[#Headers],0)),PaymentBreakdown[AEA],$A7,PaymentBreakdown[FiscalYear],$K$1)*
INDEX(Data[],MATCH($A7,Data[AEA],0),MATCH("Pay1 - July - Feb",Data[#Headers],0)),0)</f>
        <v>1566</v>
      </c>
      <c r="E7" s="12">
        <f>ROUND(SUMIFS(INDEX(PaymentBreakdown[],0,MATCH(E$2,PaymentBreakdown[#Headers],0)),PaymentBreakdown[AEA],$A7,PaymentBreakdown[FiscalYear],$K$1)/SUMIFS(INDEX(PaymentBreakdown[],0,MATCH($I$2,PaymentBreakdown[#Headers],0)),PaymentBreakdown[AEA],$A7,PaymentBreakdown[FiscalYear],$K$1)*
INDEX(Data[],MATCH($A7,Data[AEA],0),MATCH("Pay1 - July - Feb",Data[#Headers],0)),0)</f>
        <v>7501</v>
      </c>
      <c r="F7" s="22">
        <f>ROUND(SUMIFS(INDEX(PaymentBreakdown[],0,MATCH(F$2,PaymentBreakdown[#Headers],0)),PaymentBreakdown[AEA],$A7,PaymentBreakdown[FiscalYear],$K$1)/SUMIFS(INDEX(PaymentBreakdown[],0,MATCH($I$2,PaymentBreakdown[#Headers],0)),PaymentBreakdown[AEA],$A7,PaymentBreakdown[FiscalYear],$K$1)*
INDEX(Data[],MATCH($A7,Data[AEA],0),MATCH("Pay1 - July - Feb",Data[#Headers],0)),0)</f>
        <v>651630</v>
      </c>
      <c r="G7" s="19">
        <f>ROUND(SUMIFS(INDEX(PaymentBreakdown[],0,MATCH(G$2,PaymentBreakdown[#Headers],0)),PaymentBreakdown[AEA],$A7,PaymentBreakdown[FiscalYear],$K$1)/SUMIFS(INDEX(PaymentBreakdown[],0,MATCH($I$2,PaymentBreakdown[#Headers],0)),PaymentBreakdown[AEA],$A7,PaymentBreakdown[FiscalYear],$K$1)*
INDEX(Data[],MATCH($A7,Data[AEA],0),MATCH("Pay1 - July - Feb",Data[#Headers],0)),0)</f>
        <v>102982</v>
      </c>
      <c r="H7" s="19">
        <f>ROUND(SUMIFS(INDEX(PaymentBreakdown[],0,MATCH(H$2,PaymentBreakdown[#Headers],0)),PaymentBreakdown[AEA],$A7,PaymentBreakdown[FiscalYear],$K$1)/SUMIFS(INDEX(PaymentBreakdown[],0,MATCH($I$2,PaymentBreakdown[#Headers],0)),PaymentBreakdown[AEA],$A7,PaymentBreakdown[FiscalYear],$K$1)*
INDEX(Data[],MATCH($A7,Data[AEA],0),MATCH("Pay1 - July - Feb",Data[#Headers],0)),0)</f>
        <v>113269</v>
      </c>
      <c r="I7" s="12">
        <f>ROUND(SUMIFS(INDEX(PaymentBreakdown[],0,MATCH(I$2,PaymentBreakdown[#Headers],0)),PaymentBreakdown[AEA],$A7,PaymentBreakdown[FiscalYear],$K$1)/SUMIFS(INDEX(PaymentBreakdown[],0,MATCH($I$2,PaymentBreakdown[#Headers],0)),PaymentBreakdown[AEA],$A7,PaymentBreakdown[FiscalYear],$K$1)*
INDEX(Data[],MATCH($A7,Data[AEA],0),MATCH("Pay1 - July - Feb",Data[#Headers],0)),0)</f>
        <v>875382</v>
      </c>
      <c r="K7" s="6">
        <f t="shared" si="2"/>
        <v>0</v>
      </c>
      <c r="L7" s="6">
        <f t="shared" si="0"/>
        <v>0</v>
      </c>
      <c r="M7" s="6">
        <f t="shared" si="1"/>
        <v>0</v>
      </c>
    </row>
    <row r="8" spans="1:13" x14ac:dyDescent="0.25">
      <c r="A8" s="18" t="str">
        <f>Data!A7</f>
        <v>11</v>
      </c>
      <c r="B8" s="11" t="str">
        <f>INDEX(Data_Detail_OLD[],MATCH('PaymentCodingDetai_July-Feb'!$A8,Data_Detail_OLD[AEA],0),3)</f>
        <v>Heartland AEA 11</v>
      </c>
      <c r="C8" s="22">
        <f>ROUND(SUMIFS(INDEX(PaymentBreakdown[],0,MATCH(C$2,PaymentBreakdown[#Headers],0)),PaymentBreakdown[AEA],$A8,PaymentBreakdown[FiscalYear],$K$1)/SUMIFS(INDEX(PaymentBreakdown[],0,MATCH($I$2,PaymentBreakdown[#Headers],0)),PaymentBreakdown[AEA],$A8,PaymentBreakdown[FiscalYear],$K$1)*
INDEX(Data[],MATCH($A8,Data[AEA],0),MATCH("Pay1 - July - Feb",Data[#Headers],0)),0)</f>
        <v>6055</v>
      </c>
      <c r="D8" s="19">
        <f>ROUND(SUMIFS(INDEX(PaymentBreakdown[],0,MATCH(D$2,PaymentBreakdown[#Headers],0)),PaymentBreakdown[AEA],$A8,PaymentBreakdown[FiscalYear],$K$1)/SUMIFS(INDEX(PaymentBreakdown[],0,MATCH($I$2,PaymentBreakdown[#Headers],0)),PaymentBreakdown[AEA],$A8,PaymentBreakdown[FiscalYear],$K$1)*
INDEX(Data[],MATCH($A8,Data[AEA],0),MATCH("Pay1 - July - Feb",Data[#Headers],0)),0)</f>
        <v>1445</v>
      </c>
      <c r="E8" s="12">
        <f>ROUND(SUMIFS(INDEX(PaymentBreakdown[],0,MATCH(E$2,PaymentBreakdown[#Headers],0)),PaymentBreakdown[AEA],$A8,PaymentBreakdown[FiscalYear],$K$1)/SUMIFS(INDEX(PaymentBreakdown[],0,MATCH($I$2,PaymentBreakdown[#Headers],0)),PaymentBreakdown[AEA],$A8,PaymentBreakdown[FiscalYear],$K$1)*
INDEX(Data[],MATCH($A8,Data[AEA],0),MATCH("Pay1 - July - Feb",Data[#Headers],0)),0)</f>
        <v>7500</v>
      </c>
      <c r="F8" s="22">
        <f>ROUND(SUMIFS(INDEX(PaymentBreakdown[],0,MATCH(F$2,PaymentBreakdown[#Headers],0)),PaymentBreakdown[AEA],$A8,PaymentBreakdown[FiscalYear],$K$1)/SUMIFS(INDEX(PaymentBreakdown[],0,MATCH($I$2,PaymentBreakdown[#Headers],0)),PaymentBreakdown[AEA],$A8,PaymentBreakdown[FiscalYear],$K$1)*
INDEX(Data[],MATCH($A8,Data[AEA],0),MATCH("Pay1 - July - Feb",Data[#Headers],0)),0)</f>
        <v>1209474</v>
      </c>
      <c r="G8" s="19">
        <f>ROUND(SUMIFS(INDEX(PaymentBreakdown[],0,MATCH(G$2,PaymentBreakdown[#Headers],0)),PaymentBreakdown[AEA],$A8,PaymentBreakdown[FiscalYear],$K$1)/SUMIFS(INDEX(PaymentBreakdown[],0,MATCH($I$2,PaymentBreakdown[#Headers],0)),PaymentBreakdown[AEA],$A8,PaymentBreakdown[FiscalYear],$K$1)*
INDEX(Data[],MATCH($A8,Data[AEA],0),MATCH("Pay1 - July - Feb",Data[#Headers],0)),0)+1</f>
        <v>218859</v>
      </c>
      <c r="H8" s="19">
        <f>ROUND(SUMIFS(INDEX(PaymentBreakdown[],0,MATCH(H$2,PaymentBreakdown[#Headers],0)),PaymentBreakdown[AEA],$A8,PaymentBreakdown[FiscalYear],$K$1)/SUMIFS(INDEX(PaymentBreakdown[],0,MATCH($I$2,PaymentBreakdown[#Headers],0)),PaymentBreakdown[AEA],$A8,PaymentBreakdown[FiscalYear],$K$1)*
INDEX(Data[],MATCH($A8,Data[AEA],0),MATCH("Pay1 - July - Feb",Data[#Headers],0)),0)</f>
        <v>240559</v>
      </c>
      <c r="I8" s="12">
        <f>ROUND(SUMIFS(INDEX(PaymentBreakdown[],0,MATCH(I$2,PaymentBreakdown[#Headers],0)),PaymentBreakdown[AEA],$A8,PaymentBreakdown[FiscalYear],$K$1)/SUMIFS(INDEX(PaymentBreakdown[],0,MATCH($I$2,PaymentBreakdown[#Headers],0)),PaymentBreakdown[AEA],$A8,PaymentBreakdown[FiscalYear],$K$1)*
INDEX(Data[],MATCH($A8,Data[AEA],0),MATCH("Pay1 - July - Feb",Data[#Headers],0)),0)</f>
        <v>1676392</v>
      </c>
      <c r="K8" s="6">
        <f t="shared" si="2"/>
        <v>0</v>
      </c>
      <c r="L8" s="6">
        <f>SUM(C8:D8,F8:H8)-I8</f>
        <v>0</v>
      </c>
      <c r="M8" s="6">
        <f t="shared" si="1"/>
        <v>0</v>
      </c>
    </row>
    <row r="9" spans="1:13" x14ac:dyDescent="0.25">
      <c r="A9" s="18" t="str">
        <f>Data!A8</f>
        <v>12</v>
      </c>
      <c r="B9" s="11" t="str">
        <f>INDEX(Data_Detail_OLD[],MATCH('PaymentCodingDetai_July-Feb'!$A9,Data_Detail_OLD[AEA],0),3)</f>
        <v>Northwest AEA</v>
      </c>
      <c r="C9" s="22">
        <f>ROUND(SUMIFS(INDEX(PaymentBreakdown[],0,MATCH(C$2,PaymentBreakdown[#Headers],0)),PaymentBreakdown[AEA],$A9,PaymentBreakdown[FiscalYear],$K$1)/SUMIFS(INDEX(PaymentBreakdown[],0,MATCH($I$2,PaymentBreakdown[#Headers],0)),PaymentBreakdown[AEA],$A9,PaymentBreakdown[FiscalYear],$K$1)*
INDEX(Data[],MATCH($A9,Data[AEA],0),MATCH("Pay1 - July - Feb",Data[#Headers],0)),0)-1</f>
        <v>5811</v>
      </c>
      <c r="D9" s="19">
        <f>ROUND(SUMIFS(INDEX(PaymentBreakdown[],0,MATCH(D$2,PaymentBreakdown[#Headers],0)),PaymentBreakdown[AEA],$A9,PaymentBreakdown[FiscalYear],$K$1)/SUMIFS(INDEX(PaymentBreakdown[],0,MATCH($I$2,PaymentBreakdown[#Headers],0)),PaymentBreakdown[AEA],$A9,PaymentBreakdown[FiscalYear],$K$1)*
INDEX(Data[],MATCH($A9,Data[AEA],0),MATCH("Pay1 - July - Feb",Data[#Headers],0)),0)</f>
        <v>1689</v>
      </c>
      <c r="E9" s="12">
        <f>ROUND(SUMIFS(INDEX(PaymentBreakdown[],0,MATCH(E$2,PaymentBreakdown[#Headers],0)),PaymentBreakdown[AEA],$A9,PaymentBreakdown[FiscalYear],$K$1)/SUMIFS(INDEX(PaymentBreakdown[],0,MATCH($I$2,PaymentBreakdown[#Headers],0)),PaymentBreakdown[AEA],$A9,PaymentBreakdown[FiscalYear],$K$1)*
INDEX(Data[],MATCH($A9,Data[AEA],0),MATCH("Pay1 - July - Feb",Data[#Headers],0)),0)</f>
        <v>7500</v>
      </c>
      <c r="F9" s="22">
        <f>ROUND(SUMIFS(INDEX(PaymentBreakdown[],0,MATCH(F$2,PaymentBreakdown[#Headers],0)),PaymentBreakdown[AEA],$A9,PaymentBreakdown[FiscalYear],$K$1)/SUMIFS(INDEX(PaymentBreakdown[],0,MATCH($I$2,PaymentBreakdown[#Headers],0)),PaymentBreakdown[AEA],$A9,PaymentBreakdown[FiscalYear],$K$1)*
INDEX(Data[],MATCH($A9,Data[AEA],0),MATCH("Pay1 - July - Feb",Data[#Headers],0)),0)+1</f>
        <v>406667</v>
      </c>
      <c r="G9" s="19">
        <f>ROUND(SUMIFS(INDEX(PaymentBreakdown[],0,MATCH(G$2,PaymentBreakdown[#Headers],0)),PaymentBreakdown[AEA],$A9,PaymentBreakdown[FiscalYear],$K$1)/SUMIFS(INDEX(PaymentBreakdown[],0,MATCH($I$2,PaymentBreakdown[#Headers],0)),PaymentBreakdown[AEA],$A9,PaymentBreakdown[FiscalYear],$K$1)*
INDEX(Data[],MATCH($A9,Data[AEA],0),MATCH("Pay1 - July - Feb",Data[#Headers],0)),0)+0</f>
        <v>97043</v>
      </c>
      <c r="H9" s="19">
        <f>ROUND(SUMIFS(INDEX(PaymentBreakdown[],0,MATCH(H$2,PaymentBreakdown[#Headers],0)),PaymentBreakdown[AEA],$A9,PaymentBreakdown[FiscalYear],$K$1)/SUMIFS(INDEX(PaymentBreakdown[],0,MATCH($I$2,PaymentBreakdown[#Headers],0)),PaymentBreakdown[AEA],$A9,PaymentBreakdown[FiscalYear],$K$1)*
INDEX(Data[],MATCH($A9,Data[AEA],0),MATCH("Pay1 - July - Feb",Data[#Headers],0)),0)</f>
        <v>108605</v>
      </c>
      <c r="I9" s="12">
        <f>ROUND(SUMIFS(INDEX(PaymentBreakdown[],0,MATCH(I$2,PaymentBreakdown[#Headers],0)),PaymentBreakdown[AEA],$A9,PaymentBreakdown[FiscalYear],$K$1)/SUMIFS(INDEX(PaymentBreakdown[],0,MATCH($I$2,PaymentBreakdown[#Headers],0)),PaymentBreakdown[AEA],$A9,PaymentBreakdown[FiscalYear],$K$1)*
INDEX(Data[],MATCH($A9,Data[AEA],0),MATCH("Pay1 - July - Feb",Data[#Headers],0)),0)</f>
        <v>619815</v>
      </c>
      <c r="K9" s="6">
        <f>E9-D9-C9</f>
        <v>0</v>
      </c>
      <c r="L9" s="6">
        <f t="shared" si="0"/>
        <v>0</v>
      </c>
      <c r="M9" s="6">
        <f t="shared" si="1"/>
        <v>0</v>
      </c>
    </row>
    <row r="10" spans="1:13" x14ac:dyDescent="0.25">
      <c r="A10" s="18" t="str">
        <f>Data!A9</f>
        <v>13</v>
      </c>
      <c r="B10" s="11" t="str">
        <f>INDEX(Data_Detail_OLD[],MATCH('PaymentCodingDetai_July-Feb'!$A10,Data_Detail_OLD[AEA],0),3)</f>
        <v>Green Hills AEA 13</v>
      </c>
      <c r="C10" s="22">
        <f>ROUND(SUMIFS(INDEX(PaymentBreakdown[],0,MATCH(C$2,PaymentBreakdown[#Headers],0)),PaymentBreakdown[AEA],$A10,PaymentBreakdown[FiscalYear],$K$1)/SUMIFS(INDEX(PaymentBreakdown[],0,MATCH($I$2,PaymentBreakdown[#Headers],0)),PaymentBreakdown[AEA],$A10,PaymentBreakdown[FiscalYear],$K$1)*
INDEX(Data[],MATCH($A10,Data[AEA],0),MATCH("Pay1 - July - Feb",Data[#Headers],0)),0)</f>
        <v>5921</v>
      </c>
      <c r="D10" s="19">
        <f>ROUND(SUMIFS(INDEX(PaymentBreakdown[],0,MATCH(D$2,PaymentBreakdown[#Headers],0)),PaymentBreakdown[AEA],$A10,PaymentBreakdown[FiscalYear],$K$1)/SUMIFS(INDEX(PaymentBreakdown[],0,MATCH($I$2,PaymentBreakdown[#Headers],0)),PaymentBreakdown[AEA],$A10,PaymentBreakdown[FiscalYear],$K$1)*
INDEX(Data[],MATCH($A10,Data[AEA],0),MATCH("Pay1 - July - Feb",Data[#Headers],0)),0)</f>
        <v>1580</v>
      </c>
      <c r="E10" s="12">
        <f>ROUND(SUMIFS(INDEX(PaymentBreakdown[],0,MATCH(E$2,PaymentBreakdown[#Headers],0)),PaymentBreakdown[AEA],$A10,PaymentBreakdown[FiscalYear],$K$1)/SUMIFS(INDEX(PaymentBreakdown[],0,MATCH($I$2,PaymentBreakdown[#Headers],0)),PaymentBreakdown[AEA],$A10,PaymentBreakdown[FiscalYear],$K$1)*
INDEX(Data[],MATCH($A10,Data[AEA],0),MATCH("Pay1 - July - Feb",Data[#Headers],0)),0)</f>
        <v>7501</v>
      </c>
      <c r="F10" s="22">
        <f>ROUND(SUMIFS(INDEX(PaymentBreakdown[],0,MATCH(F$2,PaymentBreakdown[#Headers],0)),PaymentBreakdown[AEA],$A10,PaymentBreakdown[FiscalYear],$K$1)/SUMIFS(INDEX(PaymentBreakdown[],0,MATCH($I$2,PaymentBreakdown[#Headers],0)),PaymentBreakdown[AEA],$A10,PaymentBreakdown[FiscalYear],$K$1)*
INDEX(Data[],MATCH($A10,Data[AEA],0),MATCH("Pay1 - July - Feb",Data[#Headers],0)),0)-1</f>
        <v>380737</v>
      </c>
      <c r="G10" s="19">
        <f>ROUND(SUMIFS(INDEX(PaymentBreakdown[],0,MATCH(G$2,PaymentBreakdown[#Headers],0)),PaymentBreakdown[AEA],$A10,PaymentBreakdown[FiscalYear],$K$1)/SUMIFS(INDEX(PaymentBreakdown[],0,MATCH($I$2,PaymentBreakdown[#Headers],0)),PaymentBreakdown[AEA],$A10,PaymentBreakdown[FiscalYear],$K$1)*
INDEX(Data[],MATCH($A10,Data[AEA],0),MATCH("Pay1 - July - Feb",Data[#Headers],0)),0)</f>
        <v>22507</v>
      </c>
      <c r="H10" s="19">
        <f>ROUND(SUMIFS(INDEX(PaymentBreakdown[],0,MATCH(H$2,PaymentBreakdown[#Headers],0)),PaymentBreakdown[AEA],$A10,PaymentBreakdown[FiscalYear],$K$1)/SUMIFS(INDEX(PaymentBreakdown[],0,MATCH($I$2,PaymentBreakdown[#Headers],0)),PaymentBreakdown[AEA],$A10,PaymentBreakdown[FiscalYear],$K$1)*
INDEX(Data[],MATCH($A10,Data[AEA],0),MATCH("Pay1 - July - Feb",Data[#Headers],0)),0)</f>
        <v>24886</v>
      </c>
      <c r="I10" s="12">
        <f>ROUND(SUMIFS(INDEX(PaymentBreakdown[],0,MATCH(I$2,PaymentBreakdown[#Headers],0)),PaymentBreakdown[AEA],$A10,PaymentBreakdown[FiscalYear],$K$1)/SUMIFS(INDEX(PaymentBreakdown[],0,MATCH($I$2,PaymentBreakdown[#Headers],0)),PaymentBreakdown[AEA],$A10,PaymentBreakdown[FiscalYear],$K$1)*
INDEX(Data[],MATCH($A10,Data[AEA],0),MATCH("Pay1 - July - Feb",Data[#Headers],0)),0)</f>
        <v>435631</v>
      </c>
      <c r="K10" s="6">
        <f t="shared" si="2"/>
        <v>0</v>
      </c>
      <c r="L10" s="6">
        <f t="shared" si="0"/>
        <v>0</v>
      </c>
      <c r="M10" s="6">
        <f t="shared" si="1"/>
        <v>0</v>
      </c>
    </row>
    <row r="11" spans="1:13" x14ac:dyDescent="0.25">
      <c r="A11" s="18" t="str">
        <f>Data!A10</f>
        <v>15</v>
      </c>
      <c r="B11" s="11" t="str">
        <f>INDEX(Data_Detail_OLD[],MATCH('PaymentCodingDetai_July-Feb'!$A11,Data_Detail_OLD[AEA],0),3)</f>
        <v>Great Prairie AEA 15</v>
      </c>
      <c r="C11" s="22">
        <f>ROUND(SUMIFS(INDEX(PaymentBreakdown[],0,MATCH(C$2,PaymentBreakdown[#Headers],0)),PaymentBreakdown[AEA],$A11,PaymentBreakdown[FiscalYear],$K$1)/SUMIFS(INDEX(PaymentBreakdown[],0,MATCH($I$2,PaymentBreakdown[#Headers],0)),PaymentBreakdown[AEA],$A11,PaymentBreakdown[FiscalYear],$K$1)*
INDEX(Data[],MATCH($A11,Data[AEA],0),MATCH("Pay1 - July - Feb",Data[#Headers],0)),0)</f>
        <v>5963</v>
      </c>
      <c r="D11" s="19">
        <f>ROUND(SUMIFS(INDEX(PaymentBreakdown[],0,MATCH(D$2,PaymentBreakdown[#Headers],0)),PaymentBreakdown[AEA],$A11,PaymentBreakdown[FiscalYear],$K$1)/SUMIFS(INDEX(PaymentBreakdown[],0,MATCH($I$2,PaymentBreakdown[#Headers],0)),PaymentBreakdown[AEA],$A11,PaymentBreakdown[FiscalYear],$K$1)*
INDEX(Data[],MATCH($A11,Data[AEA],0),MATCH("Pay1 - July - Feb",Data[#Headers],0)),0)</f>
        <v>1538</v>
      </c>
      <c r="E11" s="12">
        <f>ROUND(SUMIFS(INDEX(PaymentBreakdown[],0,MATCH(E$2,PaymentBreakdown[#Headers],0)),PaymentBreakdown[AEA],$A11,PaymentBreakdown[FiscalYear],$K$1)/SUMIFS(INDEX(PaymentBreakdown[],0,MATCH($I$2,PaymentBreakdown[#Headers],0)),PaymentBreakdown[AEA],$A11,PaymentBreakdown[FiscalYear],$K$1)*
INDEX(Data[],MATCH($A11,Data[AEA],0),MATCH("Pay1 - July - Feb",Data[#Headers],0)),0)</f>
        <v>7501</v>
      </c>
      <c r="F11" s="22">
        <f>ROUND(SUMIFS(INDEX(PaymentBreakdown[],0,MATCH(F$2,PaymentBreakdown[#Headers],0)),PaymentBreakdown[AEA],$A11,PaymentBreakdown[FiscalYear],$K$1)/SUMIFS(INDEX(PaymentBreakdown[],0,MATCH($I$2,PaymentBreakdown[#Headers],0)),PaymentBreakdown[AEA],$A11,PaymentBreakdown[FiscalYear],$K$1)*
INDEX(Data[],MATCH($A11,Data[AEA],0),MATCH("Pay1 - July - Feb",Data[#Headers],0)),0)</f>
        <v>334628</v>
      </c>
      <c r="G11" s="19">
        <f>ROUND(SUMIFS(INDEX(PaymentBreakdown[],0,MATCH(G$2,PaymentBreakdown[#Headers],0)),PaymentBreakdown[AEA],$A11,PaymentBreakdown[FiscalYear],$K$1)/SUMIFS(INDEX(PaymentBreakdown[],0,MATCH($I$2,PaymentBreakdown[#Headers],0)),PaymentBreakdown[AEA],$A11,PaymentBreakdown[FiscalYear],$K$1)*
INDEX(Data[],MATCH($A11,Data[AEA],0),MATCH("Pay1 - July - Feb",Data[#Headers],0)),0)</f>
        <v>26869</v>
      </c>
      <c r="H11" s="19">
        <f>ROUND(SUMIFS(INDEX(PaymentBreakdown[],0,MATCH(H$2,PaymentBreakdown[#Headers],0)),PaymentBreakdown[AEA],$A11,PaymentBreakdown[FiscalYear],$K$1)/SUMIFS(INDEX(PaymentBreakdown[],0,MATCH($I$2,PaymentBreakdown[#Headers],0)),PaymentBreakdown[AEA],$A11,PaymentBreakdown[FiscalYear],$K$1)*
INDEX(Data[],MATCH($A11,Data[AEA],0),MATCH("Pay1 - July - Feb",Data[#Headers],0)),0)</f>
        <v>29549</v>
      </c>
      <c r="I11" s="12">
        <f>ROUND(SUMIFS(INDEX(PaymentBreakdown[],0,MATCH(I$2,PaymentBreakdown[#Headers],0)),PaymentBreakdown[AEA],$A11,PaymentBreakdown[FiscalYear],$K$1)/SUMIFS(INDEX(PaymentBreakdown[],0,MATCH($I$2,PaymentBreakdown[#Headers],0)),PaymentBreakdown[AEA],$A11,PaymentBreakdown[FiscalYear],$K$1)*
INDEX(Data[],MATCH($A11,Data[AEA],0),MATCH("Pay1 - July - Feb",Data[#Headers],0)),0)</f>
        <v>398547</v>
      </c>
      <c r="K11" s="6">
        <f t="shared" si="2"/>
        <v>0</v>
      </c>
      <c r="L11" s="6">
        <f t="shared" si="0"/>
        <v>0</v>
      </c>
      <c r="M11" s="6">
        <f t="shared" si="1"/>
        <v>0</v>
      </c>
    </row>
    <row r="12" spans="1:13" ht="15.75" thickBot="1" x14ac:dyDescent="0.3">
      <c r="C12" s="37">
        <f>SUM(C3:C11)</f>
        <v>47144</v>
      </c>
      <c r="D12" s="20">
        <f t="shared" ref="D12:G12" si="3">SUM(D3:D11)</f>
        <v>12860</v>
      </c>
      <c r="E12" s="16">
        <f t="shared" si="3"/>
        <v>60004</v>
      </c>
      <c r="F12" s="37">
        <f t="shared" si="3"/>
        <v>4763968</v>
      </c>
      <c r="G12" s="20">
        <f t="shared" si="3"/>
        <v>717734</v>
      </c>
      <c r="H12" s="20">
        <f>SUM(H3:H11)</f>
        <v>793645</v>
      </c>
      <c r="I12" s="16">
        <f>SUM(I3:I11)</f>
        <v>6335351</v>
      </c>
      <c r="K12" s="6">
        <f t="shared" si="2"/>
        <v>0</v>
      </c>
      <c r="L12" s="6">
        <f t="shared" si="0"/>
        <v>0</v>
      </c>
      <c r="M12" s="6">
        <f t="shared" si="1"/>
        <v>0</v>
      </c>
    </row>
    <row r="13" spans="1:13" ht="7.5" customHeight="1" thickTop="1" x14ac:dyDescent="0.25"/>
    <row r="14" spans="1:13" ht="45" x14ac:dyDescent="0.25">
      <c r="A14" s="17" t="str">
        <f t="shared" ref="A14:B23" si="4">A2</f>
        <v>AEA</v>
      </c>
      <c r="B14" s="17" t="str">
        <f t="shared" si="4"/>
        <v>AEA Name</v>
      </c>
      <c r="C14" s="21" t="s">
        <v>754</v>
      </c>
      <c r="D14" s="9" t="s">
        <v>755</v>
      </c>
      <c r="G14" s="32"/>
    </row>
    <row r="15" spans="1:13" x14ac:dyDescent="0.25">
      <c r="A15" s="11" t="str">
        <f t="shared" si="4"/>
        <v>01</v>
      </c>
      <c r="B15" s="11" t="str">
        <f t="shared" si="4"/>
        <v>Keystone AEA 1</v>
      </c>
      <c r="C15" s="22">
        <f>ROUND(SUMIFS(INDEX(PaymentBreakdown[],0,MATCH(C$14,PaymentBreakdown[#Headers],0)),PaymentBreakdown[AEA],$A15,PaymentBreakdown[FiscalYear],$K$1)/SUMIFS(INDEX(PaymentBreakdown[],0,MATCH($I$2,PaymentBreakdown[#Headers],0)),PaymentBreakdown[AEA],$A15,PaymentBreakdown[FiscalYear],$K$1)*
INDEX(Data[],MATCH($A15,Data[AEA],0),MATCH("Pay1 - July - Feb",Data[#Headers],0)),0)</f>
        <v>293519</v>
      </c>
      <c r="D15" s="19">
        <f>ROUND(SUMIFS(INDEX(PaymentBreakdown[],0,MATCH(D$14,PaymentBreakdown[#Headers],0)),PaymentBreakdown[AEA],$A15,PaymentBreakdown[FiscalYear],$K$1)/SUMIFS(INDEX(PaymentBreakdown[],0,MATCH($I$2,PaymentBreakdown[#Headers],0)),PaymentBreakdown[AEA],$A15,PaymentBreakdown[FiscalYear],$K$1)*
INDEX(Data[],MATCH($A15,Data[AEA],0),MATCH("Pay1 - July - Feb",Data[#Headers],0)),0)</f>
        <v>150203</v>
      </c>
      <c r="G15" s="60"/>
    </row>
    <row r="16" spans="1:13" x14ac:dyDescent="0.25">
      <c r="A16" s="11" t="str">
        <f t="shared" si="4"/>
        <v>05</v>
      </c>
      <c r="B16" s="11" t="str">
        <f t="shared" si="4"/>
        <v>Prairie Lakes AEA 8</v>
      </c>
      <c r="C16" s="22">
        <f>ROUND(SUMIFS(INDEX(PaymentBreakdown[],0,MATCH(C$14,PaymentBreakdown[#Headers],0)),PaymentBreakdown[AEA],$A16,PaymentBreakdown[FiscalYear],$K$1)/SUMIFS(INDEX(PaymentBreakdown[],0,MATCH($I$2,PaymentBreakdown[#Headers],0)),PaymentBreakdown[AEA],$A16,PaymentBreakdown[FiscalYear],$K$1)*
INDEX(Data[],MATCH($A16,Data[AEA],0),MATCH("Pay1 - July - Feb",Data[#Headers],0)),0)</f>
        <v>321784</v>
      </c>
      <c r="D16" s="19">
        <f>ROUND(SUMIFS(INDEX(PaymentBreakdown[],0,MATCH(D$14,PaymentBreakdown[#Headers],0)),PaymentBreakdown[AEA],$A16,PaymentBreakdown[FiscalYear],$K$1)/SUMIFS(INDEX(PaymentBreakdown[],0,MATCH($I$2,PaymentBreakdown[#Headers],0)),PaymentBreakdown[AEA],$A16,PaymentBreakdown[FiscalYear],$K$1)*
INDEX(Data[],MATCH($A16,Data[AEA],0),MATCH("Pay1 - July - Feb",Data[#Headers],0)),0)</f>
        <v>86227</v>
      </c>
      <c r="F16" s="84" t="s">
        <v>62</v>
      </c>
      <c r="G16" s="60"/>
    </row>
    <row r="17" spans="1:13" x14ac:dyDescent="0.25">
      <c r="A17" s="11" t="str">
        <f t="shared" si="4"/>
        <v>07</v>
      </c>
      <c r="B17" s="11" t="str">
        <f t="shared" si="4"/>
        <v>Central Rivers</v>
      </c>
      <c r="C17" s="22">
        <f>ROUND(SUMIFS(INDEX(PaymentBreakdown[],0,MATCH(C$14,PaymentBreakdown[#Headers],0)),PaymentBreakdown[AEA],$A17,PaymentBreakdown[FiscalYear],$K$1)/SUMIFS(INDEX(PaymentBreakdown[],0,MATCH($I$2,PaymentBreakdown[#Headers],0)),PaymentBreakdown[AEA],$A17,PaymentBreakdown[FiscalYear],$K$1)*
INDEX(Data[],MATCH($A17,Data[AEA],0),MATCH("Pay1 - July - Feb",Data[#Headers],0)),0)</f>
        <v>764402</v>
      </c>
      <c r="D17" s="19">
        <f>ROUND(SUMIFS(INDEX(PaymentBreakdown[],0,MATCH(D$14,PaymentBreakdown[#Headers],0)),PaymentBreakdown[AEA],$A17,PaymentBreakdown[FiscalYear],$K$1)/SUMIFS(INDEX(PaymentBreakdown[],0,MATCH($I$2,PaymentBreakdown[#Headers],0)),PaymentBreakdown[AEA],$A17,PaymentBreakdown[FiscalYear],$K$1)*
INDEX(Data[],MATCH($A17,Data[AEA],0),MATCH("Pay1 - July - Feb",Data[#Headers],0)),0)</f>
        <v>150261</v>
      </c>
      <c r="F17" s="84"/>
      <c r="G17" s="60"/>
    </row>
    <row r="18" spans="1:13" x14ac:dyDescent="0.25">
      <c r="A18" s="11" t="str">
        <f t="shared" si="4"/>
        <v>09</v>
      </c>
      <c r="B18" s="11" t="str">
        <f t="shared" si="4"/>
        <v>Mississippi Bend AEA 9</v>
      </c>
      <c r="C18" s="22">
        <f>ROUND(SUMIFS(INDEX(PaymentBreakdown[],0,MATCH(C$14,PaymentBreakdown[#Headers],0)),PaymentBreakdown[AEA],$A18,PaymentBreakdown[FiscalYear],$K$1)/SUMIFS(INDEX(PaymentBreakdown[],0,MATCH($I$2,PaymentBreakdown[#Headers],0)),PaymentBreakdown[AEA],$A18,PaymentBreakdown[FiscalYear],$K$1)*
INDEX(Data[],MATCH($A18,Data[AEA],0),MATCH("Pay1 - July - Feb",Data[#Headers],0)),0)</f>
        <v>418586</v>
      </c>
      <c r="D18" s="19">
        <f>ROUND(SUMIFS(INDEX(PaymentBreakdown[],0,MATCH(D$14,PaymentBreakdown[#Headers],0)),PaymentBreakdown[AEA],$A18,PaymentBreakdown[FiscalYear],$K$1)/SUMIFS(INDEX(PaymentBreakdown[],0,MATCH($I$2,PaymentBreakdown[#Headers],0)),PaymentBreakdown[AEA],$A18,PaymentBreakdown[FiscalYear],$K$1)*
INDEX(Data[],MATCH($A18,Data[AEA],0),MATCH("Pay1 - July - Feb",Data[#Headers],0)),0)</f>
        <v>144602</v>
      </c>
      <c r="F18" s="85" t="s">
        <v>714</v>
      </c>
      <c r="G18" s="60"/>
    </row>
    <row r="19" spans="1:13" x14ac:dyDescent="0.25">
      <c r="A19" s="11" t="str">
        <f t="shared" si="4"/>
        <v>10</v>
      </c>
      <c r="B19" s="11" t="str">
        <f t="shared" si="4"/>
        <v>Grant Wood AEA 10</v>
      </c>
      <c r="C19" s="22">
        <f>ROUND(SUMIFS(INDEX(PaymentBreakdown[],0,MATCH(C$14,PaymentBreakdown[#Headers],0)),PaymentBreakdown[AEA],$A19,PaymentBreakdown[FiscalYear],$K$1)/SUMIFS(INDEX(PaymentBreakdown[],0,MATCH($I$2,PaymentBreakdown[#Headers],0)),PaymentBreakdown[AEA],$A19,PaymentBreakdown[FiscalYear],$K$1)*
INDEX(Data[],MATCH($A19,Data[AEA],0),MATCH("Pay1 - July - Feb",Data[#Headers],0)),0)</f>
        <v>657565</v>
      </c>
      <c r="D19" s="19">
        <f>ROUND(SUMIFS(INDEX(PaymentBreakdown[],0,MATCH(D$14,PaymentBreakdown[#Headers],0)),PaymentBreakdown[AEA],$A19,PaymentBreakdown[FiscalYear],$K$1)/SUMIFS(INDEX(PaymentBreakdown[],0,MATCH($I$2,PaymentBreakdown[#Headers],0)),PaymentBreakdown[AEA],$A19,PaymentBreakdown[FiscalYear],$K$1)*
INDEX(Data[],MATCH($A19,Data[AEA],0),MATCH("Pay1 - July - Feb",Data[#Headers],0)),0)</f>
        <v>217817</v>
      </c>
      <c r="F19" s="85"/>
      <c r="G19" s="60"/>
    </row>
    <row r="20" spans="1:13" x14ac:dyDescent="0.25">
      <c r="A20" s="11" t="str">
        <f t="shared" si="4"/>
        <v>11</v>
      </c>
      <c r="B20" s="11" t="str">
        <f t="shared" si="4"/>
        <v>Heartland AEA 11</v>
      </c>
      <c r="C20" s="22">
        <f>ROUND(SUMIFS(INDEX(PaymentBreakdown[],0,MATCH(C$14,PaymentBreakdown[#Headers],0)),PaymentBreakdown[AEA],$A20,PaymentBreakdown[FiscalYear],$K$1)/SUMIFS(INDEX(PaymentBreakdown[],0,MATCH($I$2,PaymentBreakdown[#Headers],0)),PaymentBreakdown[AEA],$A20,PaymentBreakdown[FiscalYear],$K$1)*
INDEX(Data[],MATCH($A20,Data[AEA],0),MATCH("Pay1 - July - Feb",Data[#Headers],0)),0)</f>
        <v>1215529</v>
      </c>
      <c r="D20" s="19">
        <f>ROUND(SUMIFS(INDEX(PaymentBreakdown[],0,MATCH(D$14,PaymentBreakdown[#Headers],0)),PaymentBreakdown[AEA],$A20,PaymentBreakdown[FiscalYear],$K$1)/SUMIFS(INDEX(PaymentBreakdown[],0,MATCH($I$2,PaymentBreakdown[#Headers],0)),PaymentBreakdown[AEA],$A20,PaymentBreakdown[FiscalYear],$K$1)*
INDEX(Data[],MATCH($A20,Data[AEA],0),MATCH("Pay1 - July - Feb",Data[#Headers],0)),0)</f>
        <v>460863</v>
      </c>
      <c r="G20" s="60"/>
    </row>
    <row r="21" spans="1:13" x14ac:dyDescent="0.25">
      <c r="A21" s="11" t="str">
        <f t="shared" si="4"/>
        <v>12</v>
      </c>
      <c r="B21" s="11" t="str">
        <f t="shared" si="4"/>
        <v>Northwest AEA</v>
      </c>
      <c r="C21" s="22">
        <f>ROUND(SUMIFS(INDEX(PaymentBreakdown[],0,MATCH(C$14,PaymentBreakdown[#Headers],0)),PaymentBreakdown[AEA],$A21,PaymentBreakdown[FiscalYear],$K$1)/SUMIFS(INDEX(PaymentBreakdown[],0,MATCH($I$2,PaymentBreakdown[#Headers],0)),PaymentBreakdown[AEA],$A21,PaymentBreakdown[FiscalYear],$K$1)*
INDEX(Data[],MATCH($A21,Data[AEA],0),MATCH("Pay1 - July - Feb",Data[#Headers],0)),0)</f>
        <v>412478</v>
      </c>
      <c r="D21" s="19">
        <f>ROUND(SUMIFS(INDEX(PaymentBreakdown[],0,MATCH(D$14,PaymentBreakdown[#Headers],0)),PaymentBreakdown[AEA],$A21,PaymentBreakdown[FiscalYear],$K$1)/SUMIFS(INDEX(PaymentBreakdown[],0,MATCH($I$2,PaymentBreakdown[#Headers],0)),PaymentBreakdown[AEA],$A21,PaymentBreakdown[FiscalYear],$K$1)*
INDEX(Data[],MATCH($A21,Data[AEA],0),MATCH("Pay1 - July - Feb",Data[#Headers],0)),0)</f>
        <v>207337</v>
      </c>
      <c r="G21" s="60"/>
    </row>
    <row r="22" spans="1:13" x14ac:dyDescent="0.25">
      <c r="A22" s="11" t="str">
        <f t="shared" si="4"/>
        <v>13</v>
      </c>
      <c r="B22" s="11" t="str">
        <f t="shared" si="4"/>
        <v>Green Hills AEA 13</v>
      </c>
      <c r="C22" s="22">
        <f>ROUND(SUMIFS(INDEX(PaymentBreakdown[],0,MATCH(C$14,PaymentBreakdown[#Headers],0)),PaymentBreakdown[AEA],$A22,PaymentBreakdown[FiscalYear],$K$1)/SUMIFS(INDEX(PaymentBreakdown[],0,MATCH($I$2,PaymentBreakdown[#Headers],0)),PaymentBreakdown[AEA],$A22,PaymentBreakdown[FiscalYear],$K$1)*
INDEX(Data[],MATCH($A22,Data[AEA],0),MATCH("Pay1 - July - Feb",Data[#Headers],0)),0)</f>
        <v>386658</v>
      </c>
      <c r="D22" s="19">
        <f>ROUND(SUMIFS(INDEX(PaymentBreakdown[],0,MATCH(D$14,PaymentBreakdown[#Headers],0)),PaymentBreakdown[AEA],$A22,PaymentBreakdown[FiscalYear],$K$1)/SUMIFS(INDEX(PaymentBreakdown[],0,MATCH($I$2,PaymentBreakdown[#Headers],0)),PaymentBreakdown[AEA],$A22,PaymentBreakdown[FiscalYear],$K$1)*
INDEX(Data[],MATCH($A22,Data[AEA],0),MATCH("Pay1 - July - Feb",Data[#Headers],0)),0)</f>
        <v>48973</v>
      </c>
      <c r="G22" s="60"/>
    </row>
    <row r="23" spans="1:13" x14ac:dyDescent="0.25">
      <c r="A23" s="11" t="str">
        <f t="shared" si="4"/>
        <v>15</v>
      </c>
      <c r="B23" s="11" t="str">
        <f t="shared" si="4"/>
        <v>Great Prairie AEA 15</v>
      </c>
      <c r="C23" s="22">
        <f>ROUND(SUMIFS(INDEX(PaymentBreakdown[],0,MATCH(C$14,PaymentBreakdown[#Headers],0)),PaymentBreakdown[AEA],$A23,PaymentBreakdown[FiscalYear],$K$1)/SUMIFS(INDEX(PaymentBreakdown[],0,MATCH($I$2,PaymentBreakdown[#Headers],0)),PaymentBreakdown[AEA],$A23,PaymentBreakdown[FiscalYear],$K$1)*
INDEX(Data[],MATCH($A23,Data[AEA],0),MATCH("Pay1 - July - Feb",Data[#Headers],0)),0)</f>
        <v>340591</v>
      </c>
      <c r="D23" s="19">
        <f>ROUND(SUMIFS(INDEX(PaymentBreakdown[],0,MATCH(D$14,PaymentBreakdown[#Headers],0)),PaymentBreakdown[AEA],$A23,PaymentBreakdown[FiscalYear],$K$1)/SUMIFS(INDEX(PaymentBreakdown[],0,MATCH($I$2,PaymentBreakdown[#Headers],0)),PaymentBreakdown[AEA],$A23,PaymentBreakdown[FiscalYear],$K$1)*
INDEX(Data[],MATCH($A23,Data[AEA],0),MATCH("Pay1 - July - Feb",Data[#Headers],0)),0)</f>
        <v>57956</v>
      </c>
      <c r="G23" s="60"/>
      <c r="K23" t="s">
        <v>757</v>
      </c>
    </row>
    <row r="24" spans="1:13" ht="15.75" thickBot="1" x14ac:dyDescent="0.3">
      <c r="C24" s="37">
        <f>SUM(C15:C23)</f>
        <v>4811112</v>
      </c>
      <c r="D24" s="20">
        <f>SUM(D15:D23)</f>
        <v>1524239</v>
      </c>
      <c r="G24" s="61"/>
      <c r="K24" s="86" t="s">
        <v>756</v>
      </c>
      <c r="L24" s="88" t="s">
        <v>63</v>
      </c>
    </row>
    <row r="25" spans="1:13" ht="15.75" thickTop="1" x14ac:dyDescent="0.25">
      <c r="K25" s="86"/>
      <c r="L25" s="88"/>
    </row>
    <row r="26" spans="1:13" x14ac:dyDescent="0.25">
      <c r="H26" s="6"/>
      <c r="K26" s="87"/>
      <c r="L26" s="89"/>
      <c r="M26" t="s">
        <v>761</v>
      </c>
    </row>
    <row r="27" spans="1:13" x14ac:dyDescent="0.25">
      <c r="J27" s="11" t="str">
        <f>B3</f>
        <v>Keystone AEA 1</v>
      </c>
      <c r="K27" s="6">
        <f>C3+F3-C15</f>
        <v>0</v>
      </c>
      <c r="L27" s="6">
        <f>D3+G3+H3-D15</f>
        <v>0</v>
      </c>
      <c r="M27" s="6">
        <f>I3-D15-C15</f>
        <v>0</v>
      </c>
    </row>
    <row r="28" spans="1:13" x14ac:dyDescent="0.25">
      <c r="J28" s="11" t="str">
        <f t="shared" ref="J28:J35" si="5">B4</f>
        <v>Prairie Lakes AEA 8</v>
      </c>
      <c r="K28" s="6">
        <f t="shared" ref="K28:K35" si="6">C4+F4-C16</f>
        <v>0</v>
      </c>
      <c r="L28" s="6">
        <f t="shared" ref="L28:L35" si="7">D4+G4+H4-D16</f>
        <v>0</v>
      </c>
      <c r="M28" s="6">
        <f t="shared" ref="M28:M35" si="8">I4-D16-C16</f>
        <v>0</v>
      </c>
    </row>
    <row r="29" spans="1:13" x14ac:dyDescent="0.25">
      <c r="J29" s="11" t="str">
        <f t="shared" si="5"/>
        <v>Central Rivers</v>
      </c>
      <c r="K29" s="6">
        <f t="shared" si="6"/>
        <v>0</v>
      </c>
      <c r="L29" s="6">
        <f t="shared" si="7"/>
        <v>0</v>
      </c>
      <c r="M29" s="6">
        <f t="shared" si="8"/>
        <v>0</v>
      </c>
    </row>
    <row r="30" spans="1:13" x14ac:dyDescent="0.25">
      <c r="J30" s="11" t="str">
        <f t="shared" si="5"/>
        <v>Mississippi Bend AEA 9</v>
      </c>
      <c r="K30" s="6">
        <f t="shared" si="6"/>
        <v>0</v>
      </c>
      <c r="L30" s="6">
        <f t="shared" si="7"/>
        <v>0</v>
      </c>
      <c r="M30" s="6">
        <f t="shared" si="8"/>
        <v>0</v>
      </c>
    </row>
    <row r="31" spans="1:13" x14ac:dyDescent="0.25">
      <c r="J31" s="11" t="str">
        <f t="shared" si="5"/>
        <v>Grant Wood AEA 10</v>
      </c>
      <c r="K31" s="6">
        <f t="shared" si="6"/>
        <v>0</v>
      </c>
      <c r="L31" s="6">
        <f t="shared" si="7"/>
        <v>0</v>
      </c>
      <c r="M31" s="6">
        <f t="shared" si="8"/>
        <v>0</v>
      </c>
    </row>
    <row r="32" spans="1:13" x14ac:dyDescent="0.25">
      <c r="J32" s="11" t="str">
        <f t="shared" si="5"/>
        <v>Heartland AEA 11</v>
      </c>
      <c r="K32" s="6">
        <f t="shared" si="6"/>
        <v>0</v>
      </c>
      <c r="L32" s="6">
        <f t="shared" si="7"/>
        <v>0</v>
      </c>
      <c r="M32" s="6">
        <f t="shared" si="8"/>
        <v>0</v>
      </c>
    </row>
    <row r="33" spans="10:13" x14ac:dyDescent="0.25">
      <c r="J33" s="11" t="str">
        <f t="shared" si="5"/>
        <v>Northwest AEA</v>
      </c>
      <c r="K33" s="6">
        <f>C9+F9-C21</f>
        <v>0</v>
      </c>
      <c r="L33" s="6">
        <f t="shared" si="7"/>
        <v>0</v>
      </c>
      <c r="M33" s="6">
        <f t="shared" si="8"/>
        <v>0</v>
      </c>
    </row>
    <row r="34" spans="10:13" x14ac:dyDescent="0.25">
      <c r="J34" s="11" t="str">
        <f t="shared" si="5"/>
        <v>Green Hills AEA 13</v>
      </c>
      <c r="K34" s="6">
        <f t="shared" si="6"/>
        <v>0</v>
      </c>
      <c r="L34" s="6">
        <f t="shared" si="7"/>
        <v>0</v>
      </c>
      <c r="M34" s="6">
        <f t="shared" si="8"/>
        <v>0</v>
      </c>
    </row>
    <row r="35" spans="10:13" x14ac:dyDescent="0.25">
      <c r="J35" s="11" t="str">
        <f t="shared" si="5"/>
        <v>Great Prairie AEA 15</v>
      </c>
      <c r="K35" s="6">
        <f t="shared" si="6"/>
        <v>0</v>
      </c>
      <c r="L35" s="6">
        <f t="shared" si="7"/>
        <v>0</v>
      </c>
      <c r="M35" s="6">
        <f t="shared" si="8"/>
        <v>0</v>
      </c>
    </row>
  </sheetData>
  <mergeCells count="5">
    <mergeCell ref="A1:I1"/>
    <mergeCell ref="F16:F17"/>
    <mergeCell ref="F18:F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customWidth="1"/>
    <col min="12" max="12" width="38" customWidth="1"/>
    <col min="13" max="13" width="36.85546875" customWidth="1"/>
    <col min="14" max="14" width="9.140625" customWidth="1"/>
  </cols>
  <sheetData>
    <row r="1" spans="1:11" ht="45" customHeight="1" x14ac:dyDescent="0.25">
      <c r="A1" s="83" t="str">
        <f>_xlfn.CONCAT("FY ",K2," AEA Enrollments and Cost - Final - State Aid and Property Tax Breakdown - September thru May Payment")</f>
        <v>FY 2027 AEA Enrollments and Cost - Final - State Aid and Property Tax Breakdown - September thru May Payment</v>
      </c>
      <c r="B1" s="83"/>
      <c r="C1" s="83"/>
      <c r="D1" s="83"/>
      <c r="E1" s="83"/>
      <c r="F1" s="83"/>
      <c r="G1" s="83"/>
      <c r="H1" s="83"/>
      <c r="I1" s="83"/>
    </row>
    <row r="2" spans="1:11" s="10" customFormat="1" ht="45" x14ac:dyDescent="0.25">
      <c r="A2" s="7" t="s">
        <v>31</v>
      </c>
      <c r="B2" s="7" t="s">
        <v>32</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2027</v>
      </c>
    </row>
    <row r="3" spans="1:11" x14ac:dyDescent="0.25">
      <c r="A3" s="18" t="str">
        <f>Data!A2</f>
        <v>01</v>
      </c>
      <c r="B3" s="11" t="str">
        <f>INDEX(Data_Detail_OLD[],MATCH('PaymentCodingDetai_Sept-May-old'!$A3,Data_Detail_OLD[AEA],0),3)</f>
        <v>Keystone AEA 1</v>
      </c>
      <c r="C3" s="12" t="e">
        <f>ROUND(SUMIFS(INDEX(Data_Detail_OLD[],0,MATCH(C$2,Data_Detail_OLD[#Headers],0)),Data_Detail_OLD[AEA],$A3,Data_Detail_OLD[FiscalYear],$K$2)/SUMIFS(INDEX(Data_Detail_OLD[],0,MATCH($E$26,Data_Detail_OLD[#Headers],0)),Data_Detail_OLD[AEA],$A3,Data_Detail_OLD[FiscalYear],$K$2)*
INDEX(Data[],MATCH($A3,Data[AEA],0),MATCH("Pay1 - Sept - May",Data[#Headers],0)),0)</f>
        <v>#DIV/0!</v>
      </c>
      <c r="D3" s="12" t="e">
        <f>ROUND(SUMIFS(INDEX(Data_Detail_OLD[],0,MATCH(D$2,Data_Detail_OLD[#Headers],0)),Data_Detail_OLD[AEA],$A3,Data_Detail_OLD[FiscalYear],$K$2)/SUMIFS(INDEX(Data_Detail_OLD[],0,MATCH($E$26,Data_Detail_OLD[#Headers],0)),Data_Detail_OLD[AEA],$A3,Data_Detail_OLD[FiscalYear],$K$2)*
INDEX(Data[],MATCH($A3,Data[AEA],0),MATCH("Pay1 - Sept - May",Data[#Headers],0)),0)+1</f>
        <v>#DIV/0!</v>
      </c>
      <c r="E3" s="12" t="e">
        <f>ROUND(SUMIFS(INDEX(Data_Detail_OLD[],0,MATCH(E$2,Data_Detail_OLD[#Headers],0)),Data_Detail_OLD[AEA],$A3,Data_Detail_OLD[FiscalYear],$K$2)/SUMIFS(INDEX(Data_Detail_OLD[],0,MATCH($E$26,Data_Detail_OLD[#Headers],0)),Data_Detail_OLD[AEA],$A3,Data_Detail_OLD[FiscalYear],$K$2)*
INDEX(Data[],MATCH($A3,Data[AEA],0),MATCH("PAY1 - Sept - May",Data[#Headers],0)),0)</f>
        <v>#DIV/0!</v>
      </c>
      <c r="F3" s="48" t="e">
        <f>D3-E3</f>
        <v>#DIV/0!</v>
      </c>
      <c r="G3" s="19" t="e">
        <f>ROUND(SUMIFS(INDEX(Data_Detail_OLD[],0,MATCH(G$2,Data_Detail_OLD[#Headers],0)),Data_Detail_OLD[AEA],$A3,Data_Detail_OLD[FiscalYear],$K$2)/SUMIFS(INDEX(Data_Detail_OLD[],0,MATCH($E$26,Data_Detail_OLD[#Headers],0)),Data_Detail_OLD[AEA],$A3,Data_Detail_OLD[FiscalYear],$K$2)*
INDEX(Data[],MATCH($A3,Data[AEA],0),MATCH("Pay1 - Sept - May",Data[#Headers],0)),0)</f>
        <v>#DIV/0!</v>
      </c>
      <c r="H3" s="19" t="e">
        <f>ROUND(SUMIFS(INDEX(Data_Detail_OLD[],0,MATCH(H$2,Data_Detail_OLD[#Headers],0)),Data_Detail_OLD[AEA],$A3,Data_Detail_OLD[FiscalYear],$K$2)/SUMIFS(INDEX(Data_Detail_OLD[],0,MATCH($E$26,Data_Detail_OLD[#Headers],0)),Data_Detail_OLD[AEA],$A3,Data_Detail_OLD[FiscalYear],$K$2)*
INDEX(Data[],MATCH($A3,Data[AEA],0),MATCH("Pay1 - Sept - May",Data[#Headers],0)),0)</f>
        <v>#DIV/0!</v>
      </c>
      <c r="I3" s="47" t="e">
        <f>SUM(F3:H3)</f>
        <v>#DIV/0!</v>
      </c>
      <c r="K3" s="6" t="e">
        <f>G12+D24+H12+C36+D36-G36</f>
        <v>#DIV/0!</v>
      </c>
    </row>
    <row r="4" spans="1:11" x14ac:dyDescent="0.25">
      <c r="A4" s="18" t="str">
        <f>Data!A3</f>
        <v>05</v>
      </c>
      <c r="B4" s="11" t="str">
        <f>INDEX(Data_Detail_OLD[],MATCH('PaymentCodingDetai_Sept-May-old'!$A4,Data_Detail_OLD[AEA],0),3)</f>
        <v>Prairie Lakes AEA 8</v>
      </c>
      <c r="C4" s="12" t="e">
        <f>ROUND(SUMIFS(INDEX(Data_Detail_OLD[],0,MATCH(C$2,Data_Detail_OLD[#Headers],0)),Data_Detail_OLD[AEA],$A4,Data_Detail_OLD[FiscalYear],$K$2)/SUMIFS(INDEX(Data_Detail_OLD[],0,MATCH($E$26,Data_Detail_OLD[#Headers],0)),Data_Detail_OLD[AEA],$A4,Data_Detail_OLD[FiscalYear],$K$2)*
INDEX(Data[],MATCH($A4,Data[AEA],0),MATCH("Pay1 - Sept - May",Data[#Headers],0)),0)</f>
        <v>#DIV/0!</v>
      </c>
      <c r="D4" s="12" t="e">
        <f>ROUND(SUMIFS(INDEX(Data_Detail_OLD[],0,MATCH(D$2,Data_Detail_OLD[#Headers],0)),Data_Detail_OLD[AEA],$A4,Data_Detail_OLD[FiscalYear],$K$2)/SUMIFS(INDEX(Data_Detail_OLD[],0,MATCH($E$26,Data_Detail_OLD[#Headers],0)),Data_Detail_OLD[AEA],$A4,Data_Detail_OLD[FiscalYear],$K$2)*
INDEX(Data[],MATCH($A4,Data[AEA],0),MATCH("Pay1 - Sept - May",Data[#Headers],0)),0)-1</f>
        <v>#DIV/0!</v>
      </c>
      <c r="E4" s="12" t="e">
        <f>ROUND(SUMIFS(INDEX(Data_Detail_OLD[],0,MATCH(E$2,Data_Detail_OLD[#Headers],0)),Data_Detail_OLD[AEA],$A4,Data_Detail_OLD[FiscalYear],$K$2)/SUMIFS(INDEX(Data_Detail_OLD[],0,MATCH($E$26,Data_Detail_OLD[#Headers],0)),Data_Detail_OLD[AEA],$A4,Data_Detail_OLD[FiscalYear],$K$2)*
INDEX(Data[],MATCH($A4,Data[AEA],0),MATCH("Pay1 - Sept - May",Data[#Headers],0)),0)</f>
        <v>#DIV/0!</v>
      </c>
      <c r="F4" s="48" t="e">
        <f t="shared" ref="F4:F11" si="0">D4-E4</f>
        <v>#DIV/0!</v>
      </c>
      <c r="G4" s="19" t="e">
        <f>ROUND(SUMIFS(INDEX(Data_Detail_OLD[],0,MATCH(G$2,Data_Detail_OLD[#Headers],0)),Data_Detail_OLD[AEA],$A4,Data_Detail_OLD[FiscalYear],$K$2)/SUMIFS(INDEX(Data_Detail_OLD[],0,MATCH($E$26,Data_Detail_OLD[#Headers],0)),Data_Detail_OLD[AEA],$A4,Data_Detail_OLD[FiscalYear],$K$2)*
INDEX(Data[],MATCH($A4,Data[AEA],0),MATCH("Pay1 - Sept - May",Data[#Headers],0)),0)</f>
        <v>#DIV/0!</v>
      </c>
      <c r="H4" s="19" t="e">
        <f>ROUND(SUMIFS(INDEX(Data_Detail_OLD[],0,MATCH(H$2,Data_Detail_OLD[#Headers],0)),Data_Detail_OLD[AEA],$A4,Data_Detail_OLD[FiscalYear],$K$2)/SUMIFS(INDEX(Data_Detail_OLD[],0,MATCH($E$26,Data_Detail_OLD[#Headers],0)),Data_Detail_OLD[AEA],$A4,Data_Detail_OLD[FiscalYear],$K$2)*
INDEX(Data[],MATCH($A4,Data[AEA],0),MATCH("Pay1 - Sept - May",Data[#Headers],0)),0)</f>
        <v>#DIV/0!</v>
      </c>
      <c r="I4" s="47" t="e">
        <f t="shared" ref="I4:I11" si="1">SUM(F4:H4)</f>
        <v>#DIV/0!</v>
      </c>
      <c r="K4" s="6" t="e">
        <f>F12+C24+F24+G24-F36</f>
        <v>#DIV/0!</v>
      </c>
    </row>
    <row r="5" spans="1:11" x14ac:dyDescent="0.25">
      <c r="A5" s="18" t="str">
        <f>Data!A4</f>
        <v>07</v>
      </c>
      <c r="B5" s="11" t="str">
        <f>INDEX(Data_Detail_OLD[],MATCH('PaymentCodingDetai_Sept-May-old'!$A5,Data_Detail_OLD[AEA],0),3)</f>
        <v>Central Rivers</v>
      </c>
      <c r="C5" s="12" t="e">
        <f>ROUND(SUMIFS(INDEX(Data_Detail_OLD[],0,MATCH(C$2,Data_Detail_OLD[#Headers],0)),Data_Detail_OLD[AEA],$A5,Data_Detail_OLD[FiscalYear],$K$2)/SUMIFS(INDEX(Data_Detail_OLD[],0,MATCH($E$26,Data_Detail_OLD[#Headers],0)),Data_Detail_OLD[AEA],$A5,Data_Detail_OLD[FiscalYear],$K$2)*
INDEX(Data[],MATCH($A5,Data[AEA],0),MATCH("Pay1 - Sept - May",Data[#Headers],0)),0)</f>
        <v>#DIV/0!</v>
      </c>
      <c r="D5" s="12" t="e">
        <f>ROUND(SUMIFS(INDEX(Data_Detail_OLD[],0,MATCH(D$2,Data_Detail_OLD[#Headers],0)),Data_Detail_OLD[AEA],$A5,Data_Detail_OLD[FiscalYear],$K$2)/SUMIFS(INDEX(Data_Detail_OLD[],0,MATCH($E$26,Data_Detail_OLD[#Headers],0)),Data_Detail_OLD[AEA],$A5,Data_Detail_OLD[FiscalYear],$K$2)*
INDEX(Data[],MATCH($A5,Data[AEA],0),MATCH("Pay1 - Sept - May",Data[#Headers],0)),0)</f>
        <v>#DIV/0!</v>
      </c>
      <c r="E5" s="12" t="e">
        <f>ROUND(SUMIFS(INDEX(Data_Detail_OLD[],0,MATCH(E$2,Data_Detail_OLD[#Headers],0)),Data_Detail_OLD[AEA],$A5,Data_Detail_OLD[FiscalYear],$K$2)/SUMIFS(INDEX(Data_Detail_OLD[],0,MATCH($E$26,Data_Detail_OLD[#Headers],0)),Data_Detail_OLD[AEA],$A5,Data_Detail_OLD[FiscalYear],$K$2)*
INDEX(Data[],MATCH($A5,Data[AEA],0),MATCH("Pay1 - Sept - May",Data[#Headers],0)),0)</f>
        <v>#DIV/0!</v>
      </c>
      <c r="F5" s="48" t="e">
        <f t="shared" si="0"/>
        <v>#DIV/0!</v>
      </c>
      <c r="G5" s="19" t="e">
        <f>ROUND(SUMIFS(INDEX(Data_Detail_OLD[],0,MATCH(G$2,Data_Detail_OLD[#Headers],0)),Data_Detail_OLD[AEA],$A5,Data_Detail_OLD[FiscalYear],$K$2)/SUMIFS(INDEX(Data_Detail_OLD[],0,MATCH($E$26,Data_Detail_OLD[#Headers],0)),Data_Detail_OLD[AEA],$A5,Data_Detail_OLD[FiscalYear],$K$2)*
INDEX(Data[],MATCH($A5,Data[AEA],0),MATCH("Pay1 - Sept - May",Data[#Headers],0)),0)</f>
        <v>#DIV/0!</v>
      </c>
      <c r="H5" s="19" t="e">
        <f>ROUND(SUMIFS(INDEX(Data_Detail_OLD[],0,MATCH(H$2,Data_Detail_OLD[#Headers],0)),Data_Detail_OLD[AEA],$A5,Data_Detail_OLD[FiscalYear],$K$2)/SUMIFS(INDEX(Data_Detail_OLD[],0,MATCH($E$26,Data_Detail_OLD[#Headers],0)),Data_Detail_OLD[AEA],$A5,Data_Detail_OLD[FiscalYear],$K$2)*
INDEX(Data[],MATCH($A5,Data[AEA],0),MATCH("Pay1 - Sept - May",Data[#Headers],0)),0)</f>
        <v>#DIV/0!</v>
      </c>
      <c r="I5" s="47" t="e">
        <f t="shared" si="1"/>
        <v>#DIV/0!</v>
      </c>
      <c r="K5" s="6" t="e">
        <f>F12+E12-D12</f>
        <v>#DIV/0!</v>
      </c>
    </row>
    <row r="6" spans="1:11" x14ac:dyDescent="0.25">
      <c r="A6" s="18" t="str">
        <f>Data!A5</f>
        <v>09</v>
      </c>
      <c r="B6" s="11" t="str">
        <f>INDEX(Data_Detail_OLD[],MATCH('PaymentCodingDetai_Sept-May-old'!$A6,Data_Detail_OLD[AEA],0),3)</f>
        <v>Mississippi Bend AEA 9</v>
      </c>
      <c r="C6" s="12" t="e">
        <f>ROUND(SUMIFS(INDEX(Data_Detail_OLD[],0,MATCH(C$2,Data_Detail_OLD[#Headers],0)),Data_Detail_OLD[AEA],$A6,Data_Detail_OLD[FiscalYear],$K$2)/SUMIFS(INDEX(Data_Detail_OLD[],0,MATCH($E$26,Data_Detail_OLD[#Headers],0)),Data_Detail_OLD[AEA],$A6,Data_Detail_OLD[FiscalYear],$K$2)*
INDEX(Data[],MATCH($A6,Data[AEA],0),MATCH("Pay1 - Sept - May",Data[#Headers],0)),0)</f>
        <v>#DIV/0!</v>
      </c>
      <c r="D6" s="12" t="e">
        <f>ROUND(SUMIFS(INDEX(Data_Detail_OLD[],0,MATCH(D$2,Data_Detail_OLD[#Headers],0)),Data_Detail_OLD[AEA],$A6,Data_Detail_OLD[FiscalYear],$K$2)/SUMIFS(INDEX(Data_Detail_OLD[],0,MATCH($E$26,Data_Detail_OLD[#Headers],0)),Data_Detail_OLD[AEA],$A6,Data_Detail_OLD[FiscalYear],$K$2)*
INDEX(Data[],MATCH($A6,Data[AEA],0),MATCH("Pay1 - Sept - May",Data[#Headers],0)),0)+1</f>
        <v>#DIV/0!</v>
      </c>
      <c r="E6" s="12" t="e">
        <f>ROUND(SUMIFS(INDEX(Data_Detail_OLD[],0,MATCH(E$2,Data_Detail_OLD[#Headers],0)),Data_Detail_OLD[AEA],$A6,Data_Detail_OLD[FiscalYear],$K$2)/SUMIFS(INDEX(Data_Detail_OLD[],0,MATCH($E$26,Data_Detail_OLD[#Headers],0)),Data_Detail_OLD[AEA],$A6,Data_Detail_OLD[FiscalYear],$K$2)*
INDEX(Data[],MATCH($A6,Data[AEA],0),MATCH("Pay1 - Sept - May",Data[#Headers],0)),0)</f>
        <v>#DIV/0!</v>
      </c>
      <c r="F6" s="48" t="e">
        <f t="shared" si="0"/>
        <v>#DIV/0!</v>
      </c>
      <c r="G6" s="19" t="e">
        <f>ROUND(SUMIFS(INDEX(Data_Detail_OLD[],0,MATCH(G$2,Data_Detail_OLD[#Headers],0)),Data_Detail_OLD[AEA],$A6,Data_Detail_OLD[FiscalYear],$K$2)/SUMIFS(INDEX(Data_Detail_OLD[],0,MATCH($E$26,Data_Detail_OLD[#Headers],0)),Data_Detail_OLD[AEA],$A6,Data_Detail_OLD[FiscalYear],$K$2)*
INDEX(Data[],MATCH($A6,Data[AEA],0),MATCH("Pay1 - Sept - May",Data[#Headers],0)),0)</f>
        <v>#DIV/0!</v>
      </c>
      <c r="H6" s="19" t="e">
        <f>ROUND(SUMIFS(INDEX(Data_Detail_OLD[],0,MATCH(H$2,Data_Detail_OLD[#Headers],0)),Data_Detail_OLD[AEA],$A6,Data_Detail_OLD[FiscalYear],$K$2)/SUMIFS(INDEX(Data_Detail_OLD[],0,MATCH($E$26,Data_Detail_OLD[#Headers],0)),Data_Detail_OLD[AEA],$A6,Data_Detail_OLD[FiscalYear],$K$2)*
INDEX(Data[],MATCH($A6,Data[AEA],0),MATCH("Pay1 - Sept - May",Data[#Headers],0)),0)</f>
        <v>#DIV/0!</v>
      </c>
      <c r="I6" s="47" t="e">
        <f t="shared" si="1"/>
        <v>#DIV/0!</v>
      </c>
      <c r="K6" s="6" t="e">
        <f>H12+G12+F12-I12</f>
        <v>#DIV/0!</v>
      </c>
    </row>
    <row r="7" spans="1:11" x14ac:dyDescent="0.25">
      <c r="A7" s="18" t="str">
        <f>Data!A6</f>
        <v>10</v>
      </c>
      <c r="B7" s="11" t="str">
        <f>INDEX(Data_Detail_OLD[],MATCH('PaymentCodingDetai_Sept-May-old'!$A7,Data_Detail_OLD[AEA],0),3)</f>
        <v>Grant Wood AEA 10</v>
      </c>
      <c r="C7" s="12" t="e">
        <f>ROUND(SUMIFS(INDEX(Data_Detail_OLD[],0,MATCH(C$2,Data_Detail_OLD[#Headers],0)),Data_Detail_OLD[AEA],$A7,Data_Detail_OLD[FiscalYear],$K$2)/SUMIFS(INDEX(Data_Detail_OLD[],0,MATCH($E$26,Data_Detail_OLD[#Headers],0)),Data_Detail_OLD[AEA],$A7,Data_Detail_OLD[FiscalYear],$K$2)*
INDEX(Data[],MATCH($A7,Data[AEA],0),MATCH("Pay1 - Sept - May",Data[#Headers],0)),0)</f>
        <v>#DIV/0!</v>
      </c>
      <c r="D7" s="12" t="e">
        <f>ROUND(SUMIFS(INDEX(Data_Detail_OLD[],0,MATCH(D$2,Data_Detail_OLD[#Headers],0)),Data_Detail_OLD[AEA],$A7,Data_Detail_OLD[FiscalYear],$K$2)/SUMIFS(INDEX(Data_Detail_OLD[],0,MATCH($E$26,Data_Detail_OLD[#Headers],0)),Data_Detail_OLD[AEA],$A7,Data_Detail_OLD[FiscalYear],$K$2)*
INDEX(Data[],MATCH($A7,Data[AEA],0),MATCH("Pay1 - Sept - May",Data[#Headers],0)),0)</f>
        <v>#DIV/0!</v>
      </c>
      <c r="E7" s="12" t="e">
        <f>ROUND(SUMIFS(INDEX(Data_Detail_OLD[],0,MATCH(E$2,Data_Detail_OLD[#Headers],0)),Data_Detail_OLD[AEA],$A7,Data_Detail_OLD[FiscalYear],$K$2)/SUMIFS(INDEX(Data_Detail_OLD[],0,MATCH($E$26,Data_Detail_OLD[#Headers],0)),Data_Detail_OLD[AEA],$A7,Data_Detail_OLD[FiscalYear],$K$2)*
INDEX(Data[],MATCH($A7,Data[AEA],0),MATCH("Pay1 - Sept - May",Data[#Headers],0)),0)</f>
        <v>#DIV/0!</v>
      </c>
      <c r="F7" s="48" t="e">
        <f t="shared" si="0"/>
        <v>#DIV/0!</v>
      </c>
      <c r="G7" s="19" t="e">
        <f>ROUND(SUMIFS(INDEX(Data_Detail_OLD[],0,MATCH(G$2,Data_Detail_OLD[#Headers],0)),Data_Detail_OLD[AEA],$A7,Data_Detail_OLD[FiscalYear],$K$2)/SUMIFS(INDEX(Data_Detail_OLD[],0,MATCH($E$26,Data_Detail_OLD[#Headers],0)),Data_Detail_OLD[AEA],$A7,Data_Detail_OLD[FiscalYear],$K$2)*
INDEX(Data[],MATCH($A7,Data[AEA],0),MATCH("Pay1 - Sept - May",Data[#Headers],0)),0)</f>
        <v>#DIV/0!</v>
      </c>
      <c r="H7" s="19" t="e">
        <f>ROUND(SUMIFS(INDEX(Data_Detail_OLD[],0,MATCH(H$2,Data_Detail_OLD[#Headers],0)),Data_Detail_OLD[AEA],$A7,Data_Detail_OLD[FiscalYear],$K$2)/SUMIFS(INDEX(Data_Detail_OLD[],0,MATCH($E$26,Data_Detail_OLD[#Headers],0)),Data_Detail_OLD[AEA],$A7,Data_Detail_OLD[FiscalYear],$K$2)*
INDEX(Data[],MATCH($A7,Data[AEA],0),MATCH("Pay1 - Sept - May",Data[#Headers],0)),0)</f>
        <v>#DIV/0!</v>
      </c>
      <c r="I7" s="47" t="e">
        <f t="shared" si="1"/>
        <v>#DIV/0!</v>
      </c>
      <c r="K7" s="6" t="e">
        <f>C24+D24-E24</f>
        <v>#DIV/0!</v>
      </c>
    </row>
    <row r="8" spans="1:11" x14ac:dyDescent="0.25">
      <c r="A8" s="18" t="str">
        <f>Data!A7</f>
        <v>11</v>
      </c>
      <c r="B8" s="11" t="str">
        <f>INDEX(Data_Detail_OLD[],MATCH('PaymentCodingDetai_Sept-May-old'!$A8,Data_Detail_OLD[AEA],0),3)</f>
        <v>Heartland AEA 11</v>
      </c>
      <c r="C8" s="12" t="e">
        <f>ROUND(SUMIFS(INDEX(Data_Detail_OLD[],0,MATCH(C$2,Data_Detail_OLD[#Headers],0)),Data_Detail_OLD[AEA],$A8,Data_Detail_OLD[FiscalYear],$K$2)/SUMIFS(INDEX(Data_Detail_OLD[],0,MATCH($E$26,Data_Detail_OLD[#Headers],0)),Data_Detail_OLD[AEA],$A8,Data_Detail_OLD[FiscalYear],$K$2)*
INDEX(Data[],MATCH($A8,Data[AEA],0),MATCH("Pay1 - Sept - May",Data[#Headers],0)),0)</f>
        <v>#DIV/0!</v>
      </c>
      <c r="D8" s="12" t="e">
        <f>ROUND(SUMIFS(INDEX(Data_Detail_OLD[],0,MATCH(D$2,Data_Detail_OLD[#Headers],0)),Data_Detail_OLD[AEA],$A8,Data_Detail_OLD[FiscalYear],$K$2)/SUMIFS(INDEX(Data_Detail_OLD[],0,MATCH($E$26,Data_Detail_OLD[#Headers],0)),Data_Detail_OLD[AEA],$A8,Data_Detail_OLD[FiscalYear],$K$2)*
INDEX(Data[],MATCH($A8,Data[AEA],0),MATCH("Pay1 - Sept - May",Data[#Headers],0)),0)-1</f>
        <v>#DIV/0!</v>
      </c>
      <c r="E8" s="12" t="e">
        <f>ROUND(SUMIFS(INDEX(Data_Detail_OLD[],0,MATCH(E$2,Data_Detail_OLD[#Headers],0)),Data_Detail_OLD[AEA],$A8,Data_Detail_OLD[FiscalYear],$K$2)/SUMIFS(INDEX(Data_Detail_OLD[],0,MATCH($E$26,Data_Detail_OLD[#Headers],0)),Data_Detail_OLD[AEA],$A8,Data_Detail_OLD[FiscalYear],$K$2)*
INDEX(Data[],MATCH($A8,Data[AEA],0),MATCH("Pay1 - Sept - May",Data[#Headers],0)),0)</f>
        <v>#DIV/0!</v>
      </c>
      <c r="F8" s="48" t="e">
        <f t="shared" si="0"/>
        <v>#DIV/0!</v>
      </c>
      <c r="G8" s="19" t="e">
        <f>ROUND(SUMIFS(INDEX(Data_Detail_OLD[],0,MATCH(G$2,Data_Detail_OLD[#Headers],0)),Data_Detail_OLD[AEA],$A8,Data_Detail_OLD[FiscalYear],$K$2)/SUMIFS(INDEX(Data_Detail_OLD[],0,MATCH($E$26,Data_Detail_OLD[#Headers],0)),Data_Detail_OLD[AEA],$A8,Data_Detail_OLD[FiscalYear],$K$2)*
INDEX(Data[],MATCH($A8,Data[AEA],0),MATCH("Pay1 - Sept - May",Data[#Headers],0)),0)</f>
        <v>#DIV/0!</v>
      </c>
      <c r="H8" s="19" t="e">
        <f>ROUND(SUMIFS(INDEX(Data_Detail_OLD[],0,MATCH(H$2,Data_Detail_OLD[#Headers],0)),Data_Detail_OLD[AEA],$A8,Data_Detail_OLD[FiscalYear],$K$2)/SUMIFS(INDEX(Data_Detail_OLD[],0,MATCH($E$26,Data_Detail_OLD[#Headers],0)),Data_Detail_OLD[AEA],$A8,Data_Detail_OLD[FiscalYear],$K$2)*
INDEX(Data[],MATCH($A8,Data[AEA],0),MATCH("Pay1 - Sept - May",Data[#Headers],0)),0)</f>
        <v>#DIV/0!</v>
      </c>
      <c r="I8" s="47" t="e">
        <f t="shared" si="1"/>
        <v>#DIV/0!</v>
      </c>
    </row>
    <row r="9" spans="1:11" x14ac:dyDescent="0.25">
      <c r="A9" s="18" t="str">
        <f>Data!A8</f>
        <v>12</v>
      </c>
      <c r="B9" s="11" t="str">
        <f>INDEX(Data_Detail_OLD[],MATCH('PaymentCodingDetai_Sept-May-old'!$A9,Data_Detail_OLD[AEA],0),3)</f>
        <v>Northwest AEA</v>
      </c>
      <c r="C9" s="12" t="e">
        <f>ROUND(SUMIFS(INDEX(Data_Detail_OLD[],0,MATCH(C$2,Data_Detail_OLD[#Headers],0)),Data_Detail_OLD[AEA],$A9,Data_Detail_OLD[FiscalYear],$K$2)/SUMIFS(INDEX(Data_Detail_OLD[],0,MATCH($E$26,Data_Detail_OLD[#Headers],0)),Data_Detail_OLD[AEA],$A9,Data_Detail_OLD[FiscalYear],$K$2)*
INDEX(Data[],MATCH($A9,Data[AEA],0),MATCH("Pay1 - Sept - May",Data[#Headers],0)),0)</f>
        <v>#DIV/0!</v>
      </c>
      <c r="D9" s="12" t="e">
        <f>ROUND(SUMIFS(INDEX(Data_Detail_OLD[],0,MATCH(D$2,Data_Detail_OLD[#Headers],0)),Data_Detail_OLD[AEA],$A9,Data_Detail_OLD[FiscalYear],$K$2)/SUMIFS(INDEX(Data_Detail_OLD[],0,MATCH($E$26,Data_Detail_OLD[#Headers],0)),Data_Detail_OLD[AEA],$A9,Data_Detail_OLD[FiscalYear],$K$2)*
INDEX(Data[],MATCH($A9,Data[AEA],0),MATCH("Pay1 - Sept - May",Data[#Headers],0)),0)+1</f>
        <v>#DIV/0!</v>
      </c>
      <c r="E9" s="12" t="e">
        <f>ROUND(SUMIFS(INDEX(Data_Detail_OLD[],0,MATCH(E$2,Data_Detail_OLD[#Headers],0)),Data_Detail_OLD[AEA],$A9,Data_Detail_OLD[FiscalYear],$K$2)/SUMIFS(INDEX(Data_Detail_OLD[],0,MATCH($E$26,Data_Detail_OLD[#Headers],0)),Data_Detail_OLD[AEA],$A9,Data_Detail_OLD[FiscalYear],$K$2)*
INDEX(Data[],MATCH($A9,Data[AEA],0),MATCH("Pay1 - Sept - May",Data[#Headers],0)),0)</f>
        <v>#DIV/0!</v>
      </c>
      <c r="F9" s="48" t="e">
        <f t="shared" si="0"/>
        <v>#DIV/0!</v>
      </c>
      <c r="G9" s="19" t="e">
        <f>ROUND(SUMIFS(INDEX(Data_Detail_OLD[],0,MATCH(G$2,Data_Detail_OLD[#Headers],0)),Data_Detail_OLD[AEA],$A9,Data_Detail_OLD[FiscalYear],$K$2)/SUMIFS(INDEX(Data_Detail_OLD[],0,MATCH($E$26,Data_Detail_OLD[#Headers],0)),Data_Detail_OLD[AEA],$A9,Data_Detail_OLD[FiscalYear],$K$2)*
INDEX(Data[],MATCH($A9,Data[AEA],0),MATCH("Pay1 - Sept - May",Data[#Headers],0)),0)</f>
        <v>#DIV/0!</v>
      </c>
      <c r="H9" s="19" t="e">
        <f>ROUND(SUMIFS(INDEX(Data_Detail_OLD[],0,MATCH(H$2,Data_Detail_OLD[#Headers],0)),Data_Detail_OLD[AEA],$A9,Data_Detail_OLD[FiscalYear],$K$2)/SUMIFS(INDEX(Data_Detail_OLD[],0,MATCH($E$26,Data_Detail_OLD[#Headers],0)),Data_Detail_OLD[AEA],$A9,Data_Detail_OLD[FiscalYear],$K$2)*
INDEX(Data[],MATCH($A9,Data[AEA],0),MATCH("Pay1 - Sept - May",Data[#Headers],0)),0)</f>
        <v>#DIV/0!</v>
      </c>
      <c r="I9" s="47" t="e">
        <f t="shared" si="1"/>
        <v>#DIV/0!</v>
      </c>
    </row>
    <row r="10" spans="1:11" x14ac:dyDescent="0.25">
      <c r="A10" s="18" t="str">
        <f>Data!A9</f>
        <v>13</v>
      </c>
      <c r="B10" s="11" t="str">
        <f>INDEX(Data_Detail_OLD[],MATCH('PaymentCodingDetai_Sept-May-old'!$A10,Data_Detail_OLD[AEA],0),3)</f>
        <v>Green Hills AEA 13</v>
      </c>
      <c r="C10" s="12" t="e">
        <f>ROUND(SUMIFS(INDEX(Data_Detail_OLD[],0,MATCH(C$2,Data_Detail_OLD[#Headers],0)),Data_Detail_OLD[AEA],$A10,Data_Detail_OLD[FiscalYear],$K$2)/SUMIFS(INDEX(Data_Detail_OLD[],0,MATCH($E$26,Data_Detail_OLD[#Headers],0)),Data_Detail_OLD[AEA],$A10,Data_Detail_OLD[FiscalYear],$K$2)*
INDEX(Data[],MATCH($A10,Data[AEA],0),MATCH("Pay1 - Sept - May",Data[#Headers],0)),0)</f>
        <v>#DIV/0!</v>
      </c>
      <c r="D10" s="12" t="e">
        <f>ROUND(SUMIFS(INDEX(Data_Detail_OLD[],0,MATCH(D$2,Data_Detail_OLD[#Headers],0)),Data_Detail_OLD[AEA],$A10,Data_Detail_OLD[FiscalYear],$K$2)/SUMIFS(INDEX(Data_Detail_OLD[],0,MATCH($E$26,Data_Detail_OLD[#Headers],0)),Data_Detail_OLD[AEA],$A10,Data_Detail_OLD[FiscalYear],$K$2)*
INDEX(Data[],MATCH($A10,Data[AEA],0),MATCH("Pay1 - Sept - May",Data[#Headers],0)),0)</f>
        <v>#DIV/0!</v>
      </c>
      <c r="E10" s="12" t="e">
        <f>ROUND(SUMIFS(INDEX(Data_Detail_OLD[],0,MATCH(E$2,Data_Detail_OLD[#Headers],0)),Data_Detail_OLD[AEA],$A10,Data_Detail_OLD[FiscalYear],$K$2)/SUMIFS(INDEX(Data_Detail_OLD[],0,MATCH($E$26,Data_Detail_OLD[#Headers],0)),Data_Detail_OLD[AEA],$A10,Data_Detail_OLD[FiscalYear],$K$2)*
INDEX(Data[],MATCH($A10,Data[AEA],0),MATCH("Pay1 - Sept - May",Data[#Headers],0)),0)</f>
        <v>#DIV/0!</v>
      </c>
      <c r="F10" s="48" t="e">
        <f t="shared" si="0"/>
        <v>#DIV/0!</v>
      </c>
      <c r="G10" s="19" t="e">
        <f>ROUND(SUMIFS(INDEX(Data_Detail_OLD[],0,MATCH(G$2,Data_Detail_OLD[#Headers],0)),Data_Detail_OLD[AEA],$A10,Data_Detail_OLD[FiscalYear],$K$2)/SUMIFS(INDEX(Data_Detail_OLD[],0,MATCH($E$26,Data_Detail_OLD[#Headers],0)),Data_Detail_OLD[AEA],$A10,Data_Detail_OLD[FiscalYear],$K$2)*
INDEX(Data[],MATCH($A10,Data[AEA],0),MATCH("Pay1 - Sept - May",Data[#Headers],0)),0)</f>
        <v>#DIV/0!</v>
      </c>
      <c r="H10" s="19" t="e">
        <f>ROUND(SUMIFS(INDEX(Data_Detail_OLD[],0,MATCH(H$2,Data_Detail_OLD[#Headers],0)),Data_Detail_OLD[AEA],$A10,Data_Detail_OLD[FiscalYear],$K$2)/SUMIFS(INDEX(Data_Detail_OLD[],0,MATCH($E$26,Data_Detail_OLD[#Headers],0)),Data_Detail_OLD[AEA],$A10,Data_Detail_OLD[FiscalYear],$K$2)*
INDEX(Data[],MATCH($A10,Data[AEA],0),MATCH("Pay1 - Sept - May",Data[#Headers],0)),0)</f>
        <v>#DIV/0!</v>
      </c>
      <c r="I10" s="47" t="e">
        <f t="shared" si="1"/>
        <v>#DIV/0!</v>
      </c>
    </row>
    <row r="11" spans="1:11" x14ac:dyDescent="0.25">
      <c r="A11" s="18" t="str">
        <f>Data!A10</f>
        <v>15</v>
      </c>
      <c r="B11" s="11" t="str">
        <f>INDEX(Data_Detail_OLD[],MATCH('PaymentCodingDetai_Sept-May-old'!$A11,Data_Detail_OLD[AEA],0),3)</f>
        <v>Great Prairie AEA 15</v>
      </c>
      <c r="C11" s="12" t="e">
        <f>ROUND(SUMIFS(INDEX(Data_Detail_OLD[],0,MATCH(C$2,Data_Detail_OLD[#Headers],0)),Data_Detail_OLD[AEA],$A11,Data_Detail_OLD[FiscalYear],$K$2)/SUMIFS(INDEX(Data_Detail_OLD[],0,MATCH($E$26,Data_Detail_OLD[#Headers],0)),Data_Detail_OLD[AEA],$A11,Data_Detail_OLD[FiscalYear],$K$2)*
INDEX(Data[],MATCH($A11,Data[AEA],0),MATCH("Pay1 - Sept - May",Data[#Headers],0)),0)</f>
        <v>#DIV/0!</v>
      </c>
      <c r="D11" s="12" t="e">
        <f>ROUND(SUMIFS(INDEX(Data_Detail_OLD[],0,MATCH(D$2,Data_Detail_OLD[#Headers],0)),Data_Detail_OLD[AEA],$A11,Data_Detail_OLD[FiscalYear],$K$2)/SUMIFS(INDEX(Data_Detail_OLD[],0,MATCH($E$26,Data_Detail_OLD[#Headers],0)),Data_Detail_OLD[AEA],$A11,Data_Detail_OLD[FiscalYear],$K$2)*
INDEX(Data[],MATCH($A11,Data[AEA],0),MATCH("Pay1 - Sept - May",Data[#Headers],0)),0)</f>
        <v>#DIV/0!</v>
      </c>
      <c r="E11" s="12" t="e">
        <f>ROUND(SUMIFS(INDEX(Data_Detail_OLD[],0,MATCH(E$2,Data_Detail_OLD[#Headers],0)),Data_Detail_OLD[AEA],$A11,Data_Detail_OLD[FiscalYear],$K$2)/SUMIFS(INDEX(Data_Detail_OLD[],0,MATCH($E$26,Data_Detail_OLD[#Headers],0)),Data_Detail_OLD[AEA],$A11,Data_Detail_OLD[FiscalYear],$K$2)*
INDEX(Data[],MATCH($A11,Data[AEA],0),MATCH("Pay1 - Sept - May",Data[#Headers],0)),0)</f>
        <v>#DIV/0!</v>
      </c>
      <c r="F11" s="48" t="e">
        <f t="shared" si="0"/>
        <v>#DIV/0!</v>
      </c>
      <c r="G11" s="19" t="e">
        <f>ROUND(SUMIFS(INDEX(Data_Detail_OLD[],0,MATCH(G$2,Data_Detail_OLD[#Headers],0)),Data_Detail_OLD[AEA],$A11,Data_Detail_OLD[FiscalYear],$K$2)/SUMIFS(INDEX(Data_Detail_OLD[],0,MATCH($E$26,Data_Detail_OLD[#Headers],0)),Data_Detail_OLD[AEA],$A11,Data_Detail_OLD[FiscalYear],$K$2)*
INDEX(Data[],MATCH($A11,Data[AEA],0),MATCH("Pay1 - Sept - May",Data[#Headers],0)),0)</f>
        <v>#DIV/0!</v>
      </c>
      <c r="H11" s="19" t="e">
        <f>ROUND(SUMIFS(INDEX(Data_Detail_OLD[],0,MATCH(H$2,Data_Detail_OLD[#Headers],0)),Data_Detail_OLD[AEA],$A11,Data_Detail_OLD[FiscalYear],$K$2)/SUMIFS(INDEX(Data_Detail_OLD[],0,MATCH($E$26,Data_Detail_OLD[#Headers],0)),Data_Detail_OLD[AEA],$A11,Data_Detail_OLD[FiscalYear],$K$2)*
INDEX(Data[],MATCH($A11,Data[AEA],0),MATCH("Pay1 - Sept - May",Data[#Headers],0)),0)</f>
        <v>#DIV/0!</v>
      </c>
      <c r="I11" s="47" t="e">
        <f t="shared" si="1"/>
        <v>#DIV/0!</v>
      </c>
    </row>
    <row r="12" spans="1:11" ht="15.75" thickBot="1" x14ac:dyDescent="0.3">
      <c r="C12" s="16" t="e">
        <f>SUM(C3:C11)</f>
        <v>#DIV/0!</v>
      </c>
      <c r="D12" s="16" t="e">
        <f t="shared" ref="D12:I12" si="2">SUM(D3:D11)</f>
        <v>#DIV/0!</v>
      </c>
      <c r="E12" s="16" t="e">
        <f t="shared" si="2"/>
        <v>#DIV/0!</v>
      </c>
      <c r="F12" s="37" t="e">
        <f t="shared" si="2"/>
        <v>#DIV/0!</v>
      </c>
      <c r="G12" s="20" t="e">
        <f t="shared" si="2"/>
        <v>#DIV/0!</v>
      </c>
      <c r="H12" s="20" t="e">
        <f>SUM(H3:H11)</f>
        <v>#DIV/0!</v>
      </c>
      <c r="I12" s="16" t="e">
        <f t="shared" si="2"/>
        <v>#DIV/0!</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32"/>
    </row>
    <row r="15" spans="1:11" x14ac:dyDescent="0.25">
      <c r="A15" s="11" t="str">
        <f t="shared" si="3"/>
        <v>01</v>
      </c>
      <c r="B15" s="11" t="str">
        <f t="shared" si="3"/>
        <v>Keystone AEA 1</v>
      </c>
      <c r="C15" s="22" t="e">
        <f>ROUND(SUMIFS(INDEX(Data_Detail_OLD[],0,MATCH(C$14,Data_Detail_OLD[#Headers],0)),Data_Detail_OLD[AEA],$A15,Data_Detail_OLD[FiscalYear],$K$2)/SUMIFS(INDEX(Data_Detail_OLD[],0,MATCH($E$26,Data_Detail_OLD[#Headers],0)),Data_Detail_OLD[AEA],$A15,Data_Detail_OLD[FiscalYear],$K$2)*
INDEX(Data[],MATCH($A15,Data[AEA],0),MATCH("Pay1 - Sept - May",Data[#Headers],0)),0)</f>
        <v>#DIV/0!</v>
      </c>
      <c r="D15" s="19" t="e">
        <f>ROUND(SUMIFS(INDEX(Data_Detail_OLD[],0,MATCH(D$14,Data_Detail_OLD[#Headers],0)),Data_Detail_OLD[AEA],$A15,Data_Detail_OLD[FiscalYear],$K$2)/SUMIFS(INDEX(Data_Detail_OLD[],0,MATCH($E$26,Data_Detail_OLD[#Headers],0)),Data_Detail_OLD[AEA],$A15,Data_Detail_OLD[FiscalYear],$K$2)*
INDEX(Data[],MATCH($A15,Data[AEA],0),MATCH("Pay1 - Sept - May",Data[#Headers],0)),0)</f>
        <v>#DIV/0!</v>
      </c>
      <c r="E15" s="50" t="e">
        <f>SUM(C15:D15)</f>
        <v>#DIV/0!</v>
      </c>
      <c r="F15" s="22" t="e">
        <f>ROUND(SUMIFS(INDEX(Data_Detail_OLD[],0,MATCH(F$14,Data_Detail_OLD[#Headers],0)),Data_Detail_OLD[AEA],$A15,Data_Detail_OLD[FiscalYear],$K$2)/SUMIFS(INDEX(Data_Detail_OLD[],0,MATCH($E$26,Data_Detail_OLD[#Headers],0)),Data_Detail_OLD[AEA],$A15,Data_Detail_OLD[FiscalYear],$K$2)*
INDEX(Data[],MATCH($A15,Data[AEA],0),MATCH("Pay1 - Sept - May",Data[#Headers],0)),0)</f>
        <v>#DIV/0!</v>
      </c>
      <c r="G15" s="60"/>
    </row>
    <row r="16" spans="1:11" x14ac:dyDescent="0.25">
      <c r="A16" s="11" t="str">
        <f t="shared" si="3"/>
        <v>05</v>
      </c>
      <c r="B16" s="11" t="str">
        <f t="shared" si="3"/>
        <v>Prairie Lakes AEA 8</v>
      </c>
      <c r="C16" s="22" t="e">
        <f>ROUND(SUMIFS(INDEX(Data_Detail_OLD[],0,MATCH(C$14,Data_Detail_OLD[#Headers],0)),Data_Detail_OLD[AEA],$A16,Data_Detail_OLD[FiscalYear],$K$2)/SUMIFS(INDEX(Data_Detail_OLD[],0,MATCH($E$26,Data_Detail_OLD[#Headers],0)),Data_Detail_OLD[AEA],$A16,Data_Detail_OLD[FiscalYear],$K$2)*
INDEX(Data[],MATCH($A16,Data[AEA],0),MATCH("Pay1 - Sept - May",Data[#Headers],0)),0)</f>
        <v>#DIV/0!</v>
      </c>
      <c r="D16" s="19" t="e">
        <f>ROUND(SUMIFS(INDEX(Data_Detail_OLD[],0,MATCH(D$14,Data_Detail_OLD[#Headers],0)),Data_Detail_OLD[AEA],$A16,Data_Detail_OLD[FiscalYear],$K$2)/SUMIFS(INDEX(Data_Detail_OLD[],0,MATCH($E$26,Data_Detail_OLD[#Headers],0)),Data_Detail_OLD[AEA],$A16,Data_Detail_OLD[FiscalYear],$K$2)*
INDEX(Data[],MATCH($A16,Data[AEA],0),MATCH("Pay1 - Sept - May",Data[#Headers],0)),0)</f>
        <v>#DIV/0!</v>
      </c>
      <c r="E16" s="50" t="e">
        <f t="shared" ref="E16:E23" si="4">SUM(C16:D16)</f>
        <v>#DIV/0!</v>
      </c>
      <c r="F16" s="22" t="e">
        <f>ROUND(SUMIFS(INDEX(Data_Detail_OLD[],0,MATCH(F$14,Data_Detail_OLD[#Headers],0)),Data_Detail_OLD[AEA],$A16,Data_Detail_OLD[FiscalYear],$K$2)/SUMIFS(INDEX(Data_Detail_OLD[],0,MATCH($E$26,Data_Detail_OLD[#Headers],0)),Data_Detail_OLD[AEA],$A16,Data_Detail_OLD[FiscalYear],$K$2)*
INDEX(Data[],MATCH($A16,Data[AEA],0),MATCH("Pay1 - Sept - May",Data[#Headers],0)),0)</f>
        <v>#DIV/0!</v>
      </c>
      <c r="G16" s="60"/>
      <c r="H16" s="84" t="s">
        <v>62</v>
      </c>
    </row>
    <row r="17" spans="1:13" x14ac:dyDescent="0.25">
      <c r="A17" s="11" t="str">
        <f t="shared" si="3"/>
        <v>07</v>
      </c>
      <c r="B17" s="11" t="str">
        <f t="shared" si="3"/>
        <v>Central Rivers</v>
      </c>
      <c r="C17" s="22" t="e">
        <f>ROUND(SUMIFS(INDEX(Data_Detail_OLD[],0,MATCH(C$14,Data_Detail_OLD[#Headers],0)),Data_Detail_OLD[AEA],$A17,Data_Detail_OLD[FiscalYear],$K$2)/SUMIFS(INDEX(Data_Detail_OLD[],0,MATCH($E$26,Data_Detail_OLD[#Headers],0)),Data_Detail_OLD[AEA],$A17,Data_Detail_OLD[FiscalYear],$K$2)*
INDEX(Data[],MATCH($A17,Data[AEA],0),MATCH("Pay1 - Sept - May",Data[#Headers],0)),0)</f>
        <v>#DIV/0!</v>
      </c>
      <c r="D17" s="19" t="e">
        <f>ROUND(SUMIFS(INDEX(Data_Detail_OLD[],0,MATCH(D$14,Data_Detail_OLD[#Headers],0)),Data_Detail_OLD[AEA],$A17,Data_Detail_OLD[FiscalYear],$K$2)/SUMIFS(INDEX(Data_Detail_OLD[],0,MATCH($E$26,Data_Detail_OLD[#Headers],0)),Data_Detail_OLD[AEA],$A17,Data_Detail_OLD[FiscalYear],$K$2)*
INDEX(Data[],MATCH($A17,Data[AEA],0),MATCH("Pay1 - Sept - May",Data[#Headers],0)),0)</f>
        <v>#DIV/0!</v>
      </c>
      <c r="E17" s="50" t="e">
        <f t="shared" si="4"/>
        <v>#DIV/0!</v>
      </c>
      <c r="F17" s="22" t="e">
        <f>ROUND(SUMIFS(INDEX(Data_Detail_OLD[],0,MATCH(F$14,Data_Detail_OLD[#Headers],0)),Data_Detail_OLD[AEA],$A17,Data_Detail_OLD[FiscalYear],$K$2)/SUMIFS(INDEX(Data_Detail_OLD[],0,MATCH($E$26,Data_Detail_OLD[#Headers],0)),Data_Detail_OLD[AEA],$A17,Data_Detail_OLD[FiscalYear],$K$2)*
INDEX(Data[],MATCH($A17,Data[AEA],0),MATCH("Pay1 - Sept - May",Data[#Headers],0)),0)</f>
        <v>#DIV/0!</v>
      </c>
      <c r="G17" s="60"/>
      <c r="H17" s="84"/>
    </row>
    <row r="18" spans="1:13" x14ac:dyDescent="0.25">
      <c r="A18" s="11" t="str">
        <f t="shared" si="3"/>
        <v>09</v>
      </c>
      <c r="B18" s="11" t="str">
        <f t="shared" si="3"/>
        <v>Mississippi Bend AEA 9</v>
      </c>
      <c r="C18" s="22" t="e">
        <f>ROUND(SUMIFS(INDEX(Data_Detail_OLD[],0,MATCH(C$14,Data_Detail_OLD[#Headers],0)),Data_Detail_OLD[AEA],$A18,Data_Detail_OLD[FiscalYear],$K$2)/SUMIFS(INDEX(Data_Detail_OLD[],0,MATCH($E$26,Data_Detail_OLD[#Headers],0)),Data_Detail_OLD[AEA],$A18,Data_Detail_OLD[FiscalYear],$K$2)*
INDEX(Data[],MATCH($A18,Data[AEA],0),MATCH("Pay1 - Sept - May",Data[#Headers],0)),0)</f>
        <v>#DIV/0!</v>
      </c>
      <c r="D18" s="19" t="e">
        <f>ROUND(SUMIFS(INDEX(Data_Detail_OLD[],0,MATCH(D$14,Data_Detail_OLD[#Headers],0)),Data_Detail_OLD[AEA],$A18,Data_Detail_OLD[FiscalYear],$K$2)/SUMIFS(INDEX(Data_Detail_OLD[],0,MATCH($E$26,Data_Detail_OLD[#Headers],0)),Data_Detail_OLD[AEA],$A18,Data_Detail_OLD[FiscalYear],$K$2)*
INDEX(Data[],MATCH($A18,Data[AEA],0),MATCH("Pay1 - Sept - May",Data[#Headers],0)),0)</f>
        <v>#DIV/0!</v>
      </c>
      <c r="E18" s="50" t="e">
        <f t="shared" si="4"/>
        <v>#DIV/0!</v>
      </c>
      <c r="F18" s="22" t="e">
        <f>ROUND(SUMIFS(INDEX(Data_Detail_OLD[],0,MATCH(F$14,Data_Detail_OLD[#Headers],0)),Data_Detail_OLD[AEA],$A18,Data_Detail_OLD[FiscalYear],$K$2)/SUMIFS(INDEX(Data_Detail_OLD[],0,MATCH($E$26,Data_Detail_OLD[#Headers],0)),Data_Detail_OLD[AEA],$A18,Data_Detail_OLD[FiscalYear],$K$2)*
INDEX(Data[],MATCH($A18,Data[AEA],0),MATCH("Pay1 - Sept - May",Data[#Headers],0)),0)</f>
        <v>#DIV/0!</v>
      </c>
      <c r="G18" s="60"/>
      <c r="H18" s="85" t="s">
        <v>714</v>
      </c>
    </row>
    <row r="19" spans="1:13" x14ac:dyDescent="0.25">
      <c r="A19" s="11" t="str">
        <f t="shared" si="3"/>
        <v>10</v>
      </c>
      <c r="B19" s="11" t="str">
        <f t="shared" si="3"/>
        <v>Grant Wood AEA 10</v>
      </c>
      <c r="C19" s="22" t="e">
        <f>ROUND(SUMIFS(INDEX(Data_Detail_OLD[],0,MATCH(C$14,Data_Detail_OLD[#Headers],0)),Data_Detail_OLD[AEA],$A19,Data_Detail_OLD[FiscalYear],$K$2)/SUMIFS(INDEX(Data_Detail_OLD[],0,MATCH($E$26,Data_Detail_OLD[#Headers],0)),Data_Detail_OLD[AEA],$A19,Data_Detail_OLD[FiscalYear],$K$2)*
INDEX(Data[],MATCH($A19,Data[AEA],0),MATCH("Pay1 - Sept - May",Data[#Headers],0)),0)</f>
        <v>#DIV/0!</v>
      </c>
      <c r="D19" s="19" t="e">
        <f>ROUND(SUMIFS(INDEX(Data_Detail_OLD[],0,MATCH(D$14,Data_Detail_OLD[#Headers],0)),Data_Detail_OLD[AEA],$A19,Data_Detail_OLD[FiscalYear],$K$2)/SUMIFS(INDEX(Data_Detail_OLD[],0,MATCH($E$26,Data_Detail_OLD[#Headers],0)),Data_Detail_OLD[AEA],$A19,Data_Detail_OLD[FiscalYear],$K$2)*
INDEX(Data[],MATCH($A19,Data[AEA],0),MATCH("Pay1 - Sept - May",Data[#Headers],0)),0)</f>
        <v>#DIV/0!</v>
      </c>
      <c r="E19" s="50" t="e">
        <f t="shared" si="4"/>
        <v>#DIV/0!</v>
      </c>
      <c r="F19" s="22" t="e">
        <f>ROUND(SUMIFS(INDEX(Data_Detail_OLD[],0,MATCH(F$14,Data_Detail_OLD[#Headers],0)),Data_Detail_OLD[AEA],$A19,Data_Detail_OLD[FiscalYear],$K$2)/SUMIFS(INDEX(Data_Detail_OLD[],0,MATCH($E$26,Data_Detail_OLD[#Headers],0)),Data_Detail_OLD[AEA],$A19,Data_Detail_OLD[FiscalYear],$K$2)*
INDEX(Data[],MATCH($A19,Data[AEA],0),MATCH("Pay1 - Sept - May",Data[#Headers],0)),0)</f>
        <v>#DIV/0!</v>
      </c>
      <c r="G19" s="60"/>
      <c r="H19" s="85"/>
    </row>
    <row r="20" spans="1:13" x14ac:dyDescent="0.25">
      <c r="A20" s="11" t="str">
        <f t="shared" si="3"/>
        <v>11</v>
      </c>
      <c r="B20" s="11" t="str">
        <f t="shared" si="3"/>
        <v>Heartland AEA 11</v>
      </c>
      <c r="C20" s="22" t="e">
        <f>ROUND(SUMIFS(INDEX(Data_Detail_OLD[],0,MATCH(C$14,Data_Detail_OLD[#Headers],0)),Data_Detail_OLD[AEA],$A20,Data_Detail_OLD[FiscalYear],$K$2)/SUMIFS(INDEX(Data_Detail_OLD[],0,MATCH($E$26,Data_Detail_OLD[#Headers],0)),Data_Detail_OLD[AEA],$A20,Data_Detail_OLD[FiscalYear],$K$2)*
INDEX(Data[],MATCH($A20,Data[AEA],0),MATCH("Pay1 - Sept - May",Data[#Headers],0)),0)</f>
        <v>#DIV/0!</v>
      </c>
      <c r="D20" s="19" t="e">
        <f>ROUND(SUMIFS(INDEX(Data_Detail_OLD[],0,MATCH(D$14,Data_Detail_OLD[#Headers],0)),Data_Detail_OLD[AEA],$A20,Data_Detail_OLD[FiscalYear],$K$2)/SUMIFS(INDEX(Data_Detail_OLD[],0,MATCH($E$26,Data_Detail_OLD[#Headers],0)),Data_Detail_OLD[AEA],$A20,Data_Detail_OLD[FiscalYear],$K$2)*
INDEX(Data[],MATCH($A20,Data[AEA],0),MATCH("Pay1 - Sept - May",Data[#Headers],0)),0)</f>
        <v>#DIV/0!</v>
      </c>
      <c r="E20" s="50" t="e">
        <f t="shared" si="4"/>
        <v>#DIV/0!</v>
      </c>
      <c r="F20" s="22" t="e">
        <f>ROUND(SUMIFS(INDEX(Data_Detail_OLD[],0,MATCH(F$14,Data_Detail_OLD[#Headers],0)),Data_Detail_OLD[AEA],$A20,Data_Detail_OLD[FiscalYear],$K$2)/SUMIFS(INDEX(Data_Detail_OLD[],0,MATCH($E$26,Data_Detail_OLD[#Headers],0)),Data_Detail_OLD[AEA],$A20,Data_Detail_OLD[FiscalYear],$K$2)*
INDEX(Data[],MATCH($A20,Data[AEA],0),MATCH("Pay1 - Sept - May",Data[#Headers],0)),0)</f>
        <v>#DIV/0!</v>
      </c>
      <c r="G20" s="60"/>
    </row>
    <row r="21" spans="1:13" x14ac:dyDescent="0.25">
      <c r="A21" s="11" t="str">
        <f t="shared" si="3"/>
        <v>12</v>
      </c>
      <c r="B21" s="11" t="str">
        <f t="shared" si="3"/>
        <v>Northwest AEA</v>
      </c>
      <c r="C21" s="22" t="e">
        <f>ROUND(SUMIFS(INDEX(Data_Detail_OLD[],0,MATCH(C$14,Data_Detail_OLD[#Headers],0)),Data_Detail_OLD[AEA],$A21,Data_Detail_OLD[FiscalYear],$K$2)/SUMIFS(INDEX(Data_Detail_OLD[],0,MATCH($E$26,Data_Detail_OLD[#Headers],0)),Data_Detail_OLD[AEA],$A21,Data_Detail_OLD[FiscalYear],$K$2)*
INDEX(Data[],MATCH($A21,Data[AEA],0),MATCH("Pay1 - Sept - May",Data[#Headers],0)),0)</f>
        <v>#DIV/0!</v>
      </c>
      <c r="D21" s="19" t="e">
        <f>ROUND(SUMIFS(INDEX(Data_Detail_OLD[],0,MATCH(D$14,Data_Detail_OLD[#Headers],0)),Data_Detail_OLD[AEA],$A21,Data_Detail_OLD[FiscalYear],$K$2)/SUMIFS(INDEX(Data_Detail_OLD[],0,MATCH($E$26,Data_Detail_OLD[#Headers],0)),Data_Detail_OLD[AEA],$A21,Data_Detail_OLD[FiscalYear],$K$2)*
INDEX(Data[],MATCH($A21,Data[AEA],0),MATCH("Pay1 - Sept - May",Data[#Headers],0)),0)</f>
        <v>#DIV/0!</v>
      </c>
      <c r="E21" s="50" t="e">
        <f t="shared" si="4"/>
        <v>#DIV/0!</v>
      </c>
      <c r="F21" s="22" t="e">
        <f>ROUND(SUMIFS(INDEX(Data_Detail_OLD[],0,MATCH(F$14,Data_Detail_OLD[#Headers],0)),Data_Detail_OLD[AEA],$A21,Data_Detail_OLD[FiscalYear],$K$2)/SUMIFS(INDEX(Data_Detail_OLD[],0,MATCH($E$26,Data_Detail_OLD[#Headers],0)),Data_Detail_OLD[AEA],$A21,Data_Detail_OLD[FiscalYear],$K$2)*
INDEX(Data[],MATCH($A21,Data[AEA],0),MATCH("Pay1 - Sept - May",Data[#Headers],0)),0)</f>
        <v>#DIV/0!</v>
      </c>
      <c r="G21" s="60"/>
    </row>
    <row r="22" spans="1:13" x14ac:dyDescent="0.25">
      <c r="A22" s="11" t="str">
        <f t="shared" si="3"/>
        <v>13</v>
      </c>
      <c r="B22" s="11" t="str">
        <f t="shared" si="3"/>
        <v>Green Hills AEA 13</v>
      </c>
      <c r="C22" s="22" t="e">
        <f>ROUND(SUMIFS(INDEX(Data_Detail_OLD[],0,MATCH(C$14,Data_Detail_OLD[#Headers],0)),Data_Detail_OLD[AEA],$A22,Data_Detail_OLD[FiscalYear],$K$2)/SUMIFS(INDEX(Data_Detail_OLD[],0,MATCH($E$26,Data_Detail_OLD[#Headers],0)),Data_Detail_OLD[AEA],$A22,Data_Detail_OLD[FiscalYear],$K$2)*
INDEX(Data[],MATCH($A22,Data[AEA],0),MATCH("Pay1 - Sept - May",Data[#Headers],0)),0)</f>
        <v>#DIV/0!</v>
      </c>
      <c r="D22" s="19" t="e">
        <f>ROUND(SUMIFS(INDEX(Data_Detail_OLD[],0,MATCH(D$14,Data_Detail_OLD[#Headers],0)),Data_Detail_OLD[AEA],$A22,Data_Detail_OLD[FiscalYear],$K$2)/SUMIFS(INDEX(Data_Detail_OLD[],0,MATCH($E$26,Data_Detail_OLD[#Headers],0)),Data_Detail_OLD[AEA],$A22,Data_Detail_OLD[FiscalYear],$K$2)*
INDEX(Data[],MATCH($A22,Data[AEA],0),MATCH("Pay1 - Sept - May",Data[#Headers],0)),0)</f>
        <v>#DIV/0!</v>
      </c>
      <c r="E22" s="50" t="e">
        <f t="shared" si="4"/>
        <v>#DIV/0!</v>
      </c>
      <c r="F22" s="22" t="e">
        <f>ROUND(SUMIFS(INDEX(Data_Detail_OLD[],0,MATCH(F$14,Data_Detail_OLD[#Headers],0)),Data_Detail_OLD[AEA],$A22,Data_Detail_OLD[FiscalYear],$K$2)/SUMIFS(INDEX(Data_Detail_OLD[],0,MATCH($E$26,Data_Detail_OLD[#Headers],0)),Data_Detail_OLD[AEA],$A22,Data_Detail_OLD[FiscalYear],$K$2)*
INDEX(Data[],MATCH($A22,Data[AEA],0),MATCH("Pay1 - Sept - May",Data[#Headers],0)),0)</f>
        <v>#DIV/0!</v>
      </c>
      <c r="G22" s="60"/>
    </row>
    <row r="23" spans="1:13" x14ac:dyDescent="0.25">
      <c r="A23" s="11" t="str">
        <f t="shared" si="3"/>
        <v>15</v>
      </c>
      <c r="B23" s="11" t="str">
        <f t="shared" si="3"/>
        <v>Great Prairie AEA 15</v>
      </c>
      <c r="C23" s="22" t="e">
        <f>ROUND(SUMIFS(INDEX(Data_Detail_OLD[],0,MATCH(C$14,Data_Detail_OLD[#Headers],0)),Data_Detail_OLD[AEA],$A23,Data_Detail_OLD[FiscalYear],$K$2)/SUMIFS(INDEX(Data_Detail_OLD[],0,MATCH($E$26,Data_Detail_OLD[#Headers],0)),Data_Detail_OLD[AEA],$A23,Data_Detail_OLD[FiscalYear],$K$2)*
INDEX(Data[],MATCH($A23,Data[AEA],0),MATCH("Pay1 - Sept - May",Data[#Headers],0)),0)</f>
        <v>#DIV/0!</v>
      </c>
      <c r="D23" s="19" t="e">
        <f>ROUND(SUMIFS(INDEX(Data_Detail_OLD[],0,MATCH(D$14,Data_Detail_OLD[#Headers],0)),Data_Detail_OLD[AEA],$A23,Data_Detail_OLD[FiscalYear],$K$2)/SUMIFS(INDEX(Data_Detail_OLD[],0,MATCH($E$26,Data_Detail_OLD[#Headers],0)),Data_Detail_OLD[AEA],$A23,Data_Detail_OLD[FiscalYear],$K$2)*
INDEX(Data[],MATCH($A23,Data[AEA],0),MATCH("Pay1 - Sept - May",Data[#Headers],0)),0)</f>
        <v>#DIV/0!</v>
      </c>
      <c r="E23" s="50" t="e">
        <f t="shared" si="4"/>
        <v>#DIV/0!</v>
      </c>
      <c r="F23" s="22" t="e">
        <f>ROUND(SUMIFS(INDEX(Data_Detail_OLD[],0,MATCH(F$14,Data_Detail_OLD[#Headers],0)),Data_Detail_OLD[AEA],$A23,Data_Detail_OLD[FiscalYear],$K$2)/SUMIFS(INDEX(Data_Detail_OLD[],0,MATCH($E$26,Data_Detail_OLD[#Headers],0)),Data_Detail_OLD[AEA],$A23,Data_Detail_OLD[FiscalYear],$K$2)*
INDEX(Data[],MATCH($A23,Data[AEA],0),MATCH("Pay1 - Sept - May",Data[#Headers],0)),0)</f>
        <v>#DIV/0!</v>
      </c>
      <c r="G23" s="60"/>
    </row>
    <row r="24" spans="1:13" ht="15.75" thickBot="1" x14ac:dyDescent="0.3">
      <c r="C24" s="46" t="e">
        <f>SUM(C15:C23)</f>
        <v>#DIV/0!</v>
      </c>
      <c r="D24" s="20" t="e">
        <f>SUM(D15:D23)</f>
        <v>#DIV/0!</v>
      </c>
      <c r="E24" s="20" t="e">
        <f>SUM(E15:E23)</f>
        <v>#DIV/0!</v>
      </c>
      <c r="F24" s="46" t="e">
        <f>SUM(F15:F23)</f>
        <v>#DIV/0!</v>
      </c>
      <c r="G24" s="61"/>
      <c r="K24" t="s">
        <v>745</v>
      </c>
    </row>
    <row r="25" spans="1:13" ht="7.5" customHeight="1" thickTop="1" x14ac:dyDescent="0.25">
      <c r="F25" s="6"/>
      <c r="G25" s="6"/>
      <c r="H25" s="6"/>
    </row>
    <row r="26" spans="1:13" ht="30" customHeight="1"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s="59" t="s">
        <v>61</v>
      </c>
      <c r="L26" s="21" t="s">
        <v>715</v>
      </c>
      <c r="M26" s="9" t="s">
        <v>716</v>
      </c>
    </row>
    <row r="27" spans="1:13" x14ac:dyDescent="0.25">
      <c r="A27" s="11" t="str">
        <f t="shared" si="5"/>
        <v>01</v>
      </c>
      <c r="B27" s="11" t="str">
        <f t="shared" si="5"/>
        <v>Keystone AEA 1</v>
      </c>
      <c r="C27" s="19" t="e">
        <f>ROUND(SUMIFS(INDEX(Data_Detail_OLD[],0,MATCH(C$26,Data_Detail_OLD[#Headers],0)),Data_Detail_OLD[AEA],$A27,Data_Detail_OLD[FiscalYear],$K$2)/SUMIFS(INDEX(Data_Detail_OLD[],0,MATCH($E$26,Data_Detail_OLD[#Headers],0)),Data_Detail_OLD[AEA],$A27,Data_Detail_OLD[FiscalYear],$K$2)*
INDEX(Data[],MATCH($A27,Data[AEA],0),MATCH("Pay1 - Sept - May",Data[#Headers],0)),0)</f>
        <v>#DIV/0!</v>
      </c>
      <c r="D27" s="19" t="e">
        <f>ROUND(SUMIFS(INDEX(Data_Detail_OLD[],0,MATCH(D$26,Data_Detail_OLD[#Headers],0)),Data_Detail_OLD[AEA],$A27,Data_Detail_OLD[FiscalYear],$K$2)/SUMIFS(INDEX(Data_Detail_OLD[],0,MATCH($E$26,Data_Detail_OLD[#Headers],0)),Data_Detail_OLD[AEA],$A27,Data_Detail_OLD[FiscalYear],$K$2)*
INDEX(Data[],MATCH($A27,Data[AEA],0),MATCH("Pay1 - Sept - May",Data[#Headers],0)),0)</f>
        <v>#DIV/0!</v>
      </c>
      <c r="E27" s="49" t="e">
        <f>INDEX(Data[],MATCH($A27,Data[AEA],0),MATCH("Pay1 - Sept - May",Data[#Headers],0))</f>
        <v>#N/A</v>
      </c>
      <c r="F27" s="48" t="e">
        <f>F3+C15+F15</f>
        <v>#DIV/0!</v>
      </c>
      <c r="G27" s="50" t="e">
        <f>G3+H3+D15+C27+D27</f>
        <v>#DIV/0!</v>
      </c>
      <c r="K27" s="6" t="e">
        <f t="shared" ref="K27:K36" si="6">E27-D27-C27-G15-F15-E15-H3-G3-F3</f>
        <v>#N/A</v>
      </c>
      <c r="L27" s="6" t="e">
        <f t="shared" ref="L27:L36" si="7">F27-G15-F15-C15-F3</f>
        <v>#DIV/0!</v>
      </c>
      <c r="M27" s="6" t="e">
        <f t="shared" ref="M27:M36" si="8">G27-D27-C27-D15-H3-G3</f>
        <v>#DIV/0!</v>
      </c>
    </row>
    <row r="28" spans="1:13" x14ac:dyDescent="0.25">
      <c r="A28" s="11" t="str">
        <f t="shared" si="5"/>
        <v>05</v>
      </c>
      <c r="B28" s="11" t="str">
        <f t="shared" si="5"/>
        <v>Prairie Lakes AEA 8</v>
      </c>
      <c r="C28" s="19" t="e">
        <f>ROUND(SUMIFS(INDEX(Data_Detail_OLD[],0,MATCH(C$26,Data_Detail_OLD[#Headers],0)),Data_Detail_OLD[AEA],$A28,Data_Detail_OLD[FiscalYear],$K$2)/SUMIFS(INDEX(Data_Detail_OLD[],0,MATCH($E$26,Data_Detail_OLD[#Headers],0)),Data_Detail_OLD[AEA],$A28,Data_Detail_OLD[FiscalYear],$K$2)*
INDEX(Data[],MATCH($A28,Data[AEA],0),MATCH("Pay1 - Sept - May",Data[#Headers],0)),0)</f>
        <v>#DIV/0!</v>
      </c>
      <c r="D28" s="19" t="e">
        <f>ROUND(SUMIFS(INDEX(Data_Detail_OLD[],0,MATCH(D$26,Data_Detail_OLD[#Headers],0)),Data_Detail_OLD[AEA],$A28,Data_Detail_OLD[FiscalYear],$K$2)/SUMIFS(INDEX(Data_Detail_OLD[],0,MATCH($E$26,Data_Detail_OLD[#Headers],0)),Data_Detail_OLD[AEA],$A28,Data_Detail_OLD[FiscalYear],$K$2)*
INDEX(Data[],MATCH($A28,Data[AEA],0),MATCH("Pay1 - Sept - May",Data[#Headers],0)),0)</f>
        <v>#DIV/0!</v>
      </c>
      <c r="E28" s="49" t="e">
        <f>INDEX(Data[],MATCH($A28,Data[AEA],0),MATCH("Pay1 - Sept - May",Data[#Headers],0))</f>
        <v>#N/A</v>
      </c>
      <c r="F28" s="48" t="e">
        <f t="shared" ref="F28:F35" si="9">F4+C16+F16</f>
        <v>#DIV/0!</v>
      </c>
      <c r="G28" s="50" t="e">
        <f t="shared" ref="G28:G35" si="10">G4+H4+D16+C28+D28</f>
        <v>#DIV/0!</v>
      </c>
      <c r="K28" s="6" t="e">
        <f t="shared" si="6"/>
        <v>#N/A</v>
      </c>
      <c r="L28" s="6" t="e">
        <f t="shared" si="7"/>
        <v>#DIV/0!</v>
      </c>
      <c r="M28" s="6" t="e">
        <f t="shared" si="8"/>
        <v>#DIV/0!</v>
      </c>
    </row>
    <row r="29" spans="1:13" x14ac:dyDescent="0.25">
      <c r="A29" s="11" t="str">
        <f t="shared" si="5"/>
        <v>07</v>
      </c>
      <c r="B29" s="11" t="str">
        <f t="shared" si="5"/>
        <v>Central Rivers</v>
      </c>
      <c r="C29" s="19" t="e">
        <f>ROUND(SUMIFS(INDEX(Data_Detail_OLD[],0,MATCH(C$26,Data_Detail_OLD[#Headers],0)),Data_Detail_OLD[AEA],$A29,Data_Detail_OLD[FiscalYear],$K$2)/SUMIFS(INDEX(Data_Detail_OLD[],0,MATCH($E$26,Data_Detail_OLD[#Headers],0)),Data_Detail_OLD[AEA],$A29,Data_Detail_OLD[FiscalYear],$K$2)*
INDEX(Data[],MATCH($A29,Data[AEA],0),MATCH("Pay1 - Sept - May",Data[#Headers],0)),0)</f>
        <v>#DIV/0!</v>
      </c>
      <c r="D29" s="19" t="e">
        <f>ROUND(SUMIFS(INDEX(Data_Detail_OLD[],0,MATCH(D$26,Data_Detail_OLD[#Headers],0)),Data_Detail_OLD[AEA],$A29,Data_Detail_OLD[FiscalYear],$K$2)/SUMIFS(INDEX(Data_Detail_OLD[],0,MATCH($E$26,Data_Detail_OLD[#Headers],0)),Data_Detail_OLD[AEA],$A29,Data_Detail_OLD[FiscalYear],$K$2)*
INDEX(Data[],MATCH($A29,Data[AEA],0),MATCH("Pay1 - Sept - May",Data[#Headers],0)),0)</f>
        <v>#DIV/0!</v>
      </c>
      <c r="E29" s="49" t="e">
        <f>INDEX(Data[],MATCH($A29,Data[AEA],0),MATCH("Pay1 - Sept - May",Data[#Headers],0))</f>
        <v>#N/A</v>
      </c>
      <c r="F29" s="48" t="e">
        <f t="shared" si="9"/>
        <v>#DIV/0!</v>
      </c>
      <c r="G29" s="50" t="e">
        <f t="shared" si="10"/>
        <v>#DIV/0!</v>
      </c>
      <c r="K29" s="6" t="e">
        <f t="shared" si="6"/>
        <v>#N/A</v>
      </c>
      <c r="L29" s="6" t="e">
        <f t="shared" si="7"/>
        <v>#DIV/0!</v>
      </c>
      <c r="M29" s="6" t="e">
        <f t="shared" si="8"/>
        <v>#DIV/0!</v>
      </c>
    </row>
    <row r="30" spans="1:13" x14ac:dyDescent="0.25">
      <c r="A30" s="11" t="str">
        <f t="shared" si="5"/>
        <v>09</v>
      </c>
      <c r="B30" s="11" t="str">
        <f t="shared" si="5"/>
        <v>Mississippi Bend AEA 9</v>
      </c>
      <c r="C30" s="19" t="e">
        <f>ROUND(SUMIFS(INDEX(Data_Detail_OLD[],0,MATCH(C$26,Data_Detail_OLD[#Headers],0)),Data_Detail_OLD[AEA],$A30,Data_Detail_OLD[FiscalYear],$K$2)/SUMIFS(INDEX(Data_Detail_OLD[],0,MATCH($E$26,Data_Detail_OLD[#Headers],0)),Data_Detail_OLD[AEA],$A30,Data_Detail_OLD[FiscalYear],$K$2)*
INDEX(Data[],MATCH($A30,Data[AEA],0),MATCH("Pay1 - Sept - May",Data[#Headers],0)),0)</f>
        <v>#DIV/0!</v>
      </c>
      <c r="D30" s="19" t="e">
        <f>ROUND(SUMIFS(INDEX(Data_Detail_OLD[],0,MATCH(D$26,Data_Detail_OLD[#Headers],0)),Data_Detail_OLD[AEA],$A30,Data_Detail_OLD[FiscalYear],$K$2)/SUMIFS(INDEX(Data_Detail_OLD[],0,MATCH($E$26,Data_Detail_OLD[#Headers],0)),Data_Detail_OLD[AEA],$A30,Data_Detail_OLD[FiscalYear],$K$2)*
INDEX(Data[],MATCH($A30,Data[AEA],0),MATCH("Pay1 - Sept - May",Data[#Headers],0)),0)</f>
        <v>#DIV/0!</v>
      </c>
      <c r="E30" s="49" t="e">
        <f>INDEX(Data[],MATCH($A30,Data[AEA],0),MATCH("Pay1 - Sept - May",Data[#Headers],0))</f>
        <v>#N/A</v>
      </c>
      <c r="F30" s="48" t="e">
        <f t="shared" si="9"/>
        <v>#DIV/0!</v>
      </c>
      <c r="G30" s="50" t="e">
        <f t="shared" si="10"/>
        <v>#DIV/0!</v>
      </c>
      <c r="K30" s="6" t="e">
        <f t="shared" si="6"/>
        <v>#N/A</v>
      </c>
      <c r="L30" s="6" t="e">
        <f t="shared" si="7"/>
        <v>#DIV/0!</v>
      </c>
      <c r="M30" s="6" t="e">
        <f t="shared" si="8"/>
        <v>#DIV/0!</v>
      </c>
    </row>
    <row r="31" spans="1:13" x14ac:dyDescent="0.25">
      <c r="A31" s="11" t="str">
        <f t="shared" si="5"/>
        <v>10</v>
      </c>
      <c r="B31" s="11" t="str">
        <f t="shared" si="5"/>
        <v>Grant Wood AEA 10</v>
      </c>
      <c r="C31" s="19" t="e">
        <f>ROUND(SUMIFS(INDEX(Data_Detail_OLD[],0,MATCH(C$26,Data_Detail_OLD[#Headers],0)),Data_Detail_OLD[AEA],$A31,Data_Detail_OLD[FiscalYear],$K$2)/SUMIFS(INDEX(Data_Detail_OLD[],0,MATCH($E$26,Data_Detail_OLD[#Headers],0)),Data_Detail_OLD[AEA],$A31,Data_Detail_OLD[FiscalYear],$K$2)*
INDEX(Data[],MATCH($A31,Data[AEA],0),MATCH("Pay1 - Sept - May",Data[#Headers],0)),0)</f>
        <v>#DIV/0!</v>
      </c>
      <c r="D31" s="19" t="e">
        <f>ROUND(SUMIFS(INDEX(Data_Detail_OLD[],0,MATCH(D$26,Data_Detail_OLD[#Headers],0)),Data_Detail_OLD[AEA],$A31,Data_Detail_OLD[FiscalYear],$K$2)/SUMIFS(INDEX(Data_Detail_OLD[],0,MATCH($E$26,Data_Detail_OLD[#Headers],0)),Data_Detail_OLD[AEA],$A31,Data_Detail_OLD[FiscalYear],$K$2)*
INDEX(Data[],MATCH($A31,Data[AEA],0),MATCH("Pay1 - Sept - May",Data[#Headers],0)),0)</f>
        <v>#DIV/0!</v>
      </c>
      <c r="E31" s="49" t="e">
        <f>INDEX(Data[],MATCH($A31,Data[AEA],0),MATCH("Pay1 - Sept - May",Data[#Headers],0))</f>
        <v>#N/A</v>
      </c>
      <c r="F31" s="48" t="e">
        <f t="shared" si="9"/>
        <v>#DIV/0!</v>
      </c>
      <c r="G31" s="50" t="e">
        <f t="shared" si="10"/>
        <v>#DIV/0!</v>
      </c>
      <c r="K31" s="6" t="e">
        <f t="shared" si="6"/>
        <v>#N/A</v>
      </c>
      <c r="L31" s="6" t="e">
        <f t="shared" si="7"/>
        <v>#DIV/0!</v>
      </c>
      <c r="M31" s="6" t="e">
        <f t="shared" si="8"/>
        <v>#DIV/0!</v>
      </c>
    </row>
    <row r="32" spans="1:13" x14ac:dyDescent="0.25">
      <c r="A32" s="11" t="str">
        <f t="shared" si="5"/>
        <v>11</v>
      </c>
      <c r="B32" s="11" t="str">
        <f t="shared" si="5"/>
        <v>Heartland AEA 11</v>
      </c>
      <c r="C32" s="19" t="e">
        <f>ROUND(SUMIFS(INDEX(Data_Detail_OLD[],0,MATCH(C$26,Data_Detail_OLD[#Headers],0)),Data_Detail_OLD[AEA],$A32,Data_Detail_OLD[FiscalYear],$K$2)/SUMIFS(INDEX(Data_Detail_OLD[],0,MATCH($E$26,Data_Detail_OLD[#Headers],0)),Data_Detail_OLD[AEA],$A32,Data_Detail_OLD[FiscalYear],$K$2)*
INDEX(Data[],MATCH($A32,Data[AEA],0),MATCH("Pay1 - Sept - May",Data[#Headers],0)),0)</f>
        <v>#DIV/0!</v>
      </c>
      <c r="D32" s="19" t="e">
        <f>ROUND(SUMIFS(INDEX(Data_Detail_OLD[],0,MATCH(D$26,Data_Detail_OLD[#Headers],0)),Data_Detail_OLD[AEA],$A32,Data_Detail_OLD[FiscalYear],$K$2)/SUMIFS(INDEX(Data_Detail_OLD[],0,MATCH($E$26,Data_Detail_OLD[#Headers],0)),Data_Detail_OLD[AEA],$A32,Data_Detail_OLD[FiscalYear],$K$2)*
INDEX(Data[],MATCH($A32,Data[AEA],0),MATCH("Pay1 - Sept - May",Data[#Headers],0)),0)</f>
        <v>#DIV/0!</v>
      </c>
      <c r="E32" s="49" t="e">
        <f>INDEX(Data[],MATCH($A32,Data[AEA],0),MATCH("Pay1 - Sept - May",Data[#Headers],0))</f>
        <v>#N/A</v>
      </c>
      <c r="F32" s="48" t="e">
        <f t="shared" si="9"/>
        <v>#DIV/0!</v>
      </c>
      <c r="G32" s="50" t="e">
        <f t="shared" si="10"/>
        <v>#DIV/0!</v>
      </c>
      <c r="K32" s="6" t="e">
        <f t="shared" si="6"/>
        <v>#N/A</v>
      </c>
      <c r="L32" s="6" t="e">
        <f t="shared" si="7"/>
        <v>#DIV/0!</v>
      </c>
      <c r="M32" s="6" t="e">
        <f t="shared" si="8"/>
        <v>#DIV/0!</v>
      </c>
    </row>
    <row r="33" spans="1:13" x14ac:dyDescent="0.25">
      <c r="A33" s="11" t="str">
        <f t="shared" si="5"/>
        <v>12</v>
      </c>
      <c r="B33" s="11" t="str">
        <f t="shared" si="5"/>
        <v>Northwest AEA</v>
      </c>
      <c r="C33" s="19" t="e">
        <f>ROUND(SUMIFS(INDEX(Data_Detail_OLD[],0,MATCH(C$26,Data_Detail_OLD[#Headers],0)),Data_Detail_OLD[AEA],$A33,Data_Detail_OLD[FiscalYear],$K$2)/SUMIFS(INDEX(Data_Detail_OLD[],0,MATCH($E$26,Data_Detail_OLD[#Headers],0)),Data_Detail_OLD[AEA],$A33,Data_Detail_OLD[FiscalYear],$K$2)*
INDEX(Data[],MATCH($A33,Data[AEA],0),MATCH("Pay1 - Sept - May",Data[#Headers],0)),0)</f>
        <v>#DIV/0!</v>
      </c>
      <c r="D33" s="19" t="e">
        <f>ROUND(SUMIFS(INDEX(Data_Detail_OLD[],0,MATCH(D$26,Data_Detail_OLD[#Headers],0)),Data_Detail_OLD[AEA],$A33,Data_Detail_OLD[FiscalYear],$K$2)/SUMIFS(INDEX(Data_Detail_OLD[],0,MATCH($E$26,Data_Detail_OLD[#Headers],0)),Data_Detail_OLD[AEA],$A33,Data_Detail_OLD[FiscalYear],$K$2)*
INDEX(Data[],MATCH($A33,Data[AEA],0),MATCH("Pay1 - Sept - May",Data[#Headers],0)),0)</f>
        <v>#DIV/0!</v>
      </c>
      <c r="E33" s="49" t="e">
        <f>INDEX(Data[],MATCH($A33,Data[AEA],0),MATCH("Pay1 - Sept - May",Data[#Headers],0))</f>
        <v>#N/A</v>
      </c>
      <c r="F33" s="48" t="e">
        <f t="shared" si="9"/>
        <v>#DIV/0!</v>
      </c>
      <c r="G33" s="50" t="e">
        <f t="shared" si="10"/>
        <v>#DIV/0!</v>
      </c>
      <c r="K33" s="6" t="e">
        <f t="shared" si="6"/>
        <v>#N/A</v>
      </c>
      <c r="L33" s="6" t="e">
        <f t="shared" si="7"/>
        <v>#DIV/0!</v>
      </c>
      <c r="M33" s="6" t="e">
        <f t="shared" si="8"/>
        <v>#DIV/0!</v>
      </c>
    </row>
    <row r="34" spans="1:13" x14ac:dyDescent="0.25">
      <c r="A34" s="11" t="str">
        <f t="shared" si="5"/>
        <v>13</v>
      </c>
      <c r="B34" s="11" t="str">
        <f t="shared" si="5"/>
        <v>Green Hills AEA 13</v>
      </c>
      <c r="C34" s="19" t="e">
        <f>ROUND(SUMIFS(INDEX(Data_Detail_OLD[],0,MATCH(C$26,Data_Detail_OLD[#Headers],0)),Data_Detail_OLD[AEA],$A34,Data_Detail_OLD[FiscalYear],$K$2)/SUMIFS(INDEX(Data_Detail_OLD[],0,MATCH($E$26,Data_Detail_OLD[#Headers],0)),Data_Detail_OLD[AEA],$A34,Data_Detail_OLD[FiscalYear],$K$2)*
INDEX(Data[],MATCH($A34,Data[AEA],0),MATCH("Pay1 - Sept - May",Data[#Headers],0)),0)</f>
        <v>#DIV/0!</v>
      </c>
      <c r="D34" s="19" t="e">
        <f>ROUND(SUMIFS(INDEX(Data_Detail_OLD[],0,MATCH(D$26,Data_Detail_OLD[#Headers],0)),Data_Detail_OLD[AEA],$A34,Data_Detail_OLD[FiscalYear],$K$2)/SUMIFS(INDEX(Data_Detail_OLD[],0,MATCH($E$26,Data_Detail_OLD[#Headers],0)),Data_Detail_OLD[AEA],$A34,Data_Detail_OLD[FiscalYear],$K$2)*
INDEX(Data[],MATCH($A34,Data[AEA],0),MATCH("Pay1 - Sept - May",Data[#Headers],0)),0)</f>
        <v>#DIV/0!</v>
      </c>
      <c r="E34" s="49" t="e">
        <f>INDEX(Data[],MATCH($A34,Data[AEA],0),MATCH("Pay1 - Sept - May",Data[#Headers],0))</f>
        <v>#N/A</v>
      </c>
      <c r="F34" s="48" t="e">
        <f t="shared" si="9"/>
        <v>#DIV/0!</v>
      </c>
      <c r="G34" s="50" t="e">
        <f t="shared" si="10"/>
        <v>#DIV/0!</v>
      </c>
      <c r="K34" s="6" t="e">
        <f t="shared" si="6"/>
        <v>#N/A</v>
      </c>
      <c r="L34" s="6" t="e">
        <f t="shared" si="7"/>
        <v>#DIV/0!</v>
      </c>
      <c r="M34" s="6" t="e">
        <f t="shared" si="8"/>
        <v>#DIV/0!</v>
      </c>
    </row>
    <row r="35" spans="1:13" x14ac:dyDescent="0.25">
      <c r="A35" s="11" t="str">
        <f t="shared" si="5"/>
        <v>15</v>
      </c>
      <c r="B35" s="11" t="str">
        <f t="shared" si="5"/>
        <v>Great Prairie AEA 15</v>
      </c>
      <c r="C35" s="19" t="e">
        <f>ROUND(SUMIFS(INDEX(Data_Detail_OLD[],0,MATCH(C$26,Data_Detail_OLD[#Headers],0)),Data_Detail_OLD[AEA],$A35,Data_Detail_OLD[FiscalYear],$K$2)/SUMIFS(INDEX(Data_Detail_OLD[],0,MATCH($E$26,Data_Detail_OLD[#Headers],0)),Data_Detail_OLD[AEA],$A35,Data_Detail_OLD[FiscalYear],$K$2)*
INDEX(Data[],MATCH($A35,Data[AEA],0),MATCH("Pay1 - Sept - May",Data[#Headers],0)),0)</f>
        <v>#DIV/0!</v>
      </c>
      <c r="D35" s="19" t="e">
        <f>ROUND(SUMIFS(INDEX(Data_Detail_OLD[],0,MATCH(D$26,Data_Detail_OLD[#Headers],0)),Data_Detail_OLD[AEA],$A35,Data_Detail_OLD[FiscalYear],$K$2)/SUMIFS(INDEX(Data_Detail_OLD[],0,MATCH($E$26,Data_Detail_OLD[#Headers],0)),Data_Detail_OLD[AEA],$A35,Data_Detail_OLD[FiscalYear],$K$2)*
INDEX(Data[],MATCH($A35,Data[AEA],0),MATCH("Pay1 - Sept - May",Data[#Headers],0)),0)</f>
        <v>#DIV/0!</v>
      </c>
      <c r="E35" s="49" t="e">
        <f>INDEX(Data[],MATCH($A35,Data[AEA],0),MATCH("Pay1 - Sept - May",Data[#Headers],0))</f>
        <v>#N/A</v>
      </c>
      <c r="F35" s="48" t="e">
        <f t="shared" si="9"/>
        <v>#DIV/0!</v>
      </c>
      <c r="G35" s="54" t="e">
        <f t="shared" si="10"/>
        <v>#DIV/0!</v>
      </c>
      <c r="K35" s="6" t="e">
        <f t="shared" si="6"/>
        <v>#N/A</v>
      </c>
      <c r="L35" s="6" t="e">
        <f t="shared" si="7"/>
        <v>#DIV/0!</v>
      </c>
      <c r="M35" s="6" t="e">
        <f t="shared" si="8"/>
        <v>#DIV/0!</v>
      </c>
    </row>
    <row r="36" spans="1:13" ht="15.75" thickBot="1" x14ac:dyDescent="0.3">
      <c r="C36" s="20" t="e">
        <f t="shared" ref="C36:E36" si="11">SUM(C27:C35)</f>
        <v>#DIV/0!</v>
      </c>
      <c r="D36" s="20" t="e">
        <f t="shared" si="11"/>
        <v>#DIV/0!</v>
      </c>
      <c r="E36" s="16" t="e">
        <f t="shared" si="11"/>
        <v>#N/A</v>
      </c>
      <c r="F36" s="57" t="e">
        <f>SUM(F27:F35)</f>
        <v>#DIV/0!</v>
      </c>
      <c r="G36" s="55" t="e">
        <f>SUM(G27:G35)</f>
        <v>#DIV/0!</v>
      </c>
      <c r="K36" s="6" t="e">
        <f t="shared" si="6"/>
        <v>#N/A</v>
      </c>
      <c r="L36" s="6" t="e">
        <f t="shared" si="7"/>
        <v>#DIV/0!</v>
      </c>
      <c r="M36" s="6" t="e">
        <f t="shared" si="8"/>
        <v>#DIV/0!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2770-522A-4CA2-8BEB-03A8B98A3509}">
  <sheetPr>
    <tabColor rgb="FF92D050"/>
    <pageSetUpPr fitToPage="1"/>
  </sheetPr>
  <dimension ref="A1:M35"/>
  <sheetViews>
    <sheetView zoomScale="90" zoomScaleNormal="90" workbookViewId="0">
      <selection activeCell="A2" sqref="A2"/>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hidden="1" customWidth="1"/>
    <col min="11" max="11" width="23.140625" hidden="1" customWidth="1"/>
    <col min="12" max="12" width="19.5703125" hidden="1" customWidth="1"/>
    <col min="13" max="13" width="12.140625" hidden="1" customWidth="1"/>
    <col min="14" max="14" width="0" hidden="1" customWidth="1"/>
  </cols>
  <sheetData>
    <row r="1" spans="1:13" ht="45" customHeight="1" x14ac:dyDescent="0.25">
      <c r="A1" s="83" t="str">
        <f>_xlfn.CONCAT("FY ",K1," AEA Enrollments and Cost - Final - State Aid and Property Tax Breakdown - April Payment")</f>
        <v>FY 2027 AEA Enrollments and Cost - Final - State Aid and Property Tax Breakdown - April Payment</v>
      </c>
      <c r="B1" s="83"/>
      <c r="C1" s="83"/>
      <c r="D1" s="83"/>
      <c r="E1" s="83"/>
      <c r="F1" s="83"/>
      <c r="G1" s="83"/>
      <c r="H1" s="83"/>
      <c r="I1" s="83"/>
      <c r="K1" s="10">
        <f>Notes!B1</f>
        <v>2027</v>
      </c>
    </row>
    <row r="2" spans="1:13" s="10" customFormat="1" ht="45" x14ac:dyDescent="0.25">
      <c r="A2" s="7" t="s">
        <v>31</v>
      </c>
      <c r="B2" s="7" t="s">
        <v>32</v>
      </c>
      <c r="C2" s="21" t="s">
        <v>54</v>
      </c>
      <c r="D2" s="9" t="s">
        <v>55</v>
      </c>
      <c r="E2" s="8" t="s">
        <v>56</v>
      </c>
      <c r="F2" s="21" t="s">
        <v>57</v>
      </c>
      <c r="G2" s="9" t="s">
        <v>751</v>
      </c>
      <c r="H2" s="9" t="s">
        <v>752</v>
      </c>
      <c r="I2" s="8" t="s">
        <v>753</v>
      </c>
      <c r="K2" s="10" t="s">
        <v>758</v>
      </c>
      <c r="L2" s="10" t="s">
        <v>759</v>
      </c>
      <c r="M2" s="10" t="s">
        <v>760</v>
      </c>
    </row>
    <row r="3" spans="1:13" x14ac:dyDescent="0.25">
      <c r="A3" s="18" t="str">
        <f>Data!A2</f>
        <v>01</v>
      </c>
      <c r="B3" s="11" t="str">
        <f>INDEX(Data_Detail_OLD[],MATCH(PaymentCodingDetail_April!$A3,Data_Detail_OLD[AEA],0),3)</f>
        <v>Keystone AEA 1</v>
      </c>
      <c r="C3" s="22">
        <f>PaymentCodingTotal!C3-('PaymentCodingDetai_July-Feb'!C3*3)</f>
        <v>5692</v>
      </c>
      <c r="D3" s="19">
        <f>PaymentCodingTotal!D3-('PaymentCodingDetai_July-Feb'!D3*3)</f>
        <v>1807</v>
      </c>
      <c r="E3" s="12">
        <f>PaymentCodingTotal!E3-('PaymentCodingDetai_July-Feb'!E3*3)</f>
        <v>7499</v>
      </c>
      <c r="F3" s="22">
        <f>PaymentCodingTotal!F3-('PaymentCodingDetai_July-Feb'!F3*3)</f>
        <v>287823</v>
      </c>
      <c r="G3" s="19">
        <f>PaymentCodingTotal!G3-('PaymentCodingDetai_July-Feb'!G3*3)</f>
        <v>70204</v>
      </c>
      <c r="H3" s="19">
        <f>PaymentCodingTotal!H3-('PaymentCodingDetai_July-Feb'!H3*3)</f>
        <v>78187</v>
      </c>
      <c r="I3" s="49">
        <f>SUM(E3:H3)</f>
        <v>443713</v>
      </c>
      <c r="K3" s="6">
        <f>E3-D3-C3</f>
        <v>0</v>
      </c>
      <c r="L3" s="6">
        <f t="shared" ref="L3:L12" si="0">SUM(C3:D3,F3:H3)-I3</f>
        <v>0</v>
      </c>
      <c r="M3" s="6">
        <f t="shared" ref="M3:M12" si="1">SUM(E3:H3)-I3</f>
        <v>0</v>
      </c>
    </row>
    <row r="4" spans="1:13" x14ac:dyDescent="0.25">
      <c r="A4" s="18" t="str">
        <f>Data!A3</f>
        <v>05</v>
      </c>
      <c r="B4" s="11" t="str">
        <f>INDEX(Data_Detail_OLD[],MATCH(PaymentCodingDetail_April!$A4,Data_Detail_OLD[AEA],0),3)</f>
        <v>Prairie Lakes AEA 8</v>
      </c>
      <c r="C4" s="22">
        <f>PaymentCodingTotal!C4-('PaymentCodingDetai_July-Feb'!C4*3)</f>
        <v>0</v>
      </c>
      <c r="D4" s="19">
        <f>PaymentCodingTotal!D4-('PaymentCodingDetai_July-Feb'!D4*3)</f>
        <v>0</v>
      </c>
      <c r="E4" s="12">
        <f>PaymentCodingTotal!E4-('PaymentCodingDetai_July-Feb'!E4*3)</f>
        <v>0</v>
      </c>
      <c r="F4" s="22">
        <f>PaymentCodingTotal!F4-('PaymentCodingDetai_July-Feb'!F4*3)</f>
        <v>321773</v>
      </c>
      <c r="G4" s="19">
        <f>PaymentCodingTotal!G4-('PaymentCodingDetai_July-Feb'!G4*3)</f>
        <v>40682</v>
      </c>
      <c r="H4" s="19">
        <f>PaymentCodingTotal!H4-('PaymentCodingDetai_July-Feb'!H4*3)</f>
        <v>45543</v>
      </c>
      <c r="I4" s="49">
        <f t="shared" ref="I4:I11" si="2">SUM(E4:H4)</f>
        <v>407998</v>
      </c>
      <c r="K4" s="6">
        <f t="shared" ref="K4:K12" si="3">E4-D4-C4</f>
        <v>0</v>
      </c>
      <c r="L4" s="6">
        <f t="shared" si="0"/>
        <v>0</v>
      </c>
      <c r="M4" s="6">
        <f t="shared" si="1"/>
        <v>0</v>
      </c>
    </row>
    <row r="5" spans="1:13" x14ac:dyDescent="0.25">
      <c r="A5" s="18" t="str">
        <f>Data!A4</f>
        <v>07</v>
      </c>
      <c r="B5" s="11" t="str">
        <f>INDEX(Data_Detail_OLD[],MATCH(PaymentCodingDetail_April!$A5,Data_Detail_OLD[AEA],0),3)</f>
        <v>Central Rivers</v>
      </c>
      <c r="C5" s="22">
        <f>PaymentCodingTotal!C5-('PaymentCodingDetai_July-Feb'!C5*3)</f>
        <v>5864</v>
      </c>
      <c r="D5" s="19">
        <f>PaymentCodingTotal!D5-('PaymentCodingDetai_July-Feb'!D5*3)</f>
        <v>1636</v>
      </c>
      <c r="E5" s="12">
        <f>PaymentCodingTotal!E5-('PaymentCodingDetai_July-Feb'!E5*3)</f>
        <v>7500</v>
      </c>
      <c r="F5" s="22">
        <f>PaymentCodingTotal!F5-('PaymentCodingDetai_July-Feb'!F5*3)</f>
        <v>758520</v>
      </c>
      <c r="G5" s="19">
        <f>PaymentCodingTotal!G5-('PaymentCodingDetai_July-Feb'!G5*3)</f>
        <v>70284</v>
      </c>
      <c r="H5" s="19">
        <f>PaymentCodingTotal!H5-('PaymentCodingDetai_July-Feb'!H5*3)</f>
        <v>78339</v>
      </c>
      <c r="I5" s="49">
        <f t="shared" si="2"/>
        <v>914643</v>
      </c>
      <c r="K5" s="6">
        <f t="shared" si="3"/>
        <v>0</v>
      </c>
      <c r="L5" s="6">
        <f t="shared" si="0"/>
        <v>0</v>
      </c>
      <c r="M5" s="6">
        <f t="shared" si="1"/>
        <v>0</v>
      </c>
    </row>
    <row r="6" spans="1:13" x14ac:dyDescent="0.25">
      <c r="A6" s="18" t="str">
        <f>Data!A5</f>
        <v>09</v>
      </c>
      <c r="B6" s="11" t="str">
        <f>INDEX(Data_Detail_OLD[],MATCH(PaymentCodingDetail_April!$A6,Data_Detail_OLD[AEA],0),3)</f>
        <v>Mississippi Bend AEA 9</v>
      </c>
      <c r="C6" s="22">
        <f>PaymentCodingTotal!C6-('PaymentCodingDetai_July-Feb'!C6*3)</f>
        <v>5902</v>
      </c>
      <c r="D6" s="19">
        <f>PaymentCodingTotal!D6-('PaymentCodingDetai_July-Feb'!D6*3)</f>
        <v>1598</v>
      </c>
      <c r="E6" s="12">
        <f>PaymentCodingTotal!E6-('PaymentCodingDetai_July-Feb'!E6*3)</f>
        <v>7500</v>
      </c>
      <c r="F6" s="22">
        <f>PaymentCodingTotal!F6-('PaymentCodingDetai_July-Feb'!F6*3)</f>
        <v>412678</v>
      </c>
      <c r="G6" s="19">
        <f>PaymentCodingTotal!G6-('PaymentCodingDetai_July-Feb'!G6*3)</f>
        <v>68297</v>
      </c>
      <c r="H6" s="19">
        <f>PaymentCodingTotal!H6-('PaymentCodingDetai_July-Feb'!H6*3)</f>
        <v>74704</v>
      </c>
      <c r="I6" s="49">
        <f t="shared" si="2"/>
        <v>563179</v>
      </c>
      <c r="K6" s="6">
        <f t="shared" si="3"/>
        <v>0</v>
      </c>
      <c r="L6" s="6">
        <f t="shared" si="0"/>
        <v>0</v>
      </c>
      <c r="M6" s="6">
        <f t="shared" si="1"/>
        <v>0</v>
      </c>
    </row>
    <row r="7" spans="1:13" x14ac:dyDescent="0.25">
      <c r="A7" s="18" t="str">
        <f>Data!A6</f>
        <v>10</v>
      </c>
      <c r="B7" s="11" t="str">
        <f>INDEX(Data_Detail_OLD[],MATCH(PaymentCodingDetail_April!$A7,Data_Detail_OLD[AEA],0),3)</f>
        <v>Grant Wood AEA 10</v>
      </c>
      <c r="C7" s="22">
        <f>PaymentCodingTotal!C7-('PaymentCodingDetai_July-Feb'!C7*3)</f>
        <v>5935</v>
      </c>
      <c r="D7" s="19">
        <f>PaymentCodingTotal!D7-('PaymentCodingDetai_July-Feb'!D7*3)</f>
        <v>1564</v>
      </c>
      <c r="E7" s="12">
        <f>PaymentCodingTotal!E7-('PaymentCodingDetai_July-Feb'!E7*3)</f>
        <v>7499</v>
      </c>
      <c r="F7" s="22">
        <f>PaymentCodingTotal!F7-('PaymentCodingDetai_July-Feb'!F7*3)</f>
        <v>651623</v>
      </c>
      <c r="G7" s="19">
        <f>PaymentCodingTotal!G7-('PaymentCodingDetai_July-Feb'!G7*3)</f>
        <v>102982</v>
      </c>
      <c r="H7" s="19">
        <f>PaymentCodingTotal!H7-('PaymentCodingDetai_July-Feb'!H7*3)</f>
        <v>113268</v>
      </c>
      <c r="I7" s="49">
        <f t="shared" si="2"/>
        <v>875372</v>
      </c>
      <c r="K7" s="6">
        <f t="shared" si="3"/>
        <v>0</v>
      </c>
      <c r="L7" s="6">
        <f t="shared" si="0"/>
        <v>0</v>
      </c>
      <c r="M7" s="6">
        <f t="shared" si="1"/>
        <v>0</v>
      </c>
    </row>
    <row r="8" spans="1:13" x14ac:dyDescent="0.25">
      <c r="A8" s="18" t="str">
        <f>Data!A7</f>
        <v>11</v>
      </c>
      <c r="B8" s="11" t="str">
        <f>INDEX(Data_Detail_OLD[],MATCH(PaymentCodingDetail_April!$A8,Data_Detail_OLD[AEA],0),3)</f>
        <v>Heartland AEA 11</v>
      </c>
      <c r="C8" s="22">
        <f>PaymentCodingTotal!C8-('PaymentCodingDetai_July-Feb'!C8*3)</f>
        <v>6054</v>
      </c>
      <c r="D8" s="19">
        <f>PaymentCodingTotal!D8-('PaymentCodingDetai_July-Feb'!D8*3)</f>
        <v>1446</v>
      </c>
      <c r="E8" s="12">
        <f>PaymentCodingTotal!E8-('PaymentCodingDetai_July-Feb'!E8*3)</f>
        <v>7500</v>
      </c>
      <c r="F8" s="22">
        <f>PaymentCodingTotal!F8-('PaymentCodingDetai_July-Feb'!F8*3)</f>
        <v>1209453</v>
      </c>
      <c r="G8" s="19">
        <f>PaymentCodingTotal!G8-('PaymentCodingDetai_July-Feb'!G8*3)</f>
        <v>218853</v>
      </c>
      <c r="H8" s="19">
        <f>PaymentCodingTotal!H8-('PaymentCodingDetai_July-Feb'!H8*3)</f>
        <v>240556</v>
      </c>
      <c r="I8" s="49">
        <f t="shared" si="2"/>
        <v>1676362</v>
      </c>
      <c r="K8" s="6">
        <f t="shared" si="3"/>
        <v>0</v>
      </c>
      <c r="L8" s="6">
        <f t="shared" si="0"/>
        <v>0</v>
      </c>
      <c r="M8" s="6">
        <f t="shared" si="1"/>
        <v>0</v>
      </c>
    </row>
    <row r="9" spans="1:13" x14ac:dyDescent="0.25">
      <c r="A9" s="18" t="str">
        <f>Data!A8</f>
        <v>12</v>
      </c>
      <c r="B9" s="11" t="str">
        <f>INDEX(Data_Detail_OLD[],MATCH(PaymentCodingDetail_April!$A9,Data_Detail_OLD[AEA],0),3)</f>
        <v>Northwest AEA</v>
      </c>
      <c r="C9" s="22">
        <f>PaymentCodingTotal!C9-('PaymentCodingDetai_July-Feb'!C9*3)</f>
        <v>5813</v>
      </c>
      <c r="D9" s="19">
        <f>PaymentCodingTotal!D9-('PaymentCodingDetai_July-Feb'!D9*3)</f>
        <v>1688</v>
      </c>
      <c r="E9" s="12">
        <f>PaymentCodingTotal!E9-('PaymentCodingDetai_July-Feb'!E9*3)</f>
        <v>7501</v>
      </c>
      <c r="F9" s="22">
        <f>PaymentCodingTotal!F9-('PaymentCodingDetai_July-Feb'!F9*3)</f>
        <v>406649</v>
      </c>
      <c r="G9" s="19">
        <f>PaymentCodingTotal!G9-('PaymentCodingDetai_July-Feb'!G9*3)</f>
        <v>97040</v>
      </c>
      <c r="H9" s="19">
        <f>PaymentCodingTotal!H9-('PaymentCodingDetai_July-Feb'!H9*3)</f>
        <v>108603</v>
      </c>
      <c r="I9" s="49">
        <f t="shared" si="2"/>
        <v>619793</v>
      </c>
      <c r="K9" s="6">
        <f t="shared" si="3"/>
        <v>0</v>
      </c>
      <c r="L9" s="6">
        <f t="shared" si="0"/>
        <v>0</v>
      </c>
      <c r="M9" s="6">
        <f t="shared" si="1"/>
        <v>0</v>
      </c>
    </row>
    <row r="10" spans="1:13" x14ac:dyDescent="0.25">
      <c r="A10" s="18" t="str">
        <f>Data!A9</f>
        <v>13</v>
      </c>
      <c r="B10" s="11" t="str">
        <f>INDEX(Data_Detail_OLD[],MATCH(PaymentCodingDetail_April!$A10,Data_Detail_OLD[AEA],0),3)</f>
        <v>Green Hills AEA 13</v>
      </c>
      <c r="C10" s="22">
        <f>PaymentCodingTotal!C10-('PaymentCodingDetai_July-Feb'!C10*3)</f>
        <v>5919</v>
      </c>
      <c r="D10" s="19">
        <f>PaymentCodingTotal!D10-('PaymentCodingDetai_July-Feb'!D10*3)</f>
        <v>1580</v>
      </c>
      <c r="E10" s="12">
        <f>PaymentCodingTotal!E10-('PaymentCodingDetai_July-Feb'!E10*3)</f>
        <v>7499</v>
      </c>
      <c r="F10" s="22">
        <f>PaymentCodingTotal!F10-('PaymentCodingDetai_July-Feb'!F10*3)</f>
        <v>380721</v>
      </c>
      <c r="G10" s="19">
        <f>PaymentCodingTotal!G10-('PaymentCodingDetai_July-Feb'!G10*3)</f>
        <v>22504</v>
      </c>
      <c r="H10" s="19">
        <f>PaymentCodingTotal!H10-('PaymentCodingDetai_July-Feb'!H10*3)</f>
        <v>24886</v>
      </c>
      <c r="I10" s="49">
        <f t="shared" si="2"/>
        <v>435610</v>
      </c>
      <c r="K10" s="6">
        <f t="shared" si="3"/>
        <v>0</v>
      </c>
      <c r="L10" s="6">
        <f t="shared" si="0"/>
        <v>0</v>
      </c>
      <c r="M10" s="6">
        <f t="shared" si="1"/>
        <v>0</v>
      </c>
    </row>
    <row r="11" spans="1:13" x14ac:dyDescent="0.25">
      <c r="A11" s="18" t="str">
        <f>Data!A10</f>
        <v>15</v>
      </c>
      <c r="B11" s="11" t="str">
        <f>INDEX(Data_Detail_OLD[],MATCH(PaymentCodingDetail_April!$A11,Data_Detail_OLD[AEA],0),3)</f>
        <v>Great Prairie AEA 15</v>
      </c>
      <c r="C11" s="22">
        <f>PaymentCodingTotal!C11-('PaymentCodingDetai_July-Feb'!C11*3)</f>
        <v>5961</v>
      </c>
      <c r="D11" s="19">
        <f>PaymentCodingTotal!D11-('PaymentCodingDetai_July-Feb'!D11*3)</f>
        <v>1539</v>
      </c>
      <c r="E11" s="12">
        <f>PaymentCodingTotal!E11-('PaymentCodingDetai_July-Feb'!E11*3)</f>
        <v>7500</v>
      </c>
      <c r="F11" s="22">
        <f>PaymentCodingTotal!F11-('PaymentCodingDetai_July-Feb'!F11*3)</f>
        <v>334618</v>
      </c>
      <c r="G11" s="19">
        <f>PaymentCodingTotal!G11-('PaymentCodingDetai_July-Feb'!G11*3)</f>
        <v>26868</v>
      </c>
      <c r="H11" s="19">
        <f>PaymentCodingTotal!H11-('PaymentCodingDetai_July-Feb'!H11*3)</f>
        <v>29549</v>
      </c>
      <c r="I11" s="49">
        <f t="shared" si="2"/>
        <v>398535</v>
      </c>
      <c r="K11" s="6">
        <f t="shared" si="3"/>
        <v>0</v>
      </c>
      <c r="L11" s="6">
        <f t="shared" si="0"/>
        <v>0</v>
      </c>
      <c r="M11" s="6">
        <f t="shared" si="1"/>
        <v>0</v>
      </c>
    </row>
    <row r="12" spans="1:13" ht="15.75" thickBot="1" x14ac:dyDescent="0.3">
      <c r="C12" s="37">
        <f>SUM(C3:C11)</f>
        <v>47140</v>
      </c>
      <c r="D12" s="20">
        <f t="shared" ref="D12:I12" si="4">SUM(D3:D11)</f>
        <v>12858</v>
      </c>
      <c r="E12" s="16">
        <f t="shared" si="4"/>
        <v>59998</v>
      </c>
      <c r="F12" s="37">
        <f t="shared" si="4"/>
        <v>4763858</v>
      </c>
      <c r="G12" s="20">
        <f t="shared" si="4"/>
        <v>717714</v>
      </c>
      <c r="H12" s="20">
        <f>SUM(H3:H11)</f>
        <v>793635</v>
      </c>
      <c r="I12" s="16">
        <f t="shared" si="4"/>
        <v>6335205</v>
      </c>
      <c r="K12" s="6">
        <f t="shared" si="3"/>
        <v>0</v>
      </c>
      <c r="L12" s="6">
        <f t="shared" si="0"/>
        <v>0</v>
      </c>
      <c r="M12" s="6">
        <f t="shared" si="1"/>
        <v>0</v>
      </c>
    </row>
    <row r="13" spans="1:13" ht="7.5" customHeight="1" thickTop="1" x14ac:dyDescent="0.25"/>
    <row r="14" spans="1:13" ht="45" x14ac:dyDescent="0.25">
      <c r="A14" s="17" t="str">
        <f t="shared" ref="A14:B23" si="5">A2</f>
        <v>AEA</v>
      </c>
      <c r="B14" s="17" t="str">
        <f t="shared" si="5"/>
        <v>AEA Name</v>
      </c>
      <c r="C14" s="21" t="s">
        <v>754</v>
      </c>
      <c r="D14" s="9" t="s">
        <v>755</v>
      </c>
      <c r="G14" s="32"/>
    </row>
    <row r="15" spans="1:13" x14ac:dyDescent="0.25">
      <c r="A15" s="11" t="str">
        <f t="shared" si="5"/>
        <v>01</v>
      </c>
      <c r="B15" s="11" t="str">
        <f t="shared" si="5"/>
        <v>Keystone AEA 1</v>
      </c>
      <c r="C15" s="22">
        <f>PaymentCodingTotal!C15-('PaymentCodingDetai_July-Feb'!C15*3)</f>
        <v>293515</v>
      </c>
      <c r="D15" s="19">
        <f>PaymentCodingTotal!D15-('PaymentCodingDetai_July-Feb'!D15*3)</f>
        <v>150198</v>
      </c>
      <c r="G15" s="60"/>
    </row>
    <row r="16" spans="1:13" x14ac:dyDescent="0.25">
      <c r="A16" s="11" t="str">
        <f t="shared" si="5"/>
        <v>05</v>
      </c>
      <c r="B16" s="11" t="str">
        <f t="shared" si="5"/>
        <v>Prairie Lakes AEA 8</v>
      </c>
      <c r="C16" s="22">
        <f>PaymentCodingTotal!C16-('PaymentCodingDetai_July-Feb'!C16*3)</f>
        <v>321773</v>
      </c>
      <c r="D16" s="19">
        <f>PaymentCodingTotal!D16-('PaymentCodingDetai_July-Feb'!D16*3)</f>
        <v>86225</v>
      </c>
      <c r="F16" s="84" t="s">
        <v>62</v>
      </c>
      <c r="G16" s="60"/>
    </row>
    <row r="17" spans="1:13" x14ac:dyDescent="0.25">
      <c r="A17" s="11" t="str">
        <f t="shared" si="5"/>
        <v>07</v>
      </c>
      <c r="B17" s="11" t="str">
        <f t="shared" si="5"/>
        <v>Central Rivers</v>
      </c>
      <c r="C17" s="22">
        <f>PaymentCodingTotal!C17-('PaymentCodingDetai_July-Feb'!C17*3)</f>
        <v>764384</v>
      </c>
      <c r="D17" s="19">
        <f>PaymentCodingTotal!D17-('PaymentCodingDetai_July-Feb'!D17*3)</f>
        <v>150259</v>
      </c>
      <c r="F17" s="84"/>
      <c r="G17" s="60"/>
    </row>
    <row r="18" spans="1:13" x14ac:dyDescent="0.25">
      <c r="A18" s="11" t="str">
        <f t="shared" si="5"/>
        <v>09</v>
      </c>
      <c r="B18" s="11" t="str">
        <f t="shared" si="5"/>
        <v>Mississippi Bend AEA 9</v>
      </c>
      <c r="C18" s="22">
        <f>PaymentCodingTotal!C18-('PaymentCodingDetai_July-Feb'!C18*3)</f>
        <v>418580</v>
      </c>
      <c r="D18" s="19">
        <f>PaymentCodingTotal!D18-('PaymentCodingDetai_July-Feb'!D18*3)</f>
        <v>144599</v>
      </c>
      <c r="F18" s="85" t="s">
        <v>714</v>
      </c>
      <c r="G18" s="60"/>
    </row>
    <row r="19" spans="1:13" x14ac:dyDescent="0.25">
      <c r="A19" s="11" t="str">
        <f t="shared" si="5"/>
        <v>10</v>
      </c>
      <c r="B19" s="11" t="str">
        <f t="shared" si="5"/>
        <v>Grant Wood AEA 10</v>
      </c>
      <c r="C19" s="22">
        <f>PaymentCodingTotal!C19-('PaymentCodingDetai_July-Feb'!C19*3)</f>
        <v>657558</v>
      </c>
      <c r="D19" s="19">
        <f>PaymentCodingTotal!D19-('PaymentCodingDetai_July-Feb'!D19*3)</f>
        <v>217814</v>
      </c>
      <c r="F19" s="85"/>
      <c r="G19" s="60"/>
    </row>
    <row r="20" spans="1:13" x14ac:dyDescent="0.25">
      <c r="A20" s="11" t="str">
        <f t="shared" si="5"/>
        <v>11</v>
      </c>
      <c r="B20" s="11" t="str">
        <f t="shared" si="5"/>
        <v>Heartland AEA 11</v>
      </c>
      <c r="C20" s="22">
        <f>PaymentCodingTotal!C20-('PaymentCodingDetai_July-Feb'!C20*3)</f>
        <v>1215507</v>
      </c>
      <c r="D20" s="19">
        <f>PaymentCodingTotal!D20-('PaymentCodingDetai_July-Feb'!D20*3)</f>
        <v>460855</v>
      </c>
      <c r="G20" s="60"/>
    </row>
    <row r="21" spans="1:13" x14ac:dyDescent="0.25">
      <c r="A21" s="11" t="str">
        <f t="shared" si="5"/>
        <v>12</v>
      </c>
      <c r="B21" s="11" t="str">
        <f t="shared" si="5"/>
        <v>Northwest AEA</v>
      </c>
      <c r="C21" s="22">
        <f>PaymentCodingTotal!C21-('PaymentCodingDetai_July-Feb'!C21*3)</f>
        <v>412462</v>
      </c>
      <c r="D21" s="19">
        <f>PaymentCodingTotal!D21-('PaymentCodingDetai_July-Feb'!D21*3)</f>
        <v>207331</v>
      </c>
      <c r="G21" s="60"/>
    </row>
    <row r="22" spans="1:13" x14ac:dyDescent="0.25">
      <c r="A22" s="11" t="str">
        <f t="shared" si="5"/>
        <v>13</v>
      </c>
      <c r="B22" s="11" t="str">
        <f t="shared" si="5"/>
        <v>Green Hills AEA 13</v>
      </c>
      <c r="C22" s="22">
        <f>PaymentCodingTotal!C22-('PaymentCodingDetai_July-Feb'!C22*3)</f>
        <v>386640</v>
      </c>
      <c r="D22" s="19">
        <f>PaymentCodingTotal!D22-('PaymentCodingDetai_July-Feb'!D22*3)</f>
        <v>48970</v>
      </c>
      <c r="G22" s="60"/>
    </row>
    <row r="23" spans="1:13" x14ac:dyDescent="0.25">
      <c r="A23" s="11" t="str">
        <f t="shared" si="5"/>
        <v>15</v>
      </c>
      <c r="B23" s="11" t="str">
        <f t="shared" si="5"/>
        <v>Great Prairie AEA 15</v>
      </c>
      <c r="C23" s="22">
        <f>PaymentCodingTotal!C23-('PaymentCodingDetai_July-Feb'!C23*3)</f>
        <v>340579</v>
      </c>
      <c r="D23" s="19">
        <f>PaymentCodingTotal!D23-('PaymentCodingDetai_July-Feb'!D23*3)</f>
        <v>57956</v>
      </c>
      <c r="G23" s="60"/>
      <c r="K23" t="s">
        <v>757</v>
      </c>
    </row>
    <row r="24" spans="1:13" ht="15.75" thickBot="1" x14ac:dyDescent="0.3">
      <c r="C24" s="37">
        <f>SUM(C15:C23)</f>
        <v>4810998</v>
      </c>
      <c r="D24" s="20">
        <f>SUM(D15:D23)</f>
        <v>1524207</v>
      </c>
      <c r="G24" s="61"/>
      <c r="K24" s="86" t="s">
        <v>756</v>
      </c>
      <c r="L24" s="88" t="s">
        <v>63</v>
      </c>
    </row>
    <row r="25" spans="1:13" ht="15.75" thickTop="1" x14ac:dyDescent="0.25">
      <c r="K25" s="86"/>
      <c r="L25" s="88"/>
    </row>
    <row r="26" spans="1:13" x14ac:dyDescent="0.25">
      <c r="H26" s="6"/>
      <c r="K26" s="87"/>
      <c r="L26" s="89"/>
      <c r="M26" t="s">
        <v>761</v>
      </c>
    </row>
    <row r="27" spans="1:13" x14ac:dyDescent="0.25">
      <c r="J27" s="11" t="str">
        <f>B3</f>
        <v>Keystone AEA 1</v>
      </c>
      <c r="K27" s="6">
        <f>C3+F3-C15</f>
        <v>0</v>
      </c>
      <c r="L27" s="6">
        <f>D3+G3+H3-D15</f>
        <v>0</v>
      </c>
      <c r="M27" s="6">
        <f>I3-D15-C15</f>
        <v>0</v>
      </c>
    </row>
    <row r="28" spans="1:13" x14ac:dyDescent="0.25">
      <c r="J28" s="11" t="str">
        <f t="shared" ref="J28:J35" si="6">B4</f>
        <v>Prairie Lakes AEA 8</v>
      </c>
      <c r="K28" s="6">
        <f t="shared" ref="K28:K35" si="7">C4+F4-C16</f>
        <v>0</v>
      </c>
      <c r="L28" s="6">
        <f t="shared" ref="L28:L35" si="8">D4+G4+H4-D16</f>
        <v>0</v>
      </c>
      <c r="M28" s="6">
        <f t="shared" ref="M28:M35" si="9">I4-D16-C16</f>
        <v>0</v>
      </c>
    </row>
    <row r="29" spans="1:13" x14ac:dyDescent="0.25">
      <c r="J29" s="11" t="str">
        <f t="shared" si="6"/>
        <v>Central Rivers</v>
      </c>
      <c r="K29" s="6">
        <f>C5+F5-C17</f>
        <v>0</v>
      </c>
      <c r="L29" s="6">
        <f t="shared" si="8"/>
        <v>0</v>
      </c>
      <c r="M29" s="6">
        <f t="shared" si="9"/>
        <v>0</v>
      </c>
    </row>
    <row r="30" spans="1:13" x14ac:dyDescent="0.25">
      <c r="J30" s="11" t="str">
        <f t="shared" si="6"/>
        <v>Mississippi Bend AEA 9</v>
      </c>
      <c r="K30" s="6">
        <f t="shared" si="7"/>
        <v>0</v>
      </c>
      <c r="L30" s="6">
        <f t="shared" si="8"/>
        <v>0</v>
      </c>
      <c r="M30" s="6">
        <f t="shared" si="9"/>
        <v>0</v>
      </c>
    </row>
    <row r="31" spans="1:13" x14ac:dyDescent="0.25">
      <c r="J31" s="11" t="str">
        <f t="shared" si="6"/>
        <v>Grant Wood AEA 10</v>
      </c>
      <c r="K31" s="6">
        <f t="shared" si="7"/>
        <v>0</v>
      </c>
      <c r="L31" s="6">
        <f t="shared" si="8"/>
        <v>0</v>
      </c>
      <c r="M31" s="6">
        <f t="shared" si="9"/>
        <v>0</v>
      </c>
    </row>
    <row r="32" spans="1:13" x14ac:dyDescent="0.25">
      <c r="J32" s="11" t="str">
        <f t="shared" si="6"/>
        <v>Heartland AEA 11</v>
      </c>
      <c r="K32" s="6">
        <f t="shared" si="7"/>
        <v>0</v>
      </c>
      <c r="L32" s="6">
        <f t="shared" si="8"/>
        <v>0</v>
      </c>
      <c r="M32" s="6">
        <f t="shared" si="9"/>
        <v>0</v>
      </c>
    </row>
    <row r="33" spans="10:13" x14ac:dyDescent="0.25">
      <c r="J33" s="11" t="str">
        <f t="shared" si="6"/>
        <v>Northwest AEA</v>
      </c>
      <c r="K33" s="6">
        <f t="shared" si="7"/>
        <v>0</v>
      </c>
      <c r="L33" s="6">
        <f t="shared" si="8"/>
        <v>0</v>
      </c>
      <c r="M33" s="6">
        <f t="shared" si="9"/>
        <v>0</v>
      </c>
    </row>
    <row r="34" spans="10:13" x14ac:dyDescent="0.25">
      <c r="J34" s="11" t="str">
        <f t="shared" si="6"/>
        <v>Green Hills AEA 13</v>
      </c>
      <c r="K34" s="6">
        <f t="shared" si="7"/>
        <v>0</v>
      </c>
      <c r="L34" s="6">
        <f t="shared" si="8"/>
        <v>0</v>
      </c>
      <c r="M34" s="6">
        <f t="shared" si="9"/>
        <v>0</v>
      </c>
    </row>
    <row r="35" spans="10:13" x14ac:dyDescent="0.25">
      <c r="J35" s="11" t="str">
        <f t="shared" si="6"/>
        <v>Great Prairie AEA 15</v>
      </c>
      <c r="K35" s="6">
        <f t="shared" si="7"/>
        <v>0</v>
      </c>
      <c r="L35" s="6">
        <f t="shared" si="8"/>
        <v>0</v>
      </c>
      <c r="M35" s="6">
        <f t="shared" si="9"/>
        <v>0</v>
      </c>
    </row>
  </sheetData>
  <mergeCells count="5">
    <mergeCell ref="A1:I1"/>
    <mergeCell ref="K24:K26"/>
    <mergeCell ref="L24:L26"/>
    <mergeCell ref="F16:F17"/>
    <mergeCell ref="F18:F19"/>
  </mergeCells>
  <pageMargins left="0.25" right="0.25" top="0.75" bottom="0.75" header="0.3" footer="0.3"/>
  <pageSetup scale="77" orientation="landscape" r:id="rId1"/>
  <headerFooter>
    <oddFooter>&amp;LDepartment of Management&amp;R&amp;D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12EB-62A0-4091-A1B8-41DD4F96984C}">
  <sheetPr>
    <tabColor rgb="FF00B0F0"/>
    <pageSetUpPr fitToPage="1"/>
  </sheetPr>
  <dimension ref="A1:X329"/>
  <sheetViews>
    <sheetView workbookViewId="0">
      <pane xSplit="8" ySplit="4" topLeftCell="I304" activePane="bottomRight" state="frozen"/>
      <selection pane="topRight" activeCell="H1" sqref="H1"/>
      <selection pane="bottomLeft" activeCell="A4" sqref="A4"/>
      <selection pane="bottomRight" activeCell="C5" sqref="C5"/>
    </sheetView>
  </sheetViews>
  <sheetFormatPr defaultRowHeight="15" x14ac:dyDescent="0.25"/>
  <cols>
    <col min="3" max="3" width="19.28515625" customWidth="1"/>
    <col min="5" max="6" width="0" style="29" hidden="1" customWidth="1"/>
    <col min="8" max="8" width="35.42578125" bestFit="1" customWidth="1"/>
    <col min="9" max="9" width="14.85546875" bestFit="1" customWidth="1"/>
    <col min="10" max="10" width="11.140625" bestFit="1" customWidth="1"/>
    <col min="11" max="11" width="14.140625" bestFit="1" customWidth="1"/>
    <col min="12" max="12" width="11.140625" bestFit="1" customWidth="1"/>
    <col min="13" max="13" width="14" bestFit="1" customWidth="1"/>
    <col min="14" max="14" width="21.42578125" customWidth="1"/>
    <col min="15" max="15" width="17" customWidth="1"/>
    <col min="16" max="16" width="1.42578125" customWidth="1"/>
    <col min="17" max="18" width="16" customWidth="1"/>
    <col min="19" max="19" width="14.85546875" customWidth="1"/>
    <col min="20" max="20" width="12.85546875" customWidth="1"/>
    <col min="21" max="21" width="13.28515625" customWidth="1"/>
    <col min="22" max="22" width="1.42578125" customWidth="1"/>
    <col min="23" max="23" width="13.85546875" customWidth="1"/>
    <col min="24" max="24" width="15.85546875" customWidth="1"/>
  </cols>
  <sheetData>
    <row r="1" spans="1:24" x14ac:dyDescent="0.25">
      <c r="I1" s="64" t="s">
        <v>764</v>
      </c>
      <c r="J1" s="64" t="s">
        <v>765</v>
      </c>
      <c r="K1" s="64" t="s">
        <v>766</v>
      </c>
      <c r="L1" s="64" t="s">
        <v>765</v>
      </c>
      <c r="M1" s="64" t="s">
        <v>767</v>
      </c>
      <c r="N1" s="64" t="s">
        <v>765</v>
      </c>
      <c r="O1" s="64" t="s">
        <v>765</v>
      </c>
      <c r="Q1" s="64" t="s">
        <v>765</v>
      </c>
      <c r="R1" s="64" t="s">
        <v>767</v>
      </c>
      <c r="S1" s="64" t="s">
        <v>765</v>
      </c>
      <c r="T1" s="64" t="s">
        <v>765</v>
      </c>
      <c r="U1" s="64" t="s">
        <v>765</v>
      </c>
      <c r="W1" s="64" t="s">
        <v>765</v>
      </c>
      <c r="X1" s="64" t="s">
        <v>765</v>
      </c>
    </row>
    <row r="2" spans="1:24" x14ac:dyDescent="0.25">
      <c r="I2" s="64" t="s">
        <v>768</v>
      </c>
      <c r="J2" s="64" t="s">
        <v>769</v>
      </c>
      <c r="K2" s="64" t="s">
        <v>770</v>
      </c>
      <c r="L2" s="64" t="s">
        <v>771</v>
      </c>
      <c r="M2" s="64" t="s">
        <v>772</v>
      </c>
      <c r="N2" s="64" t="s">
        <v>773</v>
      </c>
      <c r="O2" s="64" t="s">
        <v>774</v>
      </c>
      <c r="Q2" s="64" t="s">
        <v>775</v>
      </c>
      <c r="R2" s="64" t="s">
        <v>776</v>
      </c>
      <c r="S2" s="64" t="s">
        <v>777</v>
      </c>
      <c r="T2" s="64" t="s">
        <v>778</v>
      </c>
      <c r="U2" s="64" t="s">
        <v>779</v>
      </c>
      <c r="W2" s="64" t="s">
        <v>780</v>
      </c>
      <c r="X2" s="64" t="s">
        <v>781</v>
      </c>
    </row>
    <row r="3" spans="1:24" x14ac:dyDescent="0.25">
      <c r="L3" s="64" t="s">
        <v>782</v>
      </c>
      <c r="N3" s="64" t="s">
        <v>783</v>
      </c>
      <c r="O3" s="64" t="s">
        <v>784</v>
      </c>
      <c r="S3" s="64" t="s">
        <v>785</v>
      </c>
      <c r="T3" s="64" t="s">
        <v>786</v>
      </c>
      <c r="U3" s="64" t="s">
        <v>787</v>
      </c>
      <c r="W3" s="64" t="s">
        <v>788</v>
      </c>
      <c r="X3" s="64" t="s">
        <v>789</v>
      </c>
    </row>
    <row r="4" spans="1:24" ht="60" x14ac:dyDescent="0.25">
      <c r="A4" s="17" t="s">
        <v>44</v>
      </c>
      <c r="B4" s="7" t="s">
        <v>31</v>
      </c>
      <c r="C4" s="65" t="s">
        <v>790</v>
      </c>
      <c r="D4" s="17" t="s">
        <v>45</v>
      </c>
      <c r="E4" s="66" t="s">
        <v>791</v>
      </c>
      <c r="F4" s="66" t="s">
        <v>792</v>
      </c>
      <c r="G4" s="17" t="s">
        <v>793</v>
      </c>
      <c r="H4" s="17" t="s">
        <v>794</v>
      </c>
      <c r="I4" s="8" t="s">
        <v>47</v>
      </c>
      <c r="J4" s="8" t="s">
        <v>48</v>
      </c>
      <c r="K4" s="8" t="s">
        <v>49</v>
      </c>
      <c r="L4" s="8" t="s">
        <v>50</v>
      </c>
      <c r="M4" s="8" t="s">
        <v>52</v>
      </c>
      <c r="N4" s="8" t="s">
        <v>53</v>
      </c>
      <c r="O4" s="67" t="s">
        <v>795</v>
      </c>
      <c r="P4" s="68"/>
      <c r="Q4" s="8" t="s">
        <v>51</v>
      </c>
      <c r="R4" s="8" t="s">
        <v>52</v>
      </c>
      <c r="S4" s="69" t="s">
        <v>796</v>
      </c>
      <c r="T4" s="70" t="s">
        <v>797</v>
      </c>
      <c r="U4" s="65" t="s">
        <v>798</v>
      </c>
      <c r="V4" s="68"/>
      <c r="W4" s="8" t="s">
        <v>799</v>
      </c>
      <c r="X4" s="8" t="s">
        <v>800</v>
      </c>
    </row>
    <row r="5" spans="1:24" x14ac:dyDescent="0.25">
      <c r="A5" s="11">
        <v>2027</v>
      </c>
      <c r="B5" s="11" t="s">
        <v>10</v>
      </c>
      <c r="C5" s="71" t="s">
        <v>10</v>
      </c>
      <c r="D5" s="11" t="s">
        <v>389</v>
      </c>
      <c r="E5" s="72" t="s">
        <v>801</v>
      </c>
      <c r="F5" s="72" t="s">
        <v>801</v>
      </c>
      <c r="G5" s="11" t="s">
        <v>389</v>
      </c>
      <c r="H5" s="11" t="s">
        <v>64</v>
      </c>
      <c r="I5" s="73">
        <v>114289</v>
      </c>
      <c r="J5" s="73">
        <v>92275</v>
      </c>
      <c r="K5" s="73">
        <v>19659</v>
      </c>
      <c r="L5" s="73">
        <v>72616</v>
      </c>
      <c r="M5" s="73">
        <v>1379</v>
      </c>
      <c r="N5" s="73">
        <v>96009</v>
      </c>
      <c r="O5" s="74">
        <v>9601</v>
      </c>
      <c r="P5" s="68"/>
      <c r="Q5" s="73">
        <v>22014</v>
      </c>
      <c r="R5" s="73">
        <v>1379</v>
      </c>
      <c r="S5" s="75">
        <v>23393</v>
      </c>
      <c r="T5" s="76">
        <v>63015</v>
      </c>
      <c r="U5" s="77">
        <v>86408</v>
      </c>
      <c r="V5" s="68"/>
      <c r="W5" s="78">
        <v>0.10000104156901957</v>
      </c>
      <c r="X5" s="78">
        <v>0.89999895843098043</v>
      </c>
    </row>
    <row r="6" spans="1:24" x14ac:dyDescent="0.25">
      <c r="A6" s="11">
        <v>2027</v>
      </c>
      <c r="B6" s="11" t="s">
        <v>10</v>
      </c>
      <c r="C6" s="71" t="s">
        <v>10</v>
      </c>
      <c r="D6" s="11" t="s">
        <v>390</v>
      </c>
      <c r="E6" s="72" t="s">
        <v>801</v>
      </c>
      <c r="F6" s="72" t="s">
        <v>801</v>
      </c>
      <c r="G6" s="11" t="s">
        <v>390</v>
      </c>
      <c r="H6" s="11" t="s">
        <v>65</v>
      </c>
      <c r="I6" s="73">
        <v>848487</v>
      </c>
      <c r="J6" s="73">
        <v>685050</v>
      </c>
      <c r="K6" s="73">
        <v>145947</v>
      </c>
      <c r="L6" s="73">
        <v>539103</v>
      </c>
      <c r="M6" s="73">
        <v>0</v>
      </c>
      <c r="N6" s="73">
        <v>702540</v>
      </c>
      <c r="O6" s="74">
        <v>70254</v>
      </c>
      <c r="P6" s="68"/>
      <c r="Q6" s="73">
        <v>163437</v>
      </c>
      <c r="R6" s="73">
        <v>0</v>
      </c>
      <c r="S6" s="75">
        <v>163437</v>
      </c>
      <c r="T6" s="76">
        <v>468849</v>
      </c>
      <c r="U6" s="77">
        <v>632286</v>
      </c>
      <c r="V6" s="68"/>
      <c r="W6" s="78">
        <v>0.1</v>
      </c>
      <c r="X6" s="78">
        <v>0.9</v>
      </c>
    </row>
    <row r="7" spans="1:24" x14ac:dyDescent="0.25">
      <c r="A7" s="11">
        <v>2027</v>
      </c>
      <c r="B7" s="11" t="s">
        <v>7</v>
      </c>
      <c r="C7" s="71" t="s">
        <v>7</v>
      </c>
      <c r="D7" s="11" t="s">
        <v>391</v>
      </c>
      <c r="E7" s="72" t="s">
        <v>801</v>
      </c>
      <c r="F7" s="72" t="s">
        <v>801</v>
      </c>
      <c r="G7" s="11" t="s">
        <v>391</v>
      </c>
      <c r="H7" s="11" t="s">
        <v>66</v>
      </c>
      <c r="I7" s="73">
        <v>281821</v>
      </c>
      <c r="J7" s="73">
        <v>220332</v>
      </c>
      <c r="K7" s="73">
        <v>46941</v>
      </c>
      <c r="L7" s="73">
        <v>173391</v>
      </c>
      <c r="M7" s="73">
        <v>3648</v>
      </c>
      <c r="N7" s="73">
        <v>238528</v>
      </c>
      <c r="O7" s="74">
        <v>23853</v>
      </c>
      <c r="P7" s="68"/>
      <c r="Q7" s="73">
        <v>61489</v>
      </c>
      <c r="R7" s="73">
        <v>3648</v>
      </c>
      <c r="S7" s="75">
        <v>65137</v>
      </c>
      <c r="T7" s="76">
        <v>149538</v>
      </c>
      <c r="U7" s="77">
        <v>214675</v>
      </c>
      <c r="V7" s="68"/>
      <c r="W7" s="78">
        <v>0.10000083847598605</v>
      </c>
      <c r="X7" s="78">
        <v>0.89999916152401394</v>
      </c>
    </row>
    <row r="8" spans="1:24" x14ac:dyDescent="0.25">
      <c r="A8" s="11">
        <v>2027</v>
      </c>
      <c r="B8" s="11" t="s">
        <v>12</v>
      </c>
      <c r="C8" s="71" t="s">
        <v>12</v>
      </c>
      <c r="D8" s="11" t="s">
        <v>392</v>
      </c>
      <c r="E8" s="72" t="s">
        <v>801</v>
      </c>
      <c r="F8" s="72" t="s">
        <v>801</v>
      </c>
      <c r="G8" s="11" t="s">
        <v>392</v>
      </c>
      <c r="H8" s="11" t="s">
        <v>67</v>
      </c>
      <c r="I8" s="73">
        <v>313639</v>
      </c>
      <c r="J8" s="73">
        <v>247494</v>
      </c>
      <c r="K8" s="73">
        <v>52727</v>
      </c>
      <c r="L8" s="73">
        <v>194767</v>
      </c>
      <c r="M8" s="73">
        <v>0</v>
      </c>
      <c r="N8" s="73">
        <v>260912</v>
      </c>
      <c r="O8" s="74">
        <v>26091</v>
      </c>
      <c r="P8" s="68"/>
      <c r="Q8" s="73">
        <v>66145</v>
      </c>
      <c r="R8" s="73">
        <v>0</v>
      </c>
      <c r="S8" s="75">
        <v>66145</v>
      </c>
      <c r="T8" s="76">
        <v>168676</v>
      </c>
      <c r="U8" s="77">
        <v>234821</v>
      </c>
      <c r="V8" s="68"/>
      <c r="W8" s="78">
        <v>9.9999233458024167E-2</v>
      </c>
      <c r="X8" s="78">
        <v>0.90000076654197581</v>
      </c>
    </row>
    <row r="9" spans="1:24" x14ac:dyDescent="0.25">
      <c r="A9" s="11">
        <v>2027</v>
      </c>
      <c r="B9" s="11" t="s">
        <v>11</v>
      </c>
      <c r="C9" s="71" t="s">
        <v>11</v>
      </c>
      <c r="D9" s="11" t="s">
        <v>393</v>
      </c>
      <c r="E9" s="72" t="s">
        <v>801</v>
      </c>
      <c r="F9" s="72" t="s">
        <v>801</v>
      </c>
      <c r="G9" s="11" t="s">
        <v>393</v>
      </c>
      <c r="H9" s="11" t="s">
        <v>68</v>
      </c>
      <c r="I9" s="73">
        <v>218486</v>
      </c>
      <c r="J9" s="73">
        <v>169280</v>
      </c>
      <c r="K9" s="73">
        <v>36064</v>
      </c>
      <c r="L9" s="73">
        <v>133216</v>
      </c>
      <c r="M9" s="73">
        <v>0</v>
      </c>
      <c r="N9" s="73">
        <v>182422</v>
      </c>
      <c r="O9" s="74">
        <v>18242</v>
      </c>
      <c r="P9" s="68"/>
      <c r="Q9" s="73">
        <v>49206</v>
      </c>
      <c r="R9" s="73">
        <v>0</v>
      </c>
      <c r="S9" s="75">
        <v>49206</v>
      </c>
      <c r="T9" s="76">
        <v>114974</v>
      </c>
      <c r="U9" s="77">
        <v>164180</v>
      </c>
      <c r="V9" s="68"/>
      <c r="W9" s="78">
        <v>9.9998903641008205E-2</v>
      </c>
      <c r="X9" s="78">
        <v>0.90000109635899184</v>
      </c>
    </row>
    <row r="10" spans="1:24" x14ac:dyDescent="0.25">
      <c r="A10" s="11">
        <v>2027</v>
      </c>
      <c r="B10" s="11" t="s">
        <v>6</v>
      </c>
      <c r="C10" s="71" t="s">
        <v>6</v>
      </c>
      <c r="D10" s="11" t="s">
        <v>394</v>
      </c>
      <c r="E10" s="72" t="s">
        <v>801</v>
      </c>
      <c r="F10" s="72" t="s">
        <v>801</v>
      </c>
      <c r="G10" s="11" t="s">
        <v>394</v>
      </c>
      <c r="H10" s="11" t="s">
        <v>69</v>
      </c>
      <c r="I10" s="73">
        <v>78086</v>
      </c>
      <c r="J10" s="73">
        <v>59943</v>
      </c>
      <c r="K10" s="73">
        <v>12771</v>
      </c>
      <c r="L10" s="73">
        <v>47172</v>
      </c>
      <c r="M10" s="73">
        <v>4640</v>
      </c>
      <c r="N10" s="73">
        <v>69955</v>
      </c>
      <c r="O10" s="74">
        <v>6996</v>
      </c>
      <c r="P10" s="68"/>
      <c r="Q10" s="73">
        <v>18143</v>
      </c>
      <c r="R10" s="73">
        <v>4640</v>
      </c>
      <c r="S10" s="75">
        <v>22783</v>
      </c>
      <c r="T10" s="76">
        <v>40176</v>
      </c>
      <c r="U10" s="77">
        <v>62959</v>
      </c>
      <c r="V10" s="68"/>
      <c r="W10" s="78">
        <v>0.10000714745193338</v>
      </c>
      <c r="X10" s="78">
        <v>0.8999928525480666</v>
      </c>
    </row>
    <row r="11" spans="1:24" x14ac:dyDescent="0.25">
      <c r="A11" s="11">
        <v>2027</v>
      </c>
      <c r="B11" s="11" t="s">
        <v>13</v>
      </c>
      <c r="C11" s="71" t="s">
        <v>13</v>
      </c>
      <c r="D11" s="11" t="s">
        <v>395</v>
      </c>
      <c r="E11" s="72" t="s">
        <v>801</v>
      </c>
      <c r="F11" s="72" t="s">
        <v>801</v>
      </c>
      <c r="G11" s="11" t="s">
        <v>395</v>
      </c>
      <c r="H11" s="11" t="s">
        <v>70</v>
      </c>
      <c r="I11" s="73">
        <v>432561</v>
      </c>
      <c r="J11" s="73">
        <v>343885</v>
      </c>
      <c r="K11" s="73">
        <v>73263</v>
      </c>
      <c r="L11" s="73">
        <v>270622</v>
      </c>
      <c r="M11" s="73">
        <v>0</v>
      </c>
      <c r="N11" s="73">
        <v>359298</v>
      </c>
      <c r="O11" s="74">
        <v>35930</v>
      </c>
      <c r="P11" s="68"/>
      <c r="Q11" s="73">
        <v>88676</v>
      </c>
      <c r="R11" s="73">
        <v>0</v>
      </c>
      <c r="S11" s="75">
        <v>88676</v>
      </c>
      <c r="T11" s="76">
        <v>234692</v>
      </c>
      <c r="U11" s="77">
        <v>323368</v>
      </c>
      <c r="V11" s="68"/>
      <c r="W11" s="78">
        <v>0.10000055664100552</v>
      </c>
      <c r="X11" s="78">
        <v>0.89999944335899451</v>
      </c>
    </row>
    <row r="12" spans="1:24" x14ac:dyDescent="0.25">
      <c r="A12" s="11">
        <v>2027</v>
      </c>
      <c r="B12" s="11" t="s">
        <v>9</v>
      </c>
      <c r="C12" s="71" t="s">
        <v>9</v>
      </c>
      <c r="D12" s="11" t="s">
        <v>396</v>
      </c>
      <c r="E12" s="72" t="s">
        <v>801</v>
      </c>
      <c r="F12" s="72" t="s">
        <v>801</v>
      </c>
      <c r="G12" s="11" t="s">
        <v>396</v>
      </c>
      <c r="H12" s="11" t="s">
        <v>71</v>
      </c>
      <c r="I12" s="73">
        <v>203992</v>
      </c>
      <c r="J12" s="73">
        <v>161406</v>
      </c>
      <c r="K12" s="73">
        <v>34387</v>
      </c>
      <c r="L12" s="73">
        <v>127019</v>
      </c>
      <c r="M12" s="73">
        <v>0</v>
      </c>
      <c r="N12" s="73">
        <v>169605</v>
      </c>
      <c r="O12" s="74">
        <v>16961</v>
      </c>
      <c r="P12" s="68"/>
      <c r="Q12" s="73">
        <v>42586</v>
      </c>
      <c r="R12" s="73">
        <v>0</v>
      </c>
      <c r="S12" s="75">
        <v>42586</v>
      </c>
      <c r="T12" s="76">
        <v>110058</v>
      </c>
      <c r="U12" s="77">
        <v>152644</v>
      </c>
      <c r="V12" s="68"/>
      <c r="W12" s="78">
        <v>0.10000294802629639</v>
      </c>
      <c r="X12" s="78">
        <v>0.89999705197370361</v>
      </c>
    </row>
    <row r="13" spans="1:24" x14ac:dyDescent="0.25">
      <c r="A13" s="11">
        <v>2027</v>
      </c>
      <c r="B13" s="11" t="s">
        <v>7</v>
      </c>
      <c r="C13" s="71" t="s">
        <v>7</v>
      </c>
      <c r="D13" s="11" t="s">
        <v>397</v>
      </c>
      <c r="E13" s="72" t="s">
        <v>801</v>
      </c>
      <c r="F13" s="72" t="s">
        <v>801</v>
      </c>
      <c r="G13" s="11" t="s">
        <v>397</v>
      </c>
      <c r="H13" s="11" t="s">
        <v>72</v>
      </c>
      <c r="I13" s="73">
        <v>93467</v>
      </c>
      <c r="J13" s="73">
        <v>73074</v>
      </c>
      <c r="K13" s="73">
        <v>15568</v>
      </c>
      <c r="L13" s="73">
        <v>57506</v>
      </c>
      <c r="M13" s="73">
        <v>6488</v>
      </c>
      <c r="N13" s="73">
        <v>84387</v>
      </c>
      <c r="O13" s="74">
        <v>8439</v>
      </c>
      <c r="P13" s="68"/>
      <c r="Q13" s="73">
        <v>20393</v>
      </c>
      <c r="R13" s="73">
        <v>6488</v>
      </c>
      <c r="S13" s="75">
        <v>26881</v>
      </c>
      <c r="T13" s="76">
        <v>49067</v>
      </c>
      <c r="U13" s="77">
        <v>75948</v>
      </c>
      <c r="V13" s="68"/>
      <c r="W13" s="78">
        <v>0.10000355504994846</v>
      </c>
      <c r="X13" s="78">
        <v>0.8999964449500516</v>
      </c>
    </row>
    <row r="14" spans="1:24" x14ac:dyDescent="0.25">
      <c r="A14" s="11">
        <v>2027</v>
      </c>
      <c r="B14" s="11" t="s">
        <v>6</v>
      </c>
      <c r="C14" s="71" t="s">
        <v>6</v>
      </c>
      <c r="D14" s="11" t="s">
        <v>398</v>
      </c>
      <c r="E14" s="72" t="s">
        <v>802</v>
      </c>
      <c r="F14" s="72" t="s">
        <v>803</v>
      </c>
      <c r="G14" s="11" t="s">
        <v>398</v>
      </c>
      <c r="H14" s="11" t="s">
        <v>73</v>
      </c>
      <c r="I14" s="73">
        <v>594557</v>
      </c>
      <c r="J14" s="73">
        <v>456414</v>
      </c>
      <c r="K14" s="73">
        <v>97237</v>
      </c>
      <c r="L14" s="73">
        <v>359177</v>
      </c>
      <c r="M14" s="73">
        <v>0</v>
      </c>
      <c r="N14" s="73">
        <v>497320</v>
      </c>
      <c r="O14" s="74">
        <v>49732</v>
      </c>
      <c r="P14" s="68"/>
      <c r="Q14" s="73">
        <v>138143</v>
      </c>
      <c r="R14" s="73">
        <v>0</v>
      </c>
      <c r="S14" s="75">
        <v>138143</v>
      </c>
      <c r="T14" s="76">
        <v>309445</v>
      </c>
      <c r="U14" s="77">
        <v>447588</v>
      </c>
      <c r="V14" s="68"/>
      <c r="W14" s="78">
        <v>0.1</v>
      </c>
      <c r="X14" s="78">
        <v>0.9</v>
      </c>
    </row>
    <row r="15" spans="1:24" x14ac:dyDescent="0.25">
      <c r="A15" s="11">
        <v>2027</v>
      </c>
      <c r="B15" s="11" t="s">
        <v>5</v>
      </c>
      <c r="C15" s="71" t="s">
        <v>5</v>
      </c>
      <c r="D15" s="11" t="s">
        <v>399</v>
      </c>
      <c r="E15" s="72" t="s">
        <v>801</v>
      </c>
      <c r="F15" s="72" t="s">
        <v>801</v>
      </c>
      <c r="G15" s="11" t="s">
        <v>399</v>
      </c>
      <c r="H15" s="11" t="s">
        <v>74</v>
      </c>
      <c r="I15" s="73">
        <v>460205</v>
      </c>
      <c r="J15" s="73">
        <v>349224</v>
      </c>
      <c r="K15" s="73">
        <v>74401</v>
      </c>
      <c r="L15" s="73">
        <v>274823</v>
      </c>
      <c r="M15" s="73">
        <v>3021</v>
      </c>
      <c r="N15" s="73">
        <v>388825</v>
      </c>
      <c r="O15" s="74">
        <v>38883</v>
      </c>
      <c r="P15" s="68"/>
      <c r="Q15" s="73">
        <v>110981</v>
      </c>
      <c r="R15" s="73">
        <v>3021</v>
      </c>
      <c r="S15" s="75">
        <v>114002</v>
      </c>
      <c r="T15" s="76">
        <v>235940</v>
      </c>
      <c r="U15" s="77">
        <v>349942</v>
      </c>
      <c r="V15" s="68"/>
      <c r="W15" s="78">
        <v>0.10000128592554491</v>
      </c>
      <c r="X15" s="78">
        <v>0.89999871407445509</v>
      </c>
    </row>
    <row r="16" spans="1:24" x14ac:dyDescent="0.25">
      <c r="A16" s="11">
        <v>2027</v>
      </c>
      <c r="B16" s="11" t="s">
        <v>6</v>
      </c>
      <c r="C16" s="71" t="s">
        <v>6</v>
      </c>
      <c r="D16" s="11" t="s">
        <v>400</v>
      </c>
      <c r="E16" s="72" t="s">
        <v>801</v>
      </c>
      <c r="F16" s="72" t="s">
        <v>801</v>
      </c>
      <c r="G16" s="11" t="s">
        <v>400</v>
      </c>
      <c r="H16" s="11" t="s">
        <v>75</v>
      </c>
      <c r="I16" s="73">
        <v>351437</v>
      </c>
      <c r="J16" s="73">
        <v>269782</v>
      </c>
      <c r="K16" s="73">
        <v>57476</v>
      </c>
      <c r="L16" s="73">
        <v>212306</v>
      </c>
      <c r="M16" s="73">
        <v>0</v>
      </c>
      <c r="N16" s="73">
        <v>293961</v>
      </c>
      <c r="O16" s="74">
        <v>29396</v>
      </c>
      <c r="P16" s="68"/>
      <c r="Q16" s="73">
        <v>81655</v>
      </c>
      <c r="R16" s="73">
        <v>0</v>
      </c>
      <c r="S16" s="75">
        <v>81655</v>
      </c>
      <c r="T16" s="76">
        <v>182910</v>
      </c>
      <c r="U16" s="77">
        <v>264565</v>
      </c>
      <c r="V16" s="68"/>
      <c r="W16" s="78">
        <v>9.9999659818819503E-2</v>
      </c>
      <c r="X16" s="78">
        <v>0.90000034018118047</v>
      </c>
    </row>
    <row r="17" spans="1:24" x14ac:dyDescent="0.25">
      <c r="A17" s="11">
        <v>2027</v>
      </c>
      <c r="B17" s="11" t="s">
        <v>10</v>
      </c>
      <c r="C17" s="71" t="s">
        <v>10</v>
      </c>
      <c r="D17" s="11" t="s">
        <v>401</v>
      </c>
      <c r="E17" s="72" t="s">
        <v>801</v>
      </c>
      <c r="F17" s="72" t="s">
        <v>801</v>
      </c>
      <c r="G17" s="11" t="s">
        <v>401</v>
      </c>
      <c r="H17" s="11" t="s">
        <v>76</v>
      </c>
      <c r="I17" s="73">
        <v>1790628</v>
      </c>
      <c r="J17" s="73">
        <v>1445714</v>
      </c>
      <c r="K17" s="73">
        <v>308003</v>
      </c>
      <c r="L17" s="73">
        <v>1137711</v>
      </c>
      <c r="M17" s="73">
        <v>0</v>
      </c>
      <c r="N17" s="73">
        <v>1482625</v>
      </c>
      <c r="O17" s="74">
        <v>148263</v>
      </c>
      <c r="P17" s="68"/>
      <c r="Q17" s="73">
        <v>344914</v>
      </c>
      <c r="R17" s="73">
        <v>0</v>
      </c>
      <c r="S17" s="75">
        <v>344914</v>
      </c>
      <c r="T17" s="76">
        <v>989448</v>
      </c>
      <c r="U17" s="77">
        <v>1334362</v>
      </c>
      <c r="V17" s="68"/>
      <c r="W17" s="78">
        <v>0.10000033723969311</v>
      </c>
      <c r="X17" s="78">
        <v>0.89999966276030685</v>
      </c>
    </row>
    <row r="18" spans="1:24" x14ac:dyDescent="0.25">
      <c r="A18" s="11">
        <v>2027</v>
      </c>
      <c r="B18" s="11" t="s">
        <v>9</v>
      </c>
      <c r="C18" s="71" t="s">
        <v>9</v>
      </c>
      <c r="D18" s="11" t="s">
        <v>402</v>
      </c>
      <c r="E18" s="72" t="s">
        <v>801</v>
      </c>
      <c r="F18" s="72" t="s">
        <v>801</v>
      </c>
      <c r="G18" s="11" t="s">
        <v>402</v>
      </c>
      <c r="H18" s="11" t="s">
        <v>77</v>
      </c>
      <c r="I18" s="73">
        <v>472752</v>
      </c>
      <c r="J18" s="73">
        <v>374059</v>
      </c>
      <c r="K18" s="73">
        <v>79692</v>
      </c>
      <c r="L18" s="73">
        <v>294367</v>
      </c>
      <c r="M18" s="73">
        <v>1372</v>
      </c>
      <c r="N18" s="73">
        <v>394432</v>
      </c>
      <c r="O18" s="74">
        <v>39443</v>
      </c>
      <c r="P18" s="68"/>
      <c r="Q18" s="73">
        <v>98693</v>
      </c>
      <c r="R18" s="73">
        <v>1372</v>
      </c>
      <c r="S18" s="75">
        <v>100065</v>
      </c>
      <c r="T18" s="76">
        <v>254924</v>
      </c>
      <c r="U18" s="77">
        <v>354989</v>
      </c>
      <c r="V18" s="68"/>
      <c r="W18" s="78">
        <v>9.9999492941749146E-2</v>
      </c>
      <c r="X18" s="78">
        <v>0.90000050705825085</v>
      </c>
    </row>
    <row r="19" spans="1:24" x14ac:dyDescent="0.25">
      <c r="A19" s="11">
        <v>2027</v>
      </c>
      <c r="B19" s="11" t="s">
        <v>8</v>
      </c>
      <c r="C19" s="71" t="s">
        <v>8</v>
      </c>
      <c r="D19" s="11" t="s">
        <v>403</v>
      </c>
      <c r="E19" s="72" t="s">
        <v>801</v>
      </c>
      <c r="F19" s="72" t="s">
        <v>801</v>
      </c>
      <c r="G19" s="11" t="s">
        <v>403</v>
      </c>
      <c r="H19" s="11" t="s">
        <v>78</v>
      </c>
      <c r="I19" s="73">
        <v>86869</v>
      </c>
      <c r="J19" s="73">
        <v>68364</v>
      </c>
      <c r="K19" s="73">
        <v>14565</v>
      </c>
      <c r="L19" s="73">
        <v>53799</v>
      </c>
      <c r="M19" s="73">
        <v>6462</v>
      </c>
      <c r="N19" s="73">
        <v>78766</v>
      </c>
      <c r="O19" s="74">
        <v>7877</v>
      </c>
      <c r="P19" s="68"/>
      <c r="Q19" s="73">
        <v>18505</v>
      </c>
      <c r="R19" s="73">
        <v>6462</v>
      </c>
      <c r="S19" s="75">
        <v>24967</v>
      </c>
      <c r="T19" s="76">
        <v>45922</v>
      </c>
      <c r="U19" s="77">
        <v>70889</v>
      </c>
      <c r="V19" s="68"/>
      <c r="W19" s="78">
        <v>0.10000507833329102</v>
      </c>
      <c r="X19" s="78">
        <v>0.89999492166670902</v>
      </c>
    </row>
    <row r="20" spans="1:24" x14ac:dyDescent="0.25">
      <c r="A20" s="11">
        <v>2027</v>
      </c>
      <c r="B20" s="11" t="s">
        <v>10</v>
      </c>
      <c r="C20" s="71" t="s">
        <v>10</v>
      </c>
      <c r="D20" s="11" t="s">
        <v>404</v>
      </c>
      <c r="E20" s="72" t="s">
        <v>801</v>
      </c>
      <c r="F20" s="72" t="s">
        <v>801</v>
      </c>
      <c r="G20" s="11" t="s">
        <v>404</v>
      </c>
      <c r="H20" s="11" t="s">
        <v>79</v>
      </c>
      <c r="I20" s="73">
        <v>4929423</v>
      </c>
      <c r="J20" s="73">
        <v>3979910</v>
      </c>
      <c r="K20" s="73">
        <v>847903</v>
      </c>
      <c r="L20" s="73">
        <v>3132007</v>
      </c>
      <c r="M20" s="73">
        <v>0</v>
      </c>
      <c r="N20" s="73">
        <v>4081520</v>
      </c>
      <c r="O20" s="74">
        <v>408152</v>
      </c>
      <c r="P20" s="68"/>
      <c r="Q20" s="73">
        <v>949513</v>
      </c>
      <c r="R20" s="73">
        <v>0</v>
      </c>
      <c r="S20" s="75">
        <v>949513</v>
      </c>
      <c r="T20" s="76">
        <v>2723855</v>
      </c>
      <c r="U20" s="77">
        <v>3673368</v>
      </c>
      <c r="V20" s="68"/>
      <c r="W20" s="78">
        <v>0.1</v>
      </c>
      <c r="X20" s="78">
        <v>0.9</v>
      </c>
    </row>
    <row r="21" spans="1:24" x14ac:dyDescent="0.25">
      <c r="A21" s="11">
        <v>2027</v>
      </c>
      <c r="B21" s="11" t="s">
        <v>7</v>
      </c>
      <c r="C21" s="71" t="s">
        <v>7</v>
      </c>
      <c r="D21" s="11" t="s">
        <v>405</v>
      </c>
      <c r="E21" s="72" t="s">
        <v>801</v>
      </c>
      <c r="F21" s="72" t="s">
        <v>801</v>
      </c>
      <c r="G21" s="11" t="s">
        <v>405</v>
      </c>
      <c r="H21" s="11" t="s">
        <v>80</v>
      </c>
      <c r="I21" s="73">
        <v>320268</v>
      </c>
      <c r="J21" s="73">
        <v>250391</v>
      </c>
      <c r="K21" s="73">
        <v>53345</v>
      </c>
      <c r="L21" s="73">
        <v>197046</v>
      </c>
      <c r="M21" s="73">
        <v>1059</v>
      </c>
      <c r="N21" s="73">
        <v>267982</v>
      </c>
      <c r="O21" s="74">
        <v>26798</v>
      </c>
      <c r="P21" s="68"/>
      <c r="Q21" s="73">
        <v>69877</v>
      </c>
      <c r="R21" s="73">
        <v>1059</v>
      </c>
      <c r="S21" s="75">
        <v>70936</v>
      </c>
      <c r="T21" s="76">
        <v>170248</v>
      </c>
      <c r="U21" s="77">
        <v>241184</v>
      </c>
      <c r="V21" s="68"/>
      <c r="W21" s="78">
        <v>9.9999253681217398E-2</v>
      </c>
      <c r="X21" s="78">
        <v>0.90000074631878257</v>
      </c>
    </row>
    <row r="22" spans="1:24" x14ac:dyDescent="0.25">
      <c r="A22" s="11">
        <v>2027</v>
      </c>
      <c r="B22" s="11" t="s">
        <v>11</v>
      </c>
      <c r="C22" s="71" t="s">
        <v>11</v>
      </c>
      <c r="D22" s="11" t="s">
        <v>406</v>
      </c>
      <c r="E22" s="72" t="s">
        <v>801</v>
      </c>
      <c r="F22" s="72" t="s">
        <v>801</v>
      </c>
      <c r="G22" s="11" t="s">
        <v>406</v>
      </c>
      <c r="H22" s="11" t="s">
        <v>81</v>
      </c>
      <c r="I22" s="73">
        <v>108151</v>
      </c>
      <c r="J22" s="73">
        <v>83794</v>
      </c>
      <c r="K22" s="73">
        <v>17852</v>
      </c>
      <c r="L22" s="73">
        <v>65942</v>
      </c>
      <c r="M22" s="73">
        <v>8564</v>
      </c>
      <c r="N22" s="73">
        <v>98863</v>
      </c>
      <c r="O22" s="74">
        <v>9886</v>
      </c>
      <c r="P22" s="68"/>
      <c r="Q22" s="73">
        <v>24357</v>
      </c>
      <c r="R22" s="73">
        <v>8564</v>
      </c>
      <c r="S22" s="75">
        <v>32921</v>
      </c>
      <c r="T22" s="76">
        <v>56056</v>
      </c>
      <c r="U22" s="77">
        <v>88977</v>
      </c>
      <c r="V22" s="68"/>
      <c r="W22" s="78">
        <v>9.9996965497708951E-2</v>
      </c>
      <c r="X22" s="78">
        <v>0.90000303450229102</v>
      </c>
    </row>
    <row r="23" spans="1:24" x14ac:dyDescent="0.25">
      <c r="A23" s="11">
        <v>2027</v>
      </c>
      <c r="B23" s="11" t="s">
        <v>12</v>
      </c>
      <c r="C23" s="71" t="s">
        <v>12</v>
      </c>
      <c r="D23" s="11" t="s">
        <v>407</v>
      </c>
      <c r="E23" s="72" t="s">
        <v>801</v>
      </c>
      <c r="F23" s="72" t="s">
        <v>801</v>
      </c>
      <c r="G23" s="11" t="s">
        <v>407</v>
      </c>
      <c r="H23" s="11" t="s">
        <v>82</v>
      </c>
      <c r="I23" s="73">
        <v>578470</v>
      </c>
      <c r="J23" s="73">
        <v>456473</v>
      </c>
      <c r="K23" s="73">
        <v>97250</v>
      </c>
      <c r="L23" s="73">
        <v>359223</v>
      </c>
      <c r="M23" s="73">
        <v>19087</v>
      </c>
      <c r="N23" s="73">
        <v>500307</v>
      </c>
      <c r="O23" s="74">
        <v>50031</v>
      </c>
      <c r="P23" s="68"/>
      <c r="Q23" s="73">
        <v>121997</v>
      </c>
      <c r="R23" s="73">
        <v>19087</v>
      </c>
      <c r="S23" s="75">
        <v>141084</v>
      </c>
      <c r="T23" s="76">
        <v>309192</v>
      </c>
      <c r="U23" s="77">
        <v>450276</v>
      </c>
      <c r="V23" s="68"/>
      <c r="W23" s="78">
        <v>0.10000059963182606</v>
      </c>
      <c r="X23" s="78">
        <v>0.89999940036817394</v>
      </c>
    </row>
    <row r="24" spans="1:24" x14ac:dyDescent="0.25">
      <c r="A24" s="11">
        <v>2027</v>
      </c>
      <c r="B24" s="11" t="s">
        <v>10</v>
      </c>
      <c r="C24" s="71" t="s">
        <v>10</v>
      </c>
      <c r="D24" s="11" t="s">
        <v>408</v>
      </c>
      <c r="E24" s="72" t="s">
        <v>801</v>
      </c>
      <c r="F24" s="72" t="s">
        <v>801</v>
      </c>
      <c r="G24" s="11" t="s">
        <v>408</v>
      </c>
      <c r="H24" s="11" t="s">
        <v>83</v>
      </c>
      <c r="I24" s="73">
        <v>205667</v>
      </c>
      <c r="J24" s="73">
        <v>166051</v>
      </c>
      <c r="K24" s="73">
        <v>35377</v>
      </c>
      <c r="L24" s="73">
        <v>130674</v>
      </c>
      <c r="M24" s="73">
        <v>0</v>
      </c>
      <c r="N24" s="73">
        <v>170290</v>
      </c>
      <c r="O24" s="74">
        <v>17029</v>
      </c>
      <c r="P24" s="68"/>
      <c r="Q24" s="73">
        <v>39616</v>
      </c>
      <c r="R24" s="73">
        <v>0</v>
      </c>
      <c r="S24" s="75">
        <v>39616</v>
      </c>
      <c r="T24" s="76">
        <v>113645</v>
      </c>
      <c r="U24" s="77">
        <v>153261</v>
      </c>
      <c r="V24" s="68"/>
      <c r="W24" s="78">
        <v>0.1</v>
      </c>
      <c r="X24" s="78">
        <v>0.9</v>
      </c>
    </row>
    <row r="25" spans="1:24" x14ac:dyDescent="0.25">
      <c r="A25" s="11">
        <v>2027</v>
      </c>
      <c r="B25" s="11" t="s">
        <v>10</v>
      </c>
      <c r="C25" s="71" t="s">
        <v>10</v>
      </c>
      <c r="D25" s="11" t="s">
        <v>409</v>
      </c>
      <c r="E25" s="72" t="s">
        <v>801</v>
      </c>
      <c r="F25" s="72" t="s">
        <v>801</v>
      </c>
      <c r="G25" s="11" t="s">
        <v>409</v>
      </c>
      <c r="H25" s="11" t="s">
        <v>84</v>
      </c>
      <c r="I25" s="73">
        <v>675417</v>
      </c>
      <c r="J25" s="73">
        <v>545317</v>
      </c>
      <c r="K25" s="73">
        <v>116178</v>
      </c>
      <c r="L25" s="73">
        <v>429139</v>
      </c>
      <c r="M25" s="73">
        <v>0</v>
      </c>
      <c r="N25" s="73">
        <v>559239</v>
      </c>
      <c r="O25" s="74">
        <v>55924</v>
      </c>
      <c r="P25" s="68"/>
      <c r="Q25" s="73">
        <v>130100</v>
      </c>
      <c r="R25" s="73">
        <v>0</v>
      </c>
      <c r="S25" s="75">
        <v>130100</v>
      </c>
      <c r="T25" s="76">
        <v>373215</v>
      </c>
      <c r="U25" s="77">
        <v>503315</v>
      </c>
      <c r="V25" s="68"/>
      <c r="W25" s="78">
        <v>0.10000017881442461</v>
      </c>
      <c r="X25" s="78">
        <v>0.89999982118557542</v>
      </c>
    </row>
    <row r="26" spans="1:24" x14ac:dyDescent="0.25">
      <c r="A26" s="11">
        <v>2027</v>
      </c>
      <c r="B26" s="11" t="s">
        <v>10</v>
      </c>
      <c r="C26" s="71" t="s">
        <v>10</v>
      </c>
      <c r="D26" s="11" t="s">
        <v>410</v>
      </c>
      <c r="E26" s="72" t="s">
        <v>801</v>
      </c>
      <c r="F26" s="72" t="s">
        <v>801</v>
      </c>
      <c r="G26" s="11" t="s">
        <v>410</v>
      </c>
      <c r="H26" s="11" t="s">
        <v>85</v>
      </c>
      <c r="I26" s="73">
        <v>133390</v>
      </c>
      <c r="J26" s="73">
        <v>107696</v>
      </c>
      <c r="K26" s="73">
        <v>22944</v>
      </c>
      <c r="L26" s="73">
        <v>84752</v>
      </c>
      <c r="M26" s="73">
        <v>0</v>
      </c>
      <c r="N26" s="73">
        <v>110446</v>
      </c>
      <c r="O26" s="74">
        <v>11045</v>
      </c>
      <c r="P26" s="68"/>
      <c r="Q26" s="73">
        <v>25694</v>
      </c>
      <c r="R26" s="73">
        <v>0</v>
      </c>
      <c r="S26" s="75">
        <v>25694</v>
      </c>
      <c r="T26" s="76">
        <v>73707</v>
      </c>
      <c r="U26" s="77">
        <v>99401</v>
      </c>
      <c r="V26" s="68"/>
      <c r="W26" s="78">
        <v>0.10000362167937273</v>
      </c>
      <c r="X26" s="78">
        <v>0.89999637832062729</v>
      </c>
    </row>
    <row r="27" spans="1:24" x14ac:dyDescent="0.25">
      <c r="A27" s="11">
        <v>2027</v>
      </c>
      <c r="B27" s="11" t="s">
        <v>7</v>
      </c>
      <c r="C27" s="71" t="s">
        <v>7</v>
      </c>
      <c r="D27" s="11" t="s">
        <v>411</v>
      </c>
      <c r="E27" s="72" t="s">
        <v>801</v>
      </c>
      <c r="F27" s="72" t="s">
        <v>801</v>
      </c>
      <c r="G27" s="11" t="s">
        <v>411</v>
      </c>
      <c r="H27" s="11" t="s">
        <v>86</v>
      </c>
      <c r="I27" s="73">
        <v>181949</v>
      </c>
      <c r="J27" s="73">
        <v>142251</v>
      </c>
      <c r="K27" s="73">
        <v>30306</v>
      </c>
      <c r="L27" s="73">
        <v>111945</v>
      </c>
      <c r="M27" s="73">
        <v>4563</v>
      </c>
      <c r="N27" s="73">
        <v>156206</v>
      </c>
      <c r="O27" s="74">
        <v>15621</v>
      </c>
      <c r="P27" s="68"/>
      <c r="Q27" s="73">
        <v>39698</v>
      </c>
      <c r="R27" s="73">
        <v>4563</v>
      </c>
      <c r="S27" s="75">
        <v>44261</v>
      </c>
      <c r="T27" s="76">
        <v>96324</v>
      </c>
      <c r="U27" s="77">
        <v>140585</v>
      </c>
      <c r="V27" s="68"/>
      <c r="W27" s="78">
        <v>0.10000256072109906</v>
      </c>
      <c r="X27" s="78">
        <v>0.89999743927890097</v>
      </c>
    </row>
    <row r="28" spans="1:24" x14ac:dyDescent="0.25">
      <c r="A28" s="11">
        <v>2027</v>
      </c>
      <c r="B28" s="11" t="s">
        <v>12</v>
      </c>
      <c r="C28" s="71" t="s">
        <v>12</v>
      </c>
      <c r="D28" s="11" t="s">
        <v>412</v>
      </c>
      <c r="E28" s="72" t="s">
        <v>801</v>
      </c>
      <c r="F28" s="72" t="s">
        <v>801</v>
      </c>
      <c r="G28" s="11" t="s">
        <v>412</v>
      </c>
      <c r="H28" s="11" t="s">
        <v>87</v>
      </c>
      <c r="I28" s="73">
        <v>205299</v>
      </c>
      <c r="J28" s="73">
        <v>162002</v>
      </c>
      <c r="K28" s="73">
        <v>34514</v>
      </c>
      <c r="L28" s="73">
        <v>127488</v>
      </c>
      <c r="M28" s="73">
        <v>0</v>
      </c>
      <c r="N28" s="73">
        <v>170785</v>
      </c>
      <c r="O28" s="74">
        <v>17079</v>
      </c>
      <c r="P28" s="68"/>
      <c r="Q28" s="73">
        <v>43297</v>
      </c>
      <c r="R28" s="73">
        <v>0</v>
      </c>
      <c r="S28" s="75">
        <v>43297</v>
      </c>
      <c r="T28" s="76">
        <v>110409</v>
      </c>
      <c r="U28" s="77">
        <v>153706</v>
      </c>
      <c r="V28" s="68"/>
      <c r="W28" s="78">
        <v>0.10000292765758118</v>
      </c>
      <c r="X28" s="78">
        <v>0.89999707234241888</v>
      </c>
    </row>
    <row r="29" spans="1:24" x14ac:dyDescent="0.25">
      <c r="A29" s="11">
        <v>2027</v>
      </c>
      <c r="B29" s="11" t="s">
        <v>9</v>
      </c>
      <c r="C29" s="71" t="s">
        <v>9</v>
      </c>
      <c r="D29" s="11" t="s">
        <v>413</v>
      </c>
      <c r="E29" s="72" t="s">
        <v>801</v>
      </c>
      <c r="F29" s="72" t="s">
        <v>801</v>
      </c>
      <c r="G29" s="11" t="s">
        <v>413</v>
      </c>
      <c r="H29" s="11" t="s">
        <v>88</v>
      </c>
      <c r="I29" s="73">
        <v>184208</v>
      </c>
      <c r="J29" s="73">
        <v>145752</v>
      </c>
      <c r="K29" s="73">
        <v>31052</v>
      </c>
      <c r="L29" s="73">
        <v>114700</v>
      </c>
      <c r="M29" s="73">
        <v>0</v>
      </c>
      <c r="N29" s="73">
        <v>153156</v>
      </c>
      <c r="O29" s="74">
        <v>15316</v>
      </c>
      <c r="P29" s="68"/>
      <c r="Q29" s="73">
        <v>38456</v>
      </c>
      <c r="R29" s="73">
        <v>0</v>
      </c>
      <c r="S29" s="75">
        <v>38456</v>
      </c>
      <c r="T29" s="76">
        <v>99384</v>
      </c>
      <c r="U29" s="77">
        <v>137840</v>
      </c>
      <c r="V29" s="68"/>
      <c r="W29" s="78">
        <v>0.10000261171615869</v>
      </c>
      <c r="X29" s="78">
        <v>0.89999738828384135</v>
      </c>
    </row>
    <row r="30" spans="1:24" x14ac:dyDescent="0.25">
      <c r="A30" s="11">
        <v>2027</v>
      </c>
      <c r="B30" s="11" t="s">
        <v>8</v>
      </c>
      <c r="C30" s="71" t="s">
        <v>8</v>
      </c>
      <c r="D30" s="11" t="s">
        <v>414</v>
      </c>
      <c r="E30" s="72" t="s">
        <v>801</v>
      </c>
      <c r="F30" s="72" t="s">
        <v>801</v>
      </c>
      <c r="G30" s="11" t="s">
        <v>414</v>
      </c>
      <c r="H30" s="11" t="s">
        <v>89</v>
      </c>
      <c r="I30" s="73">
        <v>239612</v>
      </c>
      <c r="J30" s="73">
        <v>188571</v>
      </c>
      <c r="K30" s="73">
        <v>40174</v>
      </c>
      <c r="L30" s="73">
        <v>148397</v>
      </c>
      <c r="M30" s="73">
        <v>0</v>
      </c>
      <c r="N30" s="73">
        <v>199438</v>
      </c>
      <c r="O30" s="74">
        <v>19944</v>
      </c>
      <c r="P30" s="68"/>
      <c r="Q30" s="73">
        <v>51041</v>
      </c>
      <c r="R30" s="73">
        <v>0</v>
      </c>
      <c r="S30" s="75">
        <v>51041</v>
      </c>
      <c r="T30" s="76">
        <v>128453</v>
      </c>
      <c r="U30" s="77">
        <v>179494</v>
      </c>
      <c r="V30" s="68"/>
      <c r="W30" s="78">
        <v>0.10000100281791835</v>
      </c>
      <c r="X30" s="78">
        <v>0.89999899718208165</v>
      </c>
    </row>
    <row r="31" spans="1:24" x14ac:dyDescent="0.25">
      <c r="A31" s="11">
        <v>2027</v>
      </c>
      <c r="B31" s="11" t="s">
        <v>7</v>
      </c>
      <c r="C31" s="71" t="s">
        <v>7</v>
      </c>
      <c r="D31" s="11" t="s">
        <v>415</v>
      </c>
      <c r="E31" s="72" t="s">
        <v>801</v>
      </c>
      <c r="F31" s="72" t="s">
        <v>801</v>
      </c>
      <c r="G31" s="11" t="s">
        <v>415</v>
      </c>
      <c r="H31" s="11" t="s">
        <v>90</v>
      </c>
      <c r="I31" s="73">
        <v>296101</v>
      </c>
      <c r="J31" s="73">
        <v>231496</v>
      </c>
      <c r="K31" s="73">
        <v>49319</v>
      </c>
      <c r="L31" s="73">
        <v>182177</v>
      </c>
      <c r="M31" s="73">
        <v>0</v>
      </c>
      <c r="N31" s="73">
        <v>246782</v>
      </c>
      <c r="O31" s="74">
        <v>24678</v>
      </c>
      <c r="P31" s="68"/>
      <c r="Q31" s="73">
        <v>64605</v>
      </c>
      <c r="R31" s="73">
        <v>0</v>
      </c>
      <c r="S31" s="75">
        <v>64605</v>
      </c>
      <c r="T31" s="76">
        <v>157499</v>
      </c>
      <c r="U31" s="77">
        <v>222104</v>
      </c>
      <c r="V31" s="68"/>
      <c r="W31" s="78">
        <v>9.9999189568120858E-2</v>
      </c>
      <c r="X31" s="78">
        <v>0.90000081043187918</v>
      </c>
    </row>
    <row r="32" spans="1:24" x14ac:dyDescent="0.25">
      <c r="A32" s="11">
        <v>2027</v>
      </c>
      <c r="B32" s="11" t="s">
        <v>8</v>
      </c>
      <c r="C32" s="71" t="s">
        <v>8</v>
      </c>
      <c r="D32" s="11" t="s">
        <v>416</v>
      </c>
      <c r="E32" s="72" t="s">
        <v>801</v>
      </c>
      <c r="F32" s="72" t="s">
        <v>801</v>
      </c>
      <c r="G32" s="11" t="s">
        <v>416</v>
      </c>
      <c r="H32" s="11" t="s">
        <v>91</v>
      </c>
      <c r="I32" s="73">
        <v>62621</v>
      </c>
      <c r="J32" s="73">
        <v>49282</v>
      </c>
      <c r="K32" s="73">
        <v>10499</v>
      </c>
      <c r="L32" s="73">
        <v>38783</v>
      </c>
      <c r="M32" s="73">
        <v>10166</v>
      </c>
      <c r="N32" s="73">
        <v>62288</v>
      </c>
      <c r="O32" s="74">
        <v>6229</v>
      </c>
      <c r="P32" s="68"/>
      <c r="Q32" s="73">
        <v>13339</v>
      </c>
      <c r="R32" s="73">
        <v>10166</v>
      </c>
      <c r="S32" s="75">
        <v>23505</v>
      </c>
      <c r="T32" s="76">
        <v>32554</v>
      </c>
      <c r="U32" s="77">
        <v>56059</v>
      </c>
      <c r="V32" s="68"/>
      <c r="W32" s="78">
        <v>0.10000321089134344</v>
      </c>
      <c r="X32" s="78">
        <v>0.89999678910865655</v>
      </c>
    </row>
    <row r="33" spans="1:24" x14ac:dyDescent="0.25">
      <c r="A33" s="11">
        <v>2027</v>
      </c>
      <c r="B33" s="11" t="s">
        <v>9</v>
      </c>
      <c r="C33" s="71" t="s">
        <v>9</v>
      </c>
      <c r="D33" s="11" t="s">
        <v>417</v>
      </c>
      <c r="E33" s="72" t="s">
        <v>801</v>
      </c>
      <c r="F33" s="72" t="s">
        <v>801</v>
      </c>
      <c r="G33" s="11" t="s">
        <v>417</v>
      </c>
      <c r="H33" s="11" t="s">
        <v>92</v>
      </c>
      <c r="I33" s="73">
        <v>555879</v>
      </c>
      <c r="J33" s="73">
        <v>439832</v>
      </c>
      <c r="K33" s="73">
        <v>93704</v>
      </c>
      <c r="L33" s="73">
        <v>346128</v>
      </c>
      <c r="M33" s="73">
        <v>6414</v>
      </c>
      <c r="N33" s="73">
        <v>468589</v>
      </c>
      <c r="O33" s="74">
        <v>46859</v>
      </c>
      <c r="P33" s="68"/>
      <c r="Q33" s="73">
        <v>116047</v>
      </c>
      <c r="R33" s="73">
        <v>6414</v>
      </c>
      <c r="S33" s="75">
        <v>122461</v>
      </c>
      <c r="T33" s="76">
        <v>299269</v>
      </c>
      <c r="U33" s="77">
        <v>421730</v>
      </c>
      <c r="V33" s="68"/>
      <c r="W33" s="78">
        <v>0.1000002134066314</v>
      </c>
      <c r="X33" s="78">
        <v>0.89999978659336866</v>
      </c>
    </row>
    <row r="34" spans="1:24" x14ac:dyDescent="0.25">
      <c r="A34" s="11">
        <v>2027</v>
      </c>
      <c r="B34" s="11" t="s">
        <v>8</v>
      </c>
      <c r="C34" s="71" t="s">
        <v>8</v>
      </c>
      <c r="D34" s="11" t="s">
        <v>418</v>
      </c>
      <c r="E34" s="72" t="s">
        <v>801</v>
      </c>
      <c r="F34" s="72" t="s">
        <v>801</v>
      </c>
      <c r="G34" s="11" t="s">
        <v>418</v>
      </c>
      <c r="H34" s="11" t="s">
        <v>93</v>
      </c>
      <c r="I34" s="73">
        <v>1532348</v>
      </c>
      <c r="J34" s="73">
        <v>1205931</v>
      </c>
      <c r="K34" s="73">
        <v>256919</v>
      </c>
      <c r="L34" s="73">
        <v>949012</v>
      </c>
      <c r="M34" s="73">
        <v>0</v>
      </c>
      <c r="N34" s="73">
        <v>1275429</v>
      </c>
      <c r="O34" s="74">
        <v>127543</v>
      </c>
      <c r="P34" s="68"/>
      <c r="Q34" s="73">
        <v>326417</v>
      </c>
      <c r="R34" s="73">
        <v>0</v>
      </c>
      <c r="S34" s="75">
        <v>326417</v>
      </c>
      <c r="T34" s="76">
        <v>821469</v>
      </c>
      <c r="U34" s="77">
        <v>1147886</v>
      </c>
      <c r="V34" s="68"/>
      <c r="W34" s="78">
        <v>0.10000007840499157</v>
      </c>
      <c r="X34" s="78">
        <v>0.89999992159500841</v>
      </c>
    </row>
    <row r="35" spans="1:24" x14ac:dyDescent="0.25">
      <c r="A35" s="11">
        <v>2027</v>
      </c>
      <c r="B35" s="11" t="s">
        <v>10</v>
      </c>
      <c r="C35" s="71" t="s">
        <v>10</v>
      </c>
      <c r="D35" s="11" t="s">
        <v>419</v>
      </c>
      <c r="E35" s="72" t="s">
        <v>801</v>
      </c>
      <c r="F35" s="72" t="s">
        <v>801</v>
      </c>
      <c r="G35" s="11" t="s">
        <v>419</v>
      </c>
      <c r="H35" s="11" t="s">
        <v>94</v>
      </c>
      <c r="I35" s="73">
        <v>1027355</v>
      </c>
      <c r="J35" s="73">
        <v>829464</v>
      </c>
      <c r="K35" s="73">
        <v>176714</v>
      </c>
      <c r="L35" s="73">
        <v>652750</v>
      </c>
      <c r="M35" s="73">
        <v>0</v>
      </c>
      <c r="N35" s="73">
        <v>850641</v>
      </c>
      <c r="O35" s="74">
        <v>85064</v>
      </c>
      <c r="P35" s="68"/>
      <c r="Q35" s="73">
        <v>197891</v>
      </c>
      <c r="R35" s="73">
        <v>0</v>
      </c>
      <c r="S35" s="75">
        <v>197891</v>
      </c>
      <c r="T35" s="76">
        <v>567686</v>
      </c>
      <c r="U35" s="77">
        <v>765577</v>
      </c>
      <c r="V35" s="68"/>
      <c r="W35" s="78">
        <v>9.9999882441594051E-2</v>
      </c>
      <c r="X35" s="78">
        <v>0.90000011755840592</v>
      </c>
    </row>
    <row r="36" spans="1:24" x14ac:dyDescent="0.25">
      <c r="A36" s="11">
        <v>2027</v>
      </c>
      <c r="B36" s="11" t="s">
        <v>10</v>
      </c>
      <c r="C36" s="71" t="s">
        <v>10</v>
      </c>
      <c r="D36" s="11" t="s">
        <v>420</v>
      </c>
      <c r="E36" s="72" t="s">
        <v>801</v>
      </c>
      <c r="F36" s="72" t="s">
        <v>801</v>
      </c>
      <c r="G36" s="11" t="s">
        <v>420</v>
      </c>
      <c r="H36" s="11" t="s">
        <v>95</v>
      </c>
      <c r="I36" s="73">
        <v>813885</v>
      </c>
      <c r="J36" s="73">
        <v>657113</v>
      </c>
      <c r="K36" s="73">
        <v>139995</v>
      </c>
      <c r="L36" s="73">
        <v>517118</v>
      </c>
      <c r="M36" s="73">
        <v>0</v>
      </c>
      <c r="N36" s="73">
        <v>673890</v>
      </c>
      <c r="O36" s="74">
        <v>67389</v>
      </c>
      <c r="P36" s="68"/>
      <c r="Q36" s="73">
        <v>156772</v>
      </c>
      <c r="R36" s="73">
        <v>0</v>
      </c>
      <c r="S36" s="75">
        <v>156772</v>
      </c>
      <c r="T36" s="76">
        <v>449729</v>
      </c>
      <c r="U36" s="77">
        <v>606501</v>
      </c>
      <c r="V36" s="68"/>
      <c r="W36" s="78">
        <v>0.1</v>
      </c>
      <c r="X36" s="78">
        <v>0.9</v>
      </c>
    </row>
    <row r="37" spans="1:24" x14ac:dyDescent="0.25">
      <c r="A37" s="11">
        <v>2027</v>
      </c>
      <c r="B37" s="11" t="s">
        <v>11</v>
      </c>
      <c r="C37" s="71" t="s">
        <v>11</v>
      </c>
      <c r="D37" s="11" t="s">
        <v>421</v>
      </c>
      <c r="E37" s="72" t="s">
        <v>801</v>
      </c>
      <c r="F37" s="72" t="s">
        <v>801</v>
      </c>
      <c r="G37" s="11" t="s">
        <v>421</v>
      </c>
      <c r="H37" s="11" t="s">
        <v>96</v>
      </c>
      <c r="I37" s="73">
        <v>220042</v>
      </c>
      <c r="J37" s="73">
        <v>170486</v>
      </c>
      <c r="K37" s="73">
        <v>36321</v>
      </c>
      <c r="L37" s="73">
        <v>134165</v>
      </c>
      <c r="M37" s="73">
        <v>2505</v>
      </c>
      <c r="N37" s="73">
        <v>186226</v>
      </c>
      <c r="O37" s="74">
        <v>18623</v>
      </c>
      <c r="P37" s="68"/>
      <c r="Q37" s="73">
        <v>49556</v>
      </c>
      <c r="R37" s="73">
        <v>2505</v>
      </c>
      <c r="S37" s="75">
        <v>52061</v>
      </c>
      <c r="T37" s="76">
        <v>115542</v>
      </c>
      <c r="U37" s="77">
        <v>167603</v>
      </c>
      <c r="V37" s="68"/>
      <c r="W37" s="78">
        <v>0.10000214792778667</v>
      </c>
      <c r="X37" s="78">
        <v>0.89999785207221328</v>
      </c>
    </row>
    <row r="38" spans="1:24" x14ac:dyDescent="0.25">
      <c r="A38" s="11">
        <v>2027</v>
      </c>
      <c r="B38" s="11" t="s">
        <v>12</v>
      </c>
      <c r="C38" s="71" t="s">
        <v>12</v>
      </c>
      <c r="D38" s="11" t="s">
        <v>422</v>
      </c>
      <c r="E38" s="72" t="s">
        <v>801</v>
      </c>
      <c r="F38" s="72" t="s">
        <v>801</v>
      </c>
      <c r="G38" s="11" t="s">
        <v>422</v>
      </c>
      <c r="H38" s="11" t="s">
        <v>97</v>
      </c>
      <c r="I38" s="73">
        <v>156342</v>
      </c>
      <c r="J38" s="73">
        <v>123370</v>
      </c>
      <c r="K38" s="73">
        <v>26284</v>
      </c>
      <c r="L38" s="73">
        <v>97086</v>
      </c>
      <c r="M38" s="73">
        <v>0</v>
      </c>
      <c r="N38" s="73">
        <v>130058</v>
      </c>
      <c r="O38" s="74">
        <v>13006</v>
      </c>
      <c r="P38" s="68"/>
      <c r="Q38" s="73">
        <v>32972</v>
      </c>
      <c r="R38" s="73">
        <v>0</v>
      </c>
      <c r="S38" s="75">
        <v>32972</v>
      </c>
      <c r="T38" s="76">
        <v>84080</v>
      </c>
      <c r="U38" s="77">
        <v>117052</v>
      </c>
      <c r="V38" s="68"/>
      <c r="W38" s="78">
        <v>0.10000153777545402</v>
      </c>
      <c r="X38" s="78">
        <v>0.89999846222454594</v>
      </c>
    </row>
    <row r="39" spans="1:24" x14ac:dyDescent="0.25">
      <c r="A39" s="11">
        <v>2027</v>
      </c>
      <c r="B39" s="11" t="s">
        <v>7</v>
      </c>
      <c r="C39" s="71" t="s">
        <v>7</v>
      </c>
      <c r="D39" s="11" t="s">
        <v>423</v>
      </c>
      <c r="E39" s="72" t="s">
        <v>801</v>
      </c>
      <c r="F39" s="72" t="s">
        <v>801</v>
      </c>
      <c r="G39" s="11" t="s">
        <v>423</v>
      </c>
      <c r="H39" s="11" t="s">
        <v>98</v>
      </c>
      <c r="I39" s="73">
        <v>199345</v>
      </c>
      <c r="J39" s="73">
        <v>155851</v>
      </c>
      <c r="K39" s="73">
        <v>33203</v>
      </c>
      <c r="L39" s="73">
        <v>122648</v>
      </c>
      <c r="M39" s="73">
        <v>10709</v>
      </c>
      <c r="N39" s="73">
        <v>176851</v>
      </c>
      <c r="O39" s="74">
        <v>17685</v>
      </c>
      <c r="P39" s="68"/>
      <c r="Q39" s="73">
        <v>43494</v>
      </c>
      <c r="R39" s="73">
        <v>10709</v>
      </c>
      <c r="S39" s="75">
        <v>54203</v>
      </c>
      <c r="T39" s="76">
        <v>104963</v>
      </c>
      <c r="U39" s="77">
        <v>159166</v>
      </c>
      <c r="V39" s="68"/>
      <c r="W39" s="78">
        <v>9.9999434552250202E-2</v>
      </c>
      <c r="X39" s="78">
        <v>0.90000056544774976</v>
      </c>
    </row>
    <row r="40" spans="1:24" x14ac:dyDescent="0.25">
      <c r="A40" s="11">
        <v>2027</v>
      </c>
      <c r="B40" s="11" t="s">
        <v>13</v>
      </c>
      <c r="C40" s="71" t="s">
        <v>13</v>
      </c>
      <c r="D40" s="11" t="s">
        <v>424</v>
      </c>
      <c r="E40" s="72" t="s">
        <v>801</v>
      </c>
      <c r="F40" s="72" t="s">
        <v>801</v>
      </c>
      <c r="G40" s="11" t="s">
        <v>424</v>
      </c>
      <c r="H40" s="11" t="s">
        <v>99</v>
      </c>
      <c r="I40" s="73">
        <v>1521790</v>
      </c>
      <c r="J40" s="73">
        <v>1209820</v>
      </c>
      <c r="K40" s="73">
        <v>257747</v>
      </c>
      <c r="L40" s="73">
        <v>952073</v>
      </c>
      <c r="M40" s="73">
        <v>16575</v>
      </c>
      <c r="N40" s="73">
        <v>1280618</v>
      </c>
      <c r="O40" s="74">
        <v>128062</v>
      </c>
      <c r="P40" s="68"/>
      <c r="Q40" s="73">
        <v>311970</v>
      </c>
      <c r="R40" s="73">
        <v>16575</v>
      </c>
      <c r="S40" s="75">
        <v>328545</v>
      </c>
      <c r="T40" s="76">
        <v>824011</v>
      </c>
      <c r="U40" s="77">
        <v>1152556</v>
      </c>
      <c r="V40" s="68"/>
      <c r="W40" s="78">
        <v>0.10000015617459695</v>
      </c>
      <c r="X40" s="78">
        <v>0.8999998438254031</v>
      </c>
    </row>
    <row r="41" spans="1:24" x14ac:dyDescent="0.25">
      <c r="A41" s="11">
        <v>2027</v>
      </c>
      <c r="B41" s="11" t="s">
        <v>7</v>
      </c>
      <c r="C41" s="71" t="s">
        <v>7</v>
      </c>
      <c r="D41" s="11" t="s">
        <v>425</v>
      </c>
      <c r="E41" s="72" t="s">
        <v>801</v>
      </c>
      <c r="F41" s="72" t="s">
        <v>801</v>
      </c>
      <c r="G41" s="11" t="s">
        <v>425</v>
      </c>
      <c r="H41" s="11" t="s">
        <v>100</v>
      </c>
      <c r="I41" s="73">
        <v>112261</v>
      </c>
      <c r="J41" s="73">
        <v>87768</v>
      </c>
      <c r="K41" s="73">
        <v>18699</v>
      </c>
      <c r="L41" s="73">
        <v>69069</v>
      </c>
      <c r="M41" s="73">
        <v>3642</v>
      </c>
      <c r="N41" s="73">
        <v>97204</v>
      </c>
      <c r="O41" s="74">
        <v>9720</v>
      </c>
      <c r="P41" s="68"/>
      <c r="Q41" s="73">
        <v>24493</v>
      </c>
      <c r="R41" s="73">
        <v>3642</v>
      </c>
      <c r="S41" s="75">
        <v>28135</v>
      </c>
      <c r="T41" s="76">
        <v>59349</v>
      </c>
      <c r="U41" s="77">
        <v>87484</v>
      </c>
      <c r="V41" s="68"/>
      <c r="W41" s="78">
        <v>9.9995884943006458E-2</v>
      </c>
      <c r="X41" s="78">
        <v>0.90000411505699351</v>
      </c>
    </row>
    <row r="42" spans="1:24" x14ac:dyDescent="0.25">
      <c r="A42" s="11">
        <v>2027</v>
      </c>
      <c r="B42" s="11" t="s">
        <v>8</v>
      </c>
      <c r="C42" s="71" t="s">
        <v>8</v>
      </c>
      <c r="D42" s="11" t="s">
        <v>426</v>
      </c>
      <c r="E42" s="72" t="s">
        <v>801</v>
      </c>
      <c r="F42" s="72" t="s">
        <v>801</v>
      </c>
      <c r="G42" s="11" t="s">
        <v>426</v>
      </c>
      <c r="H42" s="11" t="s">
        <v>101</v>
      </c>
      <c r="I42" s="73">
        <v>149572</v>
      </c>
      <c r="J42" s="73">
        <v>117711</v>
      </c>
      <c r="K42" s="73">
        <v>25078</v>
      </c>
      <c r="L42" s="73">
        <v>92633</v>
      </c>
      <c r="M42" s="73">
        <v>6147</v>
      </c>
      <c r="N42" s="73">
        <v>130641</v>
      </c>
      <c r="O42" s="74">
        <v>13064</v>
      </c>
      <c r="P42" s="68"/>
      <c r="Q42" s="73">
        <v>31861</v>
      </c>
      <c r="R42" s="73">
        <v>6147</v>
      </c>
      <c r="S42" s="75">
        <v>38008</v>
      </c>
      <c r="T42" s="76">
        <v>79569</v>
      </c>
      <c r="U42" s="77">
        <v>117577</v>
      </c>
      <c r="V42" s="68"/>
      <c r="W42" s="78">
        <v>9.9999234543520027E-2</v>
      </c>
      <c r="X42" s="78">
        <v>0.90000076545648</v>
      </c>
    </row>
    <row r="43" spans="1:24" x14ac:dyDescent="0.25">
      <c r="A43" s="11">
        <v>2027</v>
      </c>
      <c r="B43" s="11" t="s">
        <v>12</v>
      </c>
      <c r="C43" s="71" t="s">
        <v>12</v>
      </c>
      <c r="D43" s="11" t="s">
        <v>427</v>
      </c>
      <c r="E43" s="72" t="s">
        <v>801</v>
      </c>
      <c r="F43" s="72" t="s">
        <v>801</v>
      </c>
      <c r="G43" s="11" t="s">
        <v>427</v>
      </c>
      <c r="H43" s="11" t="s">
        <v>102</v>
      </c>
      <c r="I43" s="73">
        <v>165213</v>
      </c>
      <c r="J43" s="73">
        <v>130370</v>
      </c>
      <c r="K43" s="73">
        <v>27775</v>
      </c>
      <c r="L43" s="73">
        <v>102595</v>
      </c>
      <c r="M43" s="73">
        <v>7858</v>
      </c>
      <c r="N43" s="73">
        <v>145296</v>
      </c>
      <c r="O43" s="74">
        <v>14530</v>
      </c>
      <c r="P43" s="68"/>
      <c r="Q43" s="73">
        <v>34843</v>
      </c>
      <c r="R43" s="73">
        <v>7858</v>
      </c>
      <c r="S43" s="75">
        <v>42701</v>
      </c>
      <c r="T43" s="76">
        <v>88065</v>
      </c>
      <c r="U43" s="77">
        <v>130766</v>
      </c>
      <c r="V43" s="68"/>
      <c r="W43" s="78">
        <v>0.10000275300077084</v>
      </c>
      <c r="X43" s="78">
        <v>0.89999724699922912</v>
      </c>
    </row>
    <row r="44" spans="1:24" x14ac:dyDescent="0.25">
      <c r="A44" s="11">
        <v>2027</v>
      </c>
      <c r="B44" s="11" t="s">
        <v>8</v>
      </c>
      <c r="C44" s="71" t="s">
        <v>8</v>
      </c>
      <c r="D44" s="11" t="s">
        <v>428</v>
      </c>
      <c r="E44" s="72" t="s">
        <v>801</v>
      </c>
      <c r="F44" s="72" t="s">
        <v>801</v>
      </c>
      <c r="G44" s="11" t="s">
        <v>428</v>
      </c>
      <c r="H44" s="11" t="s">
        <v>103</v>
      </c>
      <c r="I44" s="73">
        <v>306204</v>
      </c>
      <c r="J44" s="73">
        <v>240977</v>
      </c>
      <c r="K44" s="73">
        <v>51339</v>
      </c>
      <c r="L44" s="73">
        <v>189638</v>
      </c>
      <c r="M44" s="73">
        <v>16741</v>
      </c>
      <c r="N44" s="73">
        <v>271606</v>
      </c>
      <c r="O44" s="74">
        <v>27161</v>
      </c>
      <c r="P44" s="68"/>
      <c r="Q44" s="73">
        <v>65227</v>
      </c>
      <c r="R44" s="73">
        <v>16741</v>
      </c>
      <c r="S44" s="75">
        <v>81968</v>
      </c>
      <c r="T44" s="76">
        <v>162477</v>
      </c>
      <c r="U44" s="77">
        <v>244445</v>
      </c>
      <c r="V44" s="68"/>
      <c r="W44" s="78">
        <v>0.10000147272151573</v>
      </c>
      <c r="X44" s="78">
        <v>0.89999852727848428</v>
      </c>
    </row>
    <row r="45" spans="1:24" x14ac:dyDescent="0.25">
      <c r="A45" s="11">
        <v>2027</v>
      </c>
      <c r="B45" s="11" t="s">
        <v>13</v>
      </c>
      <c r="C45" s="71" t="s">
        <v>13</v>
      </c>
      <c r="D45" s="11" t="s">
        <v>429</v>
      </c>
      <c r="E45" s="72" t="s">
        <v>801</v>
      </c>
      <c r="F45" s="72" t="s">
        <v>801</v>
      </c>
      <c r="G45" s="11" t="s">
        <v>429</v>
      </c>
      <c r="H45" s="11" t="s">
        <v>104</v>
      </c>
      <c r="I45" s="73">
        <v>222100</v>
      </c>
      <c r="J45" s="73">
        <v>176569</v>
      </c>
      <c r="K45" s="73">
        <v>37617</v>
      </c>
      <c r="L45" s="73">
        <v>138952</v>
      </c>
      <c r="M45" s="73">
        <v>0</v>
      </c>
      <c r="N45" s="73">
        <v>184483</v>
      </c>
      <c r="O45" s="74">
        <v>18448</v>
      </c>
      <c r="P45" s="68"/>
      <c r="Q45" s="73">
        <v>45531</v>
      </c>
      <c r="R45" s="73">
        <v>0</v>
      </c>
      <c r="S45" s="75">
        <v>45531</v>
      </c>
      <c r="T45" s="76">
        <v>120504</v>
      </c>
      <c r="U45" s="77">
        <v>166035</v>
      </c>
      <c r="V45" s="68"/>
      <c r="W45" s="78">
        <v>9.9998373833903392E-2</v>
      </c>
      <c r="X45" s="78">
        <v>0.90000162616609658</v>
      </c>
    </row>
    <row r="46" spans="1:24" x14ac:dyDescent="0.25">
      <c r="A46" s="11">
        <v>2027</v>
      </c>
      <c r="B46" s="11" t="s">
        <v>10</v>
      </c>
      <c r="C46" s="71" t="s">
        <v>10</v>
      </c>
      <c r="D46" s="11" t="s">
        <v>430</v>
      </c>
      <c r="E46" s="72" t="s">
        <v>801</v>
      </c>
      <c r="F46" s="72" t="s">
        <v>801</v>
      </c>
      <c r="G46" s="11" t="s">
        <v>430</v>
      </c>
      <c r="H46" s="11" t="s">
        <v>105</v>
      </c>
      <c r="I46" s="73">
        <v>735607</v>
      </c>
      <c r="J46" s="73">
        <v>593913</v>
      </c>
      <c r="K46" s="73">
        <v>126531</v>
      </c>
      <c r="L46" s="73">
        <v>467382</v>
      </c>
      <c r="M46" s="73">
        <v>3290</v>
      </c>
      <c r="N46" s="73">
        <v>612366</v>
      </c>
      <c r="O46" s="74">
        <v>61237</v>
      </c>
      <c r="P46" s="68"/>
      <c r="Q46" s="73">
        <v>141694</v>
      </c>
      <c r="R46" s="73">
        <v>3290</v>
      </c>
      <c r="S46" s="75">
        <v>144984</v>
      </c>
      <c r="T46" s="76">
        <v>406145</v>
      </c>
      <c r="U46" s="77">
        <v>551129</v>
      </c>
      <c r="V46" s="68"/>
      <c r="W46" s="78">
        <v>0.10000065320412956</v>
      </c>
      <c r="X46" s="78">
        <v>0.89999934679587046</v>
      </c>
    </row>
    <row r="47" spans="1:24" x14ac:dyDescent="0.25">
      <c r="A47" s="11">
        <v>2027</v>
      </c>
      <c r="B47" s="11" t="s">
        <v>10</v>
      </c>
      <c r="C47" s="71" t="s">
        <v>10</v>
      </c>
      <c r="D47" s="11" t="s">
        <v>431</v>
      </c>
      <c r="E47" s="72" t="s">
        <v>801</v>
      </c>
      <c r="F47" s="72" t="s">
        <v>801</v>
      </c>
      <c r="G47" s="11" t="s">
        <v>431</v>
      </c>
      <c r="H47" s="11" t="s">
        <v>106</v>
      </c>
      <c r="I47" s="73">
        <v>602116</v>
      </c>
      <c r="J47" s="73">
        <v>486136</v>
      </c>
      <c r="K47" s="73">
        <v>103569</v>
      </c>
      <c r="L47" s="73">
        <v>382567</v>
      </c>
      <c r="M47" s="73">
        <v>30382</v>
      </c>
      <c r="N47" s="73">
        <v>528929</v>
      </c>
      <c r="O47" s="74">
        <v>52893</v>
      </c>
      <c r="P47" s="68"/>
      <c r="Q47" s="73">
        <v>115980</v>
      </c>
      <c r="R47" s="73">
        <v>30382</v>
      </c>
      <c r="S47" s="75">
        <v>146362</v>
      </c>
      <c r="T47" s="76">
        <v>329674</v>
      </c>
      <c r="U47" s="77">
        <v>476036</v>
      </c>
      <c r="V47" s="68"/>
      <c r="W47" s="78">
        <v>0.10000018906129178</v>
      </c>
      <c r="X47" s="78">
        <v>0.89999981093870818</v>
      </c>
    </row>
    <row r="48" spans="1:24" x14ac:dyDescent="0.25">
      <c r="A48" s="11">
        <v>2027</v>
      </c>
      <c r="B48" s="11" t="s">
        <v>7</v>
      </c>
      <c r="C48" s="71" t="s">
        <v>7</v>
      </c>
      <c r="D48" s="11" t="s">
        <v>432</v>
      </c>
      <c r="E48" s="72" t="s">
        <v>801</v>
      </c>
      <c r="F48" s="72" t="s">
        <v>801</v>
      </c>
      <c r="G48" s="11" t="s">
        <v>432</v>
      </c>
      <c r="H48" s="11" t="s">
        <v>107</v>
      </c>
      <c r="I48" s="73">
        <v>2217143</v>
      </c>
      <c r="J48" s="73">
        <v>1733396</v>
      </c>
      <c r="K48" s="73">
        <v>369293</v>
      </c>
      <c r="L48" s="73">
        <v>1364103</v>
      </c>
      <c r="M48" s="73">
        <v>0</v>
      </c>
      <c r="N48" s="73">
        <v>1847850</v>
      </c>
      <c r="O48" s="74">
        <v>184785</v>
      </c>
      <c r="P48" s="68"/>
      <c r="Q48" s="73">
        <v>483747</v>
      </c>
      <c r="R48" s="73">
        <v>0</v>
      </c>
      <c r="S48" s="75">
        <v>483747</v>
      </c>
      <c r="T48" s="76">
        <v>1179318</v>
      </c>
      <c r="U48" s="77">
        <v>1663065</v>
      </c>
      <c r="V48" s="68"/>
      <c r="W48" s="78">
        <v>0.1</v>
      </c>
      <c r="X48" s="78">
        <v>0.9</v>
      </c>
    </row>
    <row r="49" spans="1:24" x14ac:dyDescent="0.25">
      <c r="A49" s="11">
        <v>2027</v>
      </c>
      <c r="B49" s="11" t="s">
        <v>9</v>
      </c>
      <c r="C49" s="71" t="s">
        <v>9</v>
      </c>
      <c r="D49" s="11" t="s">
        <v>433</v>
      </c>
      <c r="E49" s="72" t="s">
        <v>801</v>
      </c>
      <c r="F49" s="72" t="s">
        <v>801</v>
      </c>
      <c r="G49" s="11" t="s">
        <v>433</v>
      </c>
      <c r="H49" s="11" t="s">
        <v>108</v>
      </c>
      <c r="I49" s="73">
        <v>6563460</v>
      </c>
      <c r="J49" s="73">
        <v>5193254</v>
      </c>
      <c r="K49" s="73">
        <v>1106401</v>
      </c>
      <c r="L49" s="73">
        <v>4086853</v>
      </c>
      <c r="M49" s="73">
        <v>0</v>
      </c>
      <c r="N49" s="73">
        <v>5457059</v>
      </c>
      <c r="O49" s="74">
        <v>545706</v>
      </c>
      <c r="P49" s="68"/>
      <c r="Q49" s="73">
        <v>1370206</v>
      </c>
      <c r="R49" s="73">
        <v>0</v>
      </c>
      <c r="S49" s="75">
        <v>1370206</v>
      </c>
      <c r="T49" s="76">
        <v>3541147</v>
      </c>
      <c r="U49" s="77">
        <v>4911353</v>
      </c>
      <c r="V49" s="68"/>
      <c r="W49" s="78">
        <v>0.10000001832488892</v>
      </c>
      <c r="X49" s="78">
        <v>0.89999998167511108</v>
      </c>
    </row>
    <row r="50" spans="1:24" x14ac:dyDescent="0.25">
      <c r="A50" s="11">
        <v>2027</v>
      </c>
      <c r="B50" s="11" t="s">
        <v>9</v>
      </c>
      <c r="C50" s="71" t="s">
        <v>9</v>
      </c>
      <c r="D50" s="11" t="s">
        <v>434</v>
      </c>
      <c r="E50" s="72" t="s">
        <v>801</v>
      </c>
      <c r="F50" s="72" t="s">
        <v>801</v>
      </c>
      <c r="G50" s="11" t="s">
        <v>434</v>
      </c>
      <c r="H50" s="11" t="s">
        <v>109</v>
      </c>
      <c r="I50" s="73">
        <v>414111</v>
      </c>
      <c r="J50" s="73">
        <v>327660</v>
      </c>
      <c r="K50" s="73">
        <v>69807</v>
      </c>
      <c r="L50" s="73">
        <v>257853</v>
      </c>
      <c r="M50" s="73">
        <v>47682</v>
      </c>
      <c r="N50" s="73">
        <v>391986</v>
      </c>
      <c r="O50" s="74">
        <v>39199</v>
      </c>
      <c r="P50" s="68"/>
      <c r="Q50" s="73">
        <v>86451</v>
      </c>
      <c r="R50" s="73">
        <v>47682</v>
      </c>
      <c r="S50" s="75">
        <v>134133</v>
      </c>
      <c r="T50" s="76">
        <v>218654</v>
      </c>
      <c r="U50" s="77">
        <v>352787</v>
      </c>
      <c r="V50" s="68"/>
      <c r="W50" s="78">
        <v>0.10000102044460772</v>
      </c>
      <c r="X50" s="78">
        <v>0.89999897955539232</v>
      </c>
    </row>
    <row r="51" spans="1:24" x14ac:dyDescent="0.25">
      <c r="A51" s="11">
        <v>2027</v>
      </c>
      <c r="B51" s="11" t="s">
        <v>13</v>
      </c>
      <c r="C51" s="71" t="s">
        <v>13</v>
      </c>
      <c r="D51" s="11" t="s">
        <v>435</v>
      </c>
      <c r="E51" s="72" t="s">
        <v>801</v>
      </c>
      <c r="F51" s="72" t="s">
        <v>801</v>
      </c>
      <c r="G51" s="11" t="s">
        <v>435</v>
      </c>
      <c r="H51" s="11" t="s">
        <v>110</v>
      </c>
      <c r="I51" s="73">
        <v>487354</v>
      </c>
      <c r="J51" s="73">
        <v>387446</v>
      </c>
      <c r="K51" s="73">
        <v>82544</v>
      </c>
      <c r="L51" s="73">
        <v>304902</v>
      </c>
      <c r="M51" s="73">
        <v>26569</v>
      </c>
      <c r="N51" s="73">
        <v>431379</v>
      </c>
      <c r="O51" s="74">
        <v>43138</v>
      </c>
      <c r="P51" s="68"/>
      <c r="Q51" s="73">
        <v>99908</v>
      </c>
      <c r="R51" s="73">
        <v>26569</v>
      </c>
      <c r="S51" s="75">
        <v>126477</v>
      </c>
      <c r="T51" s="76">
        <v>261764</v>
      </c>
      <c r="U51" s="77">
        <v>388241</v>
      </c>
      <c r="V51" s="68"/>
      <c r="W51" s="78">
        <v>0.10000023181471514</v>
      </c>
      <c r="X51" s="78">
        <v>0.89999976818528482</v>
      </c>
    </row>
    <row r="52" spans="1:24" x14ac:dyDescent="0.25">
      <c r="A52" s="11">
        <v>2027</v>
      </c>
      <c r="B52" s="11" t="s">
        <v>9</v>
      </c>
      <c r="C52" s="71" t="s">
        <v>9</v>
      </c>
      <c r="D52" s="11" t="s">
        <v>436</v>
      </c>
      <c r="E52" s="72" t="s">
        <v>801</v>
      </c>
      <c r="F52" s="72" t="s">
        <v>801</v>
      </c>
      <c r="G52" s="11" t="s">
        <v>436</v>
      </c>
      <c r="H52" s="11" t="s">
        <v>111</v>
      </c>
      <c r="I52" s="73">
        <v>150196</v>
      </c>
      <c r="J52" s="73">
        <v>118841</v>
      </c>
      <c r="K52" s="73">
        <v>25318</v>
      </c>
      <c r="L52" s="73">
        <v>93523</v>
      </c>
      <c r="M52" s="73">
        <v>14712</v>
      </c>
      <c r="N52" s="73">
        <v>139590</v>
      </c>
      <c r="O52" s="74">
        <v>13959</v>
      </c>
      <c r="P52" s="68"/>
      <c r="Q52" s="73">
        <v>31355</v>
      </c>
      <c r="R52" s="73">
        <v>14712</v>
      </c>
      <c r="S52" s="75">
        <v>46067</v>
      </c>
      <c r="T52" s="76">
        <v>79564</v>
      </c>
      <c r="U52" s="77">
        <v>125631</v>
      </c>
      <c r="V52" s="68"/>
      <c r="W52" s="78">
        <v>0.1</v>
      </c>
      <c r="X52" s="78">
        <v>0.9</v>
      </c>
    </row>
    <row r="53" spans="1:24" x14ac:dyDescent="0.25">
      <c r="A53" s="11">
        <v>2027</v>
      </c>
      <c r="B53" s="11" t="s">
        <v>5</v>
      </c>
      <c r="C53" s="71" t="s">
        <v>5</v>
      </c>
      <c r="D53" s="11" t="s">
        <v>437</v>
      </c>
      <c r="E53" s="72" t="s">
        <v>801</v>
      </c>
      <c r="F53" s="72" t="s">
        <v>801</v>
      </c>
      <c r="G53" s="11" t="s">
        <v>437</v>
      </c>
      <c r="H53" s="11" t="s">
        <v>112</v>
      </c>
      <c r="I53" s="73">
        <v>190075</v>
      </c>
      <c r="J53" s="73">
        <v>144237</v>
      </c>
      <c r="K53" s="73">
        <v>30729</v>
      </c>
      <c r="L53" s="73">
        <v>113508</v>
      </c>
      <c r="M53" s="73">
        <v>1430</v>
      </c>
      <c r="N53" s="73">
        <v>160776</v>
      </c>
      <c r="O53" s="74">
        <v>16078</v>
      </c>
      <c r="P53" s="68"/>
      <c r="Q53" s="73">
        <v>45838</v>
      </c>
      <c r="R53" s="73">
        <v>1430</v>
      </c>
      <c r="S53" s="75">
        <v>47268</v>
      </c>
      <c r="T53" s="76">
        <v>97430</v>
      </c>
      <c r="U53" s="77">
        <v>144698</v>
      </c>
      <c r="V53" s="68"/>
      <c r="W53" s="78">
        <v>0.10000248793352241</v>
      </c>
      <c r="X53" s="78">
        <v>0.8999975120664776</v>
      </c>
    </row>
    <row r="54" spans="1:24" x14ac:dyDescent="0.25">
      <c r="A54" s="11">
        <v>2027</v>
      </c>
      <c r="B54" s="11" t="s">
        <v>8</v>
      </c>
      <c r="C54" s="71" t="s">
        <v>8</v>
      </c>
      <c r="D54" s="11" t="s">
        <v>438</v>
      </c>
      <c r="E54" s="72" t="s">
        <v>801</v>
      </c>
      <c r="F54" s="72" t="s">
        <v>801</v>
      </c>
      <c r="G54" s="11" t="s">
        <v>438</v>
      </c>
      <c r="H54" s="11" t="s">
        <v>113</v>
      </c>
      <c r="I54" s="73">
        <v>585503</v>
      </c>
      <c r="J54" s="73">
        <v>460781</v>
      </c>
      <c r="K54" s="73">
        <v>98167</v>
      </c>
      <c r="L54" s="73">
        <v>362614</v>
      </c>
      <c r="M54" s="73">
        <v>0</v>
      </c>
      <c r="N54" s="73">
        <v>487336</v>
      </c>
      <c r="O54" s="74">
        <v>48734</v>
      </c>
      <c r="P54" s="68"/>
      <c r="Q54" s="73">
        <v>124722</v>
      </c>
      <c r="R54" s="73">
        <v>0</v>
      </c>
      <c r="S54" s="75">
        <v>124722</v>
      </c>
      <c r="T54" s="76">
        <v>313880</v>
      </c>
      <c r="U54" s="77">
        <v>438602</v>
      </c>
      <c r="V54" s="68"/>
      <c r="W54" s="78">
        <v>0.10000082078894233</v>
      </c>
      <c r="X54" s="78">
        <v>0.89999917921105765</v>
      </c>
    </row>
    <row r="55" spans="1:24" x14ac:dyDescent="0.25">
      <c r="A55" s="11">
        <v>2027</v>
      </c>
      <c r="B55" s="11" t="s">
        <v>12</v>
      </c>
      <c r="C55" s="71" t="s">
        <v>12</v>
      </c>
      <c r="D55" s="11" t="s">
        <v>439</v>
      </c>
      <c r="E55" s="72" t="s">
        <v>801</v>
      </c>
      <c r="F55" s="72" t="s">
        <v>801</v>
      </c>
      <c r="G55" s="11" t="s">
        <v>439</v>
      </c>
      <c r="H55" s="11" t="s">
        <v>114</v>
      </c>
      <c r="I55" s="73">
        <v>236504</v>
      </c>
      <c r="J55" s="73">
        <v>186626</v>
      </c>
      <c r="K55" s="73">
        <v>39760</v>
      </c>
      <c r="L55" s="73">
        <v>146866</v>
      </c>
      <c r="M55" s="73">
        <v>21069</v>
      </c>
      <c r="N55" s="73">
        <v>217813</v>
      </c>
      <c r="O55" s="74">
        <v>21781</v>
      </c>
      <c r="P55" s="68"/>
      <c r="Q55" s="73">
        <v>49878</v>
      </c>
      <c r="R55" s="73">
        <v>21069</v>
      </c>
      <c r="S55" s="75">
        <v>70947</v>
      </c>
      <c r="T55" s="76">
        <v>125085</v>
      </c>
      <c r="U55" s="77">
        <v>196032</v>
      </c>
      <c r="V55" s="68"/>
      <c r="W55" s="78">
        <v>9.9998622671741352E-2</v>
      </c>
      <c r="X55" s="78">
        <v>0.90000137732825869</v>
      </c>
    </row>
    <row r="56" spans="1:24" x14ac:dyDescent="0.25">
      <c r="A56" s="11">
        <v>2027</v>
      </c>
      <c r="B56" s="11" t="s">
        <v>13</v>
      </c>
      <c r="C56" s="71" t="s">
        <v>13</v>
      </c>
      <c r="D56" s="11" t="s">
        <v>440</v>
      </c>
      <c r="E56" s="72" t="s">
        <v>801</v>
      </c>
      <c r="F56" s="72" t="s">
        <v>801</v>
      </c>
      <c r="G56" s="11" t="s">
        <v>440</v>
      </c>
      <c r="H56" s="11" t="s">
        <v>115</v>
      </c>
      <c r="I56" s="73">
        <v>333624</v>
      </c>
      <c r="J56" s="73">
        <v>265230</v>
      </c>
      <c r="K56" s="73">
        <v>56506</v>
      </c>
      <c r="L56" s="73">
        <v>208724</v>
      </c>
      <c r="M56" s="73">
        <v>0</v>
      </c>
      <c r="N56" s="73">
        <v>277118</v>
      </c>
      <c r="O56" s="74">
        <v>27712</v>
      </c>
      <c r="P56" s="68"/>
      <c r="Q56" s="73">
        <v>68394</v>
      </c>
      <c r="R56" s="73">
        <v>0</v>
      </c>
      <c r="S56" s="75">
        <v>68394</v>
      </c>
      <c r="T56" s="76">
        <v>181012</v>
      </c>
      <c r="U56" s="77">
        <v>249406</v>
      </c>
      <c r="V56" s="68"/>
      <c r="W56" s="78">
        <v>0.1000007217142156</v>
      </c>
      <c r="X56" s="78">
        <v>0.89999927828578441</v>
      </c>
    </row>
    <row r="57" spans="1:24" x14ac:dyDescent="0.25">
      <c r="A57" s="11">
        <v>2027</v>
      </c>
      <c r="B57" s="11" t="s">
        <v>11</v>
      </c>
      <c r="C57" s="71" t="s">
        <v>11</v>
      </c>
      <c r="D57" s="11" t="s">
        <v>441</v>
      </c>
      <c r="E57" s="72" t="s">
        <v>801</v>
      </c>
      <c r="F57" s="72" t="s">
        <v>801</v>
      </c>
      <c r="G57" s="11" t="s">
        <v>441</v>
      </c>
      <c r="H57" s="11" t="s">
        <v>116</v>
      </c>
      <c r="I57" s="73">
        <v>284544</v>
      </c>
      <c r="J57" s="73">
        <v>220461</v>
      </c>
      <c r="K57" s="73">
        <v>46968</v>
      </c>
      <c r="L57" s="73">
        <v>173493</v>
      </c>
      <c r="M57" s="73">
        <v>11527</v>
      </c>
      <c r="N57" s="73">
        <v>249103</v>
      </c>
      <c r="O57" s="74">
        <v>24910</v>
      </c>
      <c r="P57" s="68"/>
      <c r="Q57" s="73">
        <v>64083</v>
      </c>
      <c r="R57" s="73">
        <v>11527</v>
      </c>
      <c r="S57" s="75">
        <v>75610</v>
      </c>
      <c r="T57" s="76">
        <v>148583</v>
      </c>
      <c r="U57" s="77">
        <v>224193</v>
      </c>
      <c r="V57" s="68"/>
      <c r="W57" s="78">
        <v>9.9998795678895872E-2</v>
      </c>
      <c r="X57" s="78">
        <v>0.90000120432110409</v>
      </c>
    </row>
    <row r="58" spans="1:24" x14ac:dyDescent="0.25">
      <c r="A58" s="11">
        <v>2027</v>
      </c>
      <c r="B58" s="11" t="s">
        <v>7</v>
      </c>
      <c r="C58" s="71" t="s">
        <v>7</v>
      </c>
      <c r="D58" s="11" t="s">
        <v>442</v>
      </c>
      <c r="E58" s="72" t="s">
        <v>801</v>
      </c>
      <c r="F58" s="72" t="s">
        <v>801</v>
      </c>
      <c r="G58" s="11" t="s">
        <v>442</v>
      </c>
      <c r="H58" s="11" t="s">
        <v>117</v>
      </c>
      <c r="I58" s="73">
        <v>295328</v>
      </c>
      <c r="J58" s="73">
        <v>230892</v>
      </c>
      <c r="K58" s="73">
        <v>49191</v>
      </c>
      <c r="L58" s="73">
        <v>181701</v>
      </c>
      <c r="M58" s="73">
        <v>14307</v>
      </c>
      <c r="N58" s="73">
        <v>260444</v>
      </c>
      <c r="O58" s="74">
        <v>26044</v>
      </c>
      <c r="P58" s="68"/>
      <c r="Q58" s="73">
        <v>64436</v>
      </c>
      <c r="R58" s="73">
        <v>14307</v>
      </c>
      <c r="S58" s="75">
        <v>78743</v>
      </c>
      <c r="T58" s="76">
        <v>155657</v>
      </c>
      <c r="U58" s="77">
        <v>234400</v>
      </c>
      <c r="V58" s="68"/>
      <c r="W58" s="78">
        <v>9.9998464161201644E-2</v>
      </c>
      <c r="X58" s="78">
        <v>0.90000153583879838</v>
      </c>
    </row>
    <row r="59" spans="1:24" x14ac:dyDescent="0.25">
      <c r="A59" s="11">
        <v>2027</v>
      </c>
      <c r="B59" s="11" t="s">
        <v>13</v>
      </c>
      <c r="C59" s="71" t="s">
        <v>13</v>
      </c>
      <c r="D59" s="11" t="s">
        <v>443</v>
      </c>
      <c r="E59" s="72" t="s">
        <v>801</v>
      </c>
      <c r="F59" s="72" t="s">
        <v>801</v>
      </c>
      <c r="G59" s="11" t="s">
        <v>443</v>
      </c>
      <c r="H59" s="11" t="s">
        <v>118</v>
      </c>
      <c r="I59" s="73">
        <v>514652</v>
      </c>
      <c r="J59" s="73">
        <v>409147</v>
      </c>
      <c r="K59" s="73">
        <v>87167</v>
      </c>
      <c r="L59" s="73">
        <v>321980</v>
      </c>
      <c r="M59" s="73">
        <v>0</v>
      </c>
      <c r="N59" s="73">
        <v>427485</v>
      </c>
      <c r="O59" s="74">
        <v>42749</v>
      </c>
      <c r="P59" s="68"/>
      <c r="Q59" s="73">
        <v>105505</v>
      </c>
      <c r="R59" s="73">
        <v>0</v>
      </c>
      <c r="S59" s="75">
        <v>105505</v>
      </c>
      <c r="T59" s="76">
        <v>279231</v>
      </c>
      <c r="U59" s="77">
        <v>384736</v>
      </c>
      <c r="V59" s="68"/>
      <c r="W59" s="78">
        <v>0.10000116963168298</v>
      </c>
      <c r="X59" s="78">
        <v>0.89999883036831707</v>
      </c>
    </row>
    <row r="60" spans="1:24" x14ac:dyDescent="0.25">
      <c r="A60" s="11">
        <v>2027</v>
      </c>
      <c r="B60" s="11" t="s">
        <v>7</v>
      </c>
      <c r="C60" s="71" t="s">
        <v>7</v>
      </c>
      <c r="D60" s="11" t="s">
        <v>444</v>
      </c>
      <c r="E60" s="72" t="s">
        <v>801</v>
      </c>
      <c r="F60" s="72" t="s">
        <v>801</v>
      </c>
      <c r="G60" s="11" t="s">
        <v>444</v>
      </c>
      <c r="H60" s="11" t="s">
        <v>119</v>
      </c>
      <c r="I60" s="73">
        <v>584176</v>
      </c>
      <c r="J60" s="73">
        <v>456718</v>
      </c>
      <c r="K60" s="73">
        <v>97302</v>
      </c>
      <c r="L60" s="73">
        <v>359416</v>
      </c>
      <c r="M60" s="73">
        <v>29589</v>
      </c>
      <c r="N60" s="73">
        <v>516463</v>
      </c>
      <c r="O60" s="74">
        <v>51646</v>
      </c>
      <c r="P60" s="68"/>
      <c r="Q60" s="73">
        <v>127458</v>
      </c>
      <c r="R60" s="73">
        <v>29589</v>
      </c>
      <c r="S60" s="75">
        <v>157047</v>
      </c>
      <c r="T60" s="76">
        <v>307770</v>
      </c>
      <c r="U60" s="77">
        <v>464817</v>
      </c>
      <c r="V60" s="68"/>
      <c r="W60" s="78">
        <v>9.9999419125861869E-2</v>
      </c>
      <c r="X60" s="78">
        <v>0.90000058087413815</v>
      </c>
    </row>
    <row r="61" spans="1:24" x14ac:dyDescent="0.25">
      <c r="A61" s="11">
        <v>2027</v>
      </c>
      <c r="B61" s="11" t="s">
        <v>11</v>
      </c>
      <c r="C61" s="71" t="s">
        <v>11</v>
      </c>
      <c r="D61" s="11" t="s">
        <v>445</v>
      </c>
      <c r="E61" s="72" t="s">
        <v>801</v>
      </c>
      <c r="F61" s="72" t="s">
        <v>801</v>
      </c>
      <c r="G61" s="11" t="s">
        <v>445</v>
      </c>
      <c r="H61" s="11" t="s">
        <v>120</v>
      </c>
      <c r="I61" s="73">
        <v>115485</v>
      </c>
      <c r="J61" s="73">
        <v>89476</v>
      </c>
      <c r="K61" s="73">
        <v>19062</v>
      </c>
      <c r="L61" s="73">
        <v>70414</v>
      </c>
      <c r="M61" s="73">
        <v>5702</v>
      </c>
      <c r="N61" s="73">
        <v>102125</v>
      </c>
      <c r="O61" s="74">
        <v>10213</v>
      </c>
      <c r="P61" s="68"/>
      <c r="Q61" s="73">
        <v>26009</v>
      </c>
      <c r="R61" s="73">
        <v>5702</v>
      </c>
      <c r="S61" s="75">
        <v>31711</v>
      </c>
      <c r="T61" s="76">
        <v>60201</v>
      </c>
      <c r="U61" s="77">
        <v>91912</v>
      </c>
      <c r="V61" s="68"/>
      <c r="W61" s="78">
        <v>0.10000489596083231</v>
      </c>
      <c r="X61" s="78">
        <v>0.89999510403916771</v>
      </c>
    </row>
    <row r="62" spans="1:24" x14ac:dyDescent="0.25">
      <c r="A62" s="11">
        <v>2027</v>
      </c>
      <c r="B62" s="11" t="s">
        <v>11</v>
      </c>
      <c r="C62" s="71" t="s">
        <v>11</v>
      </c>
      <c r="D62" s="11" t="s">
        <v>446</v>
      </c>
      <c r="E62" s="72" t="s">
        <v>801</v>
      </c>
      <c r="F62" s="72" t="s">
        <v>801</v>
      </c>
      <c r="G62" s="11" t="s">
        <v>446</v>
      </c>
      <c r="H62" s="11" t="s">
        <v>121</v>
      </c>
      <c r="I62" s="73">
        <v>446778</v>
      </c>
      <c r="J62" s="73">
        <v>346158</v>
      </c>
      <c r="K62" s="73">
        <v>73748</v>
      </c>
      <c r="L62" s="73">
        <v>272410</v>
      </c>
      <c r="M62" s="73">
        <v>0</v>
      </c>
      <c r="N62" s="73">
        <v>373030</v>
      </c>
      <c r="O62" s="74">
        <v>37303</v>
      </c>
      <c r="P62" s="68"/>
      <c r="Q62" s="73">
        <v>100620</v>
      </c>
      <c r="R62" s="73">
        <v>0</v>
      </c>
      <c r="S62" s="75">
        <v>100620</v>
      </c>
      <c r="T62" s="76">
        <v>235107</v>
      </c>
      <c r="U62" s="77">
        <v>335727</v>
      </c>
      <c r="V62" s="68"/>
      <c r="W62" s="78">
        <v>0.1</v>
      </c>
      <c r="X62" s="78">
        <v>0.9</v>
      </c>
    </row>
    <row r="63" spans="1:24" x14ac:dyDescent="0.25">
      <c r="A63" s="11">
        <v>2027</v>
      </c>
      <c r="B63" s="11" t="s">
        <v>12</v>
      </c>
      <c r="C63" s="71" t="s">
        <v>12</v>
      </c>
      <c r="D63" s="11" t="s">
        <v>447</v>
      </c>
      <c r="E63" s="72" t="s">
        <v>801</v>
      </c>
      <c r="F63" s="72" t="s">
        <v>801</v>
      </c>
      <c r="G63" s="11" t="s">
        <v>447</v>
      </c>
      <c r="H63" s="11" t="s">
        <v>122</v>
      </c>
      <c r="I63" s="73">
        <v>366936</v>
      </c>
      <c r="J63" s="73">
        <v>289551</v>
      </c>
      <c r="K63" s="73">
        <v>61688</v>
      </c>
      <c r="L63" s="73">
        <v>227863</v>
      </c>
      <c r="M63" s="73">
        <v>8700</v>
      </c>
      <c r="N63" s="73">
        <v>313948</v>
      </c>
      <c r="O63" s="74">
        <v>31395</v>
      </c>
      <c r="P63" s="68"/>
      <c r="Q63" s="73">
        <v>77385</v>
      </c>
      <c r="R63" s="73">
        <v>8700</v>
      </c>
      <c r="S63" s="75">
        <v>86085</v>
      </c>
      <c r="T63" s="76">
        <v>196468</v>
      </c>
      <c r="U63" s="77">
        <v>282553</v>
      </c>
      <c r="V63" s="68"/>
      <c r="W63" s="78">
        <v>0.10000063704817358</v>
      </c>
      <c r="X63" s="78">
        <v>0.89999936295182636</v>
      </c>
    </row>
    <row r="64" spans="1:24" x14ac:dyDescent="0.25">
      <c r="A64" s="11">
        <v>2027</v>
      </c>
      <c r="B64" s="11" t="s">
        <v>6</v>
      </c>
      <c r="C64" s="71" t="s">
        <v>6</v>
      </c>
      <c r="D64" s="11" t="s">
        <v>448</v>
      </c>
      <c r="E64" s="72" t="s">
        <v>804</v>
      </c>
      <c r="F64" s="72" t="s">
        <v>801</v>
      </c>
      <c r="G64" s="11" t="s">
        <v>448</v>
      </c>
      <c r="H64" s="11" t="s">
        <v>123</v>
      </c>
      <c r="I64" s="73">
        <v>405060</v>
      </c>
      <c r="J64" s="73">
        <v>310946</v>
      </c>
      <c r="K64" s="73">
        <v>66246</v>
      </c>
      <c r="L64" s="73">
        <v>244700</v>
      </c>
      <c r="M64" s="73">
        <v>0</v>
      </c>
      <c r="N64" s="73">
        <v>338814</v>
      </c>
      <c r="O64" s="74">
        <v>33881</v>
      </c>
      <c r="P64" s="68"/>
      <c r="Q64" s="73">
        <v>94114</v>
      </c>
      <c r="R64" s="73">
        <v>0</v>
      </c>
      <c r="S64" s="75">
        <v>94114</v>
      </c>
      <c r="T64" s="76">
        <v>210819</v>
      </c>
      <c r="U64" s="77">
        <v>304933</v>
      </c>
      <c r="V64" s="68"/>
      <c r="W64" s="78">
        <v>9.9998819411240392E-2</v>
      </c>
      <c r="X64" s="78">
        <v>0.90000118058875966</v>
      </c>
    </row>
    <row r="65" spans="1:24" x14ac:dyDescent="0.25">
      <c r="A65" s="11">
        <v>2027</v>
      </c>
      <c r="B65" s="11" t="s">
        <v>12</v>
      </c>
      <c r="C65" s="71" t="s">
        <v>12</v>
      </c>
      <c r="D65" s="11" t="s">
        <v>449</v>
      </c>
      <c r="E65" s="72" t="s">
        <v>801</v>
      </c>
      <c r="F65" s="72" t="s">
        <v>801</v>
      </c>
      <c r="G65" s="11" t="s">
        <v>449</v>
      </c>
      <c r="H65" s="11" t="s">
        <v>124</v>
      </c>
      <c r="I65" s="73">
        <v>583224</v>
      </c>
      <c r="J65" s="73">
        <v>460225</v>
      </c>
      <c r="K65" s="73">
        <v>98049</v>
      </c>
      <c r="L65" s="73">
        <v>362176</v>
      </c>
      <c r="M65" s="73">
        <v>23</v>
      </c>
      <c r="N65" s="73">
        <v>485198</v>
      </c>
      <c r="O65" s="74">
        <v>48520</v>
      </c>
      <c r="P65" s="68"/>
      <c r="Q65" s="73">
        <v>122999</v>
      </c>
      <c r="R65" s="73">
        <v>23</v>
      </c>
      <c r="S65" s="75">
        <v>123022</v>
      </c>
      <c r="T65" s="76">
        <v>313656</v>
      </c>
      <c r="U65" s="77">
        <v>436678</v>
      </c>
      <c r="V65" s="68"/>
      <c r="W65" s="78">
        <v>0.10000041220285327</v>
      </c>
      <c r="X65" s="78">
        <v>0.89999958779714673</v>
      </c>
    </row>
    <row r="66" spans="1:24" x14ac:dyDescent="0.25">
      <c r="A66" s="11">
        <v>2027</v>
      </c>
      <c r="B66" s="11" t="s">
        <v>7</v>
      </c>
      <c r="C66" s="71" t="s">
        <v>7</v>
      </c>
      <c r="D66" s="11" t="s">
        <v>450</v>
      </c>
      <c r="E66" s="72" t="s">
        <v>801</v>
      </c>
      <c r="F66" s="72" t="s">
        <v>801</v>
      </c>
      <c r="G66" s="11" t="s">
        <v>450</v>
      </c>
      <c r="H66" s="11" t="s">
        <v>125</v>
      </c>
      <c r="I66" s="73">
        <v>114447</v>
      </c>
      <c r="J66" s="73">
        <v>89476</v>
      </c>
      <c r="K66" s="73">
        <v>19062</v>
      </c>
      <c r="L66" s="73">
        <v>70414</v>
      </c>
      <c r="M66" s="73">
        <v>3347</v>
      </c>
      <c r="N66" s="73">
        <v>98732</v>
      </c>
      <c r="O66" s="74">
        <v>9873</v>
      </c>
      <c r="P66" s="68"/>
      <c r="Q66" s="73">
        <v>24971</v>
      </c>
      <c r="R66" s="73">
        <v>3347</v>
      </c>
      <c r="S66" s="75">
        <v>28318</v>
      </c>
      <c r="T66" s="76">
        <v>60541</v>
      </c>
      <c r="U66" s="77">
        <v>88859</v>
      </c>
      <c r="V66" s="68"/>
      <c r="W66" s="78">
        <v>9.9997974314305391E-2</v>
      </c>
      <c r="X66" s="78">
        <v>0.90000202568569465</v>
      </c>
    </row>
    <row r="67" spans="1:24" x14ac:dyDescent="0.25">
      <c r="A67" s="11">
        <v>2027</v>
      </c>
      <c r="B67" s="11" t="s">
        <v>6</v>
      </c>
      <c r="C67" s="71" t="s">
        <v>6</v>
      </c>
      <c r="D67" s="11" t="s">
        <v>451</v>
      </c>
      <c r="E67" s="72" t="s">
        <v>801</v>
      </c>
      <c r="F67" s="72" t="s">
        <v>801</v>
      </c>
      <c r="G67" s="11" t="s">
        <v>451</v>
      </c>
      <c r="H67" s="11" t="s">
        <v>126</v>
      </c>
      <c r="I67" s="73">
        <v>123560</v>
      </c>
      <c r="J67" s="73">
        <v>94852</v>
      </c>
      <c r="K67" s="73">
        <v>20208</v>
      </c>
      <c r="L67" s="73">
        <v>74644</v>
      </c>
      <c r="M67" s="73">
        <v>1473</v>
      </c>
      <c r="N67" s="73">
        <v>104825</v>
      </c>
      <c r="O67" s="74">
        <v>10483</v>
      </c>
      <c r="P67" s="68"/>
      <c r="Q67" s="73">
        <v>28708</v>
      </c>
      <c r="R67" s="73">
        <v>1473</v>
      </c>
      <c r="S67" s="75">
        <v>30181</v>
      </c>
      <c r="T67" s="76">
        <v>64161</v>
      </c>
      <c r="U67" s="77">
        <v>94342</v>
      </c>
      <c r="V67" s="68"/>
      <c r="W67" s="78">
        <v>0.10000476985451943</v>
      </c>
      <c r="X67" s="78">
        <v>0.89999523014548055</v>
      </c>
    </row>
    <row r="68" spans="1:24" x14ac:dyDescent="0.25">
      <c r="A68" s="11">
        <v>2027</v>
      </c>
      <c r="B68" s="11" t="s">
        <v>5</v>
      </c>
      <c r="C68" s="71" t="s">
        <v>5</v>
      </c>
      <c r="D68" s="11" t="s">
        <v>452</v>
      </c>
      <c r="E68" s="72" t="s">
        <v>801</v>
      </c>
      <c r="F68" s="72" t="s">
        <v>801</v>
      </c>
      <c r="G68" s="11" t="s">
        <v>452</v>
      </c>
      <c r="H68" s="11" t="s">
        <v>127</v>
      </c>
      <c r="I68" s="73">
        <v>259536</v>
      </c>
      <c r="J68" s="73">
        <v>196947</v>
      </c>
      <c r="K68" s="73">
        <v>41959</v>
      </c>
      <c r="L68" s="73">
        <v>154988</v>
      </c>
      <c r="M68" s="73">
        <v>1302</v>
      </c>
      <c r="N68" s="73">
        <v>218879</v>
      </c>
      <c r="O68" s="74">
        <v>21888</v>
      </c>
      <c r="P68" s="68"/>
      <c r="Q68" s="73">
        <v>62589</v>
      </c>
      <c r="R68" s="73">
        <v>1302</v>
      </c>
      <c r="S68" s="75">
        <v>63891</v>
      </c>
      <c r="T68" s="76">
        <v>133100</v>
      </c>
      <c r="U68" s="77">
        <v>196991</v>
      </c>
      <c r="V68" s="68"/>
      <c r="W68" s="78">
        <v>0.10000045687343236</v>
      </c>
      <c r="X68" s="78">
        <v>0.8999995431265676</v>
      </c>
    </row>
    <row r="69" spans="1:24" x14ac:dyDescent="0.25">
      <c r="A69" s="11">
        <v>2027</v>
      </c>
      <c r="B69" s="11" t="s">
        <v>9</v>
      </c>
      <c r="C69" s="71" t="s">
        <v>9</v>
      </c>
      <c r="D69" s="11" t="s">
        <v>453</v>
      </c>
      <c r="E69" s="72" t="s">
        <v>805</v>
      </c>
      <c r="F69" s="72" t="s">
        <v>801</v>
      </c>
      <c r="G69" s="11" t="s">
        <v>453</v>
      </c>
      <c r="H69" s="11" t="s">
        <v>128</v>
      </c>
      <c r="I69" s="73">
        <v>1288029</v>
      </c>
      <c r="J69" s="73">
        <v>1019136</v>
      </c>
      <c r="K69" s="73">
        <v>217123</v>
      </c>
      <c r="L69" s="73">
        <v>802013</v>
      </c>
      <c r="M69" s="73">
        <v>0</v>
      </c>
      <c r="N69" s="73">
        <v>1070906</v>
      </c>
      <c r="O69" s="74">
        <v>107091</v>
      </c>
      <c r="P69" s="68"/>
      <c r="Q69" s="73">
        <v>268893</v>
      </c>
      <c r="R69" s="73">
        <v>0</v>
      </c>
      <c r="S69" s="75">
        <v>268893</v>
      </c>
      <c r="T69" s="76">
        <v>694922</v>
      </c>
      <c r="U69" s="77">
        <v>963815</v>
      </c>
      <c r="V69" s="68"/>
      <c r="W69" s="78">
        <v>0.10000037351550929</v>
      </c>
      <c r="X69" s="78">
        <v>0.89999962648449072</v>
      </c>
    </row>
    <row r="70" spans="1:24" x14ac:dyDescent="0.25">
      <c r="A70" s="11">
        <v>2027</v>
      </c>
      <c r="B70" s="11" t="s">
        <v>7</v>
      </c>
      <c r="C70" s="71" t="s">
        <v>7</v>
      </c>
      <c r="D70" s="11" t="s">
        <v>454</v>
      </c>
      <c r="E70" s="72" t="s">
        <v>801</v>
      </c>
      <c r="F70" s="72" t="s">
        <v>801</v>
      </c>
      <c r="G70" s="11" t="s">
        <v>454</v>
      </c>
      <c r="H70" s="11" t="s">
        <v>129</v>
      </c>
      <c r="I70" s="73">
        <v>436753</v>
      </c>
      <c r="J70" s="73">
        <v>341460</v>
      </c>
      <c r="K70" s="73">
        <v>72747</v>
      </c>
      <c r="L70" s="73">
        <v>268713</v>
      </c>
      <c r="M70" s="73">
        <v>18672</v>
      </c>
      <c r="N70" s="73">
        <v>382678</v>
      </c>
      <c r="O70" s="74">
        <v>38268</v>
      </c>
      <c r="P70" s="68"/>
      <c r="Q70" s="73">
        <v>95293</v>
      </c>
      <c r="R70" s="73">
        <v>18672</v>
      </c>
      <c r="S70" s="75">
        <v>113965</v>
      </c>
      <c r="T70" s="76">
        <v>230445</v>
      </c>
      <c r="U70" s="77">
        <v>344410</v>
      </c>
      <c r="V70" s="68"/>
      <c r="W70" s="78">
        <v>0.10000052263260496</v>
      </c>
      <c r="X70" s="78">
        <v>0.89999947736739505</v>
      </c>
    </row>
    <row r="71" spans="1:24" x14ac:dyDescent="0.25">
      <c r="A71" s="11">
        <v>2027</v>
      </c>
      <c r="B71" s="11" t="s">
        <v>8</v>
      </c>
      <c r="C71" s="71" t="s">
        <v>8</v>
      </c>
      <c r="D71" s="11" t="s">
        <v>455</v>
      </c>
      <c r="E71" s="72" t="s">
        <v>801</v>
      </c>
      <c r="F71" s="72" t="s">
        <v>801</v>
      </c>
      <c r="G71" s="11" t="s">
        <v>455</v>
      </c>
      <c r="H71" s="11" t="s">
        <v>130</v>
      </c>
      <c r="I71" s="73">
        <v>1558474</v>
      </c>
      <c r="J71" s="73">
        <v>1226492</v>
      </c>
      <c r="K71" s="73">
        <v>261299</v>
      </c>
      <c r="L71" s="73">
        <v>965193</v>
      </c>
      <c r="M71" s="73">
        <v>0</v>
      </c>
      <c r="N71" s="73">
        <v>1297175</v>
      </c>
      <c r="O71" s="74">
        <v>129718</v>
      </c>
      <c r="P71" s="68"/>
      <c r="Q71" s="73">
        <v>331982</v>
      </c>
      <c r="R71" s="73">
        <v>0</v>
      </c>
      <c r="S71" s="75">
        <v>331982</v>
      </c>
      <c r="T71" s="76">
        <v>835475</v>
      </c>
      <c r="U71" s="77">
        <v>1167457</v>
      </c>
      <c r="V71" s="68"/>
      <c r="W71" s="78">
        <v>0.10000038545300365</v>
      </c>
      <c r="X71" s="78">
        <v>0.8999996145469964</v>
      </c>
    </row>
    <row r="72" spans="1:24" x14ac:dyDescent="0.25">
      <c r="A72" s="11">
        <v>2027</v>
      </c>
      <c r="B72" s="11" t="s">
        <v>10</v>
      </c>
      <c r="C72" s="71" t="s">
        <v>10</v>
      </c>
      <c r="D72" s="11" t="s">
        <v>456</v>
      </c>
      <c r="E72" s="72" t="s">
        <v>801</v>
      </c>
      <c r="F72" s="72" t="s">
        <v>801</v>
      </c>
      <c r="G72" s="11" t="s">
        <v>456</v>
      </c>
      <c r="H72" s="11" t="s">
        <v>131</v>
      </c>
      <c r="I72" s="73">
        <v>263536</v>
      </c>
      <c r="J72" s="73">
        <v>212773</v>
      </c>
      <c r="K72" s="73">
        <v>45330</v>
      </c>
      <c r="L72" s="73">
        <v>167443</v>
      </c>
      <c r="M72" s="73">
        <v>8382</v>
      </c>
      <c r="N72" s="73">
        <v>226588</v>
      </c>
      <c r="O72" s="74">
        <v>22659</v>
      </c>
      <c r="P72" s="68"/>
      <c r="Q72" s="73">
        <v>50763</v>
      </c>
      <c r="R72" s="73">
        <v>8382</v>
      </c>
      <c r="S72" s="75">
        <v>59145</v>
      </c>
      <c r="T72" s="76">
        <v>144784</v>
      </c>
      <c r="U72" s="77">
        <v>203929</v>
      </c>
      <c r="V72" s="68"/>
      <c r="W72" s="78">
        <v>0.10000088265927587</v>
      </c>
      <c r="X72" s="78">
        <v>0.89999911734072413</v>
      </c>
    </row>
    <row r="73" spans="1:24" x14ac:dyDescent="0.25">
      <c r="A73" s="11">
        <v>2027</v>
      </c>
      <c r="B73" s="11" t="s">
        <v>9</v>
      </c>
      <c r="C73" s="71" t="s">
        <v>9</v>
      </c>
      <c r="D73" s="11" t="s">
        <v>457</v>
      </c>
      <c r="E73" s="72" t="s">
        <v>801</v>
      </c>
      <c r="F73" s="72" t="s">
        <v>801</v>
      </c>
      <c r="G73" s="11" t="s">
        <v>457</v>
      </c>
      <c r="H73" s="11" t="s">
        <v>132</v>
      </c>
      <c r="I73" s="73">
        <v>1996569</v>
      </c>
      <c r="J73" s="73">
        <v>1579760</v>
      </c>
      <c r="K73" s="73">
        <v>336561</v>
      </c>
      <c r="L73" s="73">
        <v>1243199</v>
      </c>
      <c r="M73" s="73">
        <v>0</v>
      </c>
      <c r="N73" s="73">
        <v>1660008</v>
      </c>
      <c r="O73" s="74">
        <v>166001</v>
      </c>
      <c r="P73" s="68"/>
      <c r="Q73" s="73">
        <v>416809</v>
      </c>
      <c r="R73" s="73">
        <v>0</v>
      </c>
      <c r="S73" s="75">
        <v>416809</v>
      </c>
      <c r="T73" s="76">
        <v>1077198</v>
      </c>
      <c r="U73" s="77">
        <v>1494007</v>
      </c>
      <c r="V73" s="68"/>
      <c r="W73" s="78">
        <v>0.10000012048134707</v>
      </c>
      <c r="X73" s="78">
        <v>0.8999998795186529</v>
      </c>
    </row>
    <row r="74" spans="1:24" x14ac:dyDescent="0.25">
      <c r="A74" s="11">
        <v>2027</v>
      </c>
      <c r="B74" s="11" t="s">
        <v>10</v>
      </c>
      <c r="C74" s="71" t="s">
        <v>10</v>
      </c>
      <c r="D74" s="11" t="s">
        <v>458</v>
      </c>
      <c r="E74" s="72" t="s">
        <v>801</v>
      </c>
      <c r="F74" s="72" t="s">
        <v>801</v>
      </c>
      <c r="G74" s="11" t="s">
        <v>458</v>
      </c>
      <c r="H74" s="11" t="s">
        <v>133</v>
      </c>
      <c r="I74" s="73">
        <v>169527</v>
      </c>
      <c r="J74" s="73">
        <v>136872</v>
      </c>
      <c r="K74" s="73">
        <v>29160</v>
      </c>
      <c r="L74" s="73">
        <v>107712</v>
      </c>
      <c r="M74" s="73">
        <v>2336</v>
      </c>
      <c r="N74" s="73">
        <v>142703</v>
      </c>
      <c r="O74" s="74">
        <v>14270</v>
      </c>
      <c r="P74" s="68"/>
      <c r="Q74" s="73">
        <v>32655</v>
      </c>
      <c r="R74" s="73">
        <v>2336</v>
      </c>
      <c r="S74" s="75">
        <v>34991</v>
      </c>
      <c r="T74" s="76">
        <v>93442</v>
      </c>
      <c r="U74" s="77">
        <v>128433</v>
      </c>
      <c r="V74" s="68"/>
      <c r="W74" s="78">
        <v>9.9997897731652449E-2</v>
      </c>
      <c r="X74" s="78">
        <v>0.90000210226834754</v>
      </c>
    </row>
    <row r="75" spans="1:24" x14ac:dyDescent="0.25">
      <c r="A75" s="11">
        <v>2027</v>
      </c>
      <c r="B75" s="11" t="s">
        <v>10</v>
      </c>
      <c r="C75" s="71" t="s">
        <v>10</v>
      </c>
      <c r="D75" s="11" t="s">
        <v>459</v>
      </c>
      <c r="E75" s="72" t="s">
        <v>801</v>
      </c>
      <c r="F75" s="72" t="s">
        <v>801</v>
      </c>
      <c r="G75" s="11" t="s">
        <v>459</v>
      </c>
      <c r="H75" s="11" t="s">
        <v>134</v>
      </c>
      <c r="I75" s="73">
        <v>175534</v>
      </c>
      <c r="J75" s="73">
        <v>141722</v>
      </c>
      <c r="K75" s="73">
        <v>30193</v>
      </c>
      <c r="L75" s="73">
        <v>111529</v>
      </c>
      <c r="M75" s="73">
        <v>0</v>
      </c>
      <c r="N75" s="73">
        <v>145341</v>
      </c>
      <c r="O75" s="74">
        <v>14534</v>
      </c>
      <c r="P75" s="68"/>
      <c r="Q75" s="73">
        <v>33812</v>
      </c>
      <c r="R75" s="73">
        <v>0</v>
      </c>
      <c r="S75" s="75">
        <v>33812</v>
      </c>
      <c r="T75" s="76">
        <v>96995</v>
      </c>
      <c r="U75" s="77">
        <v>130807</v>
      </c>
      <c r="V75" s="68"/>
      <c r="W75" s="78">
        <v>9.9999311962901044E-2</v>
      </c>
      <c r="X75" s="78">
        <v>0.90000068803709898</v>
      </c>
    </row>
    <row r="76" spans="1:24" x14ac:dyDescent="0.25">
      <c r="A76" s="11">
        <v>2027</v>
      </c>
      <c r="B76" s="11" t="s">
        <v>8</v>
      </c>
      <c r="C76" s="71" t="s">
        <v>8</v>
      </c>
      <c r="D76" s="11" t="s">
        <v>460</v>
      </c>
      <c r="E76" s="72" t="s">
        <v>801</v>
      </c>
      <c r="F76" s="72" t="s">
        <v>801</v>
      </c>
      <c r="G76" s="11" t="s">
        <v>460</v>
      </c>
      <c r="H76" s="11" t="s">
        <v>135</v>
      </c>
      <c r="I76" s="73">
        <v>307757</v>
      </c>
      <c r="J76" s="73">
        <v>242200</v>
      </c>
      <c r="K76" s="73">
        <v>51600</v>
      </c>
      <c r="L76" s="73">
        <v>190600</v>
      </c>
      <c r="M76" s="73">
        <v>1301</v>
      </c>
      <c r="N76" s="73">
        <v>257458</v>
      </c>
      <c r="O76" s="74">
        <v>25746</v>
      </c>
      <c r="P76" s="68"/>
      <c r="Q76" s="73">
        <v>65557</v>
      </c>
      <c r="R76" s="73">
        <v>1301</v>
      </c>
      <c r="S76" s="75">
        <v>66858</v>
      </c>
      <c r="T76" s="76">
        <v>164854</v>
      </c>
      <c r="U76" s="77">
        <v>231712</v>
      </c>
      <c r="V76" s="68"/>
      <c r="W76" s="78">
        <v>0.10000077682573469</v>
      </c>
      <c r="X76" s="78">
        <v>0.89999922317426528</v>
      </c>
    </row>
    <row r="77" spans="1:24" x14ac:dyDescent="0.25">
      <c r="A77" s="11">
        <v>2027</v>
      </c>
      <c r="B77" s="11" t="s">
        <v>10</v>
      </c>
      <c r="C77" s="71" t="s">
        <v>10</v>
      </c>
      <c r="D77" s="11" t="s">
        <v>461</v>
      </c>
      <c r="E77" s="72" t="s">
        <v>801</v>
      </c>
      <c r="F77" s="72" t="s">
        <v>801</v>
      </c>
      <c r="G77" s="11" t="s">
        <v>461</v>
      </c>
      <c r="H77" s="11" t="s">
        <v>136</v>
      </c>
      <c r="I77" s="73">
        <v>176717</v>
      </c>
      <c r="J77" s="73">
        <v>142678</v>
      </c>
      <c r="K77" s="73">
        <v>30397</v>
      </c>
      <c r="L77" s="73">
        <v>112281</v>
      </c>
      <c r="M77" s="73">
        <v>0</v>
      </c>
      <c r="N77" s="73">
        <v>146320</v>
      </c>
      <c r="O77" s="74">
        <v>14632</v>
      </c>
      <c r="P77" s="68"/>
      <c r="Q77" s="73">
        <v>34039</v>
      </c>
      <c r="R77" s="73">
        <v>0</v>
      </c>
      <c r="S77" s="75">
        <v>34039</v>
      </c>
      <c r="T77" s="76">
        <v>97649</v>
      </c>
      <c r="U77" s="77">
        <v>131688</v>
      </c>
      <c r="V77" s="68"/>
      <c r="W77" s="78">
        <v>0.1</v>
      </c>
      <c r="X77" s="78">
        <v>0.9</v>
      </c>
    </row>
    <row r="78" spans="1:24" x14ac:dyDescent="0.25">
      <c r="A78" s="11">
        <v>2027</v>
      </c>
      <c r="B78" s="11" t="s">
        <v>12</v>
      </c>
      <c r="C78" s="71" t="s">
        <v>12</v>
      </c>
      <c r="D78" s="11" t="s">
        <v>462</v>
      </c>
      <c r="E78" s="72" t="s">
        <v>801</v>
      </c>
      <c r="F78" s="72" t="s">
        <v>801</v>
      </c>
      <c r="G78" s="11" t="s">
        <v>462</v>
      </c>
      <c r="H78" s="11" t="s">
        <v>137</v>
      </c>
      <c r="I78" s="73">
        <v>160480</v>
      </c>
      <c r="J78" s="73">
        <v>126635</v>
      </c>
      <c r="K78" s="73">
        <v>26979</v>
      </c>
      <c r="L78" s="73">
        <v>99656</v>
      </c>
      <c r="M78" s="73">
        <v>0</v>
      </c>
      <c r="N78" s="73">
        <v>133501</v>
      </c>
      <c r="O78" s="74">
        <v>13350</v>
      </c>
      <c r="P78" s="68"/>
      <c r="Q78" s="73">
        <v>33845</v>
      </c>
      <c r="R78" s="73">
        <v>0</v>
      </c>
      <c r="S78" s="75">
        <v>33845</v>
      </c>
      <c r="T78" s="76">
        <v>86306</v>
      </c>
      <c r="U78" s="77">
        <v>120151</v>
      </c>
      <c r="V78" s="68"/>
      <c r="W78" s="78">
        <v>9.999925094194051E-2</v>
      </c>
      <c r="X78" s="78">
        <v>0.90000074905805949</v>
      </c>
    </row>
    <row r="79" spans="1:24" x14ac:dyDescent="0.25">
      <c r="A79" s="11">
        <v>2027</v>
      </c>
      <c r="B79" s="11" t="s">
        <v>12</v>
      </c>
      <c r="C79" s="71" t="s">
        <v>12</v>
      </c>
      <c r="D79" s="11" t="s">
        <v>463</v>
      </c>
      <c r="E79" s="72" t="s">
        <v>801</v>
      </c>
      <c r="F79" s="72" t="s">
        <v>801</v>
      </c>
      <c r="G79" s="11" t="s">
        <v>463</v>
      </c>
      <c r="H79" s="11" t="s">
        <v>138</v>
      </c>
      <c r="I79" s="73">
        <v>3685514</v>
      </c>
      <c r="J79" s="73">
        <v>2908254</v>
      </c>
      <c r="K79" s="73">
        <v>619591</v>
      </c>
      <c r="L79" s="73">
        <v>2288663</v>
      </c>
      <c r="M79" s="73">
        <v>30791</v>
      </c>
      <c r="N79" s="73">
        <v>3096714</v>
      </c>
      <c r="O79" s="74">
        <v>309671</v>
      </c>
      <c r="P79" s="68"/>
      <c r="Q79" s="73">
        <v>777260</v>
      </c>
      <c r="R79" s="73">
        <v>30791</v>
      </c>
      <c r="S79" s="75">
        <v>808051</v>
      </c>
      <c r="T79" s="76">
        <v>1978992</v>
      </c>
      <c r="U79" s="77">
        <v>2787043</v>
      </c>
      <c r="V79" s="68"/>
      <c r="W79" s="78">
        <v>9.999987083082261E-2</v>
      </c>
      <c r="X79" s="78">
        <v>0.90000012916917738</v>
      </c>
    </row>
    <row r="80" spans="1:24" x14ac:dyDescent="0.25">
      <c r="A80" s="11">
        <v>2027</v>
      </c>
      <c r="B80" s="11" t="s">
        <v>12</v>
      </c>
      <c r="C80" s="71" t="s">
        <v>12</v>
      </c>
      <c r="D80" s="11" t="s">
        <v>464</v>
      </c>
      <c r="E80" s="72" t="s">
        <v>801</v>
      </c>
      <c r="F80" s="72" t="s">
        <v>801</v>
      </c>
      <c r="G80" s="11" t="s">
        <v>464</v>
      </c>
      <c r="H80" s="11" t="s">
        <v>139</v>
      </c>
      <c r="I80" s="73">
        <v>516865</v>
      </c>
      <c r="J80" s="73">
        <v>407860</v>
      </c>
      <c r="K80" s="73">
        <v>86893</v>
      </c>
      <c r="L80" s="73">
        <v>320967</v>
      </c>
      <c r="M80" s="73">
        <v>17075</v>
      </c>
      <c r="N80" s="73">
        <v>447047</v>
      </c>
      <c r="O80" s="74">
        <v>44705</v>
      </c>
      <c r="P80" s="68"/>
      <c r="Q80" s="73">
        <v>109005</v>
      </c>
      <c r="R80" s="73">
        <v>17075</v>
      </c>
      <c r="S80" s="75">
        <v>126080</v>
      </c>
      <c r="T80" s="76">
        <v>276262</v>
      </c>
      <c r="U80" s="77">
        <v>402342</v>
      </c>
      <c r="V80" s="68"/>
      <c r="W80" s="78">
        <v>0.10000067107037962</v>
      </c>
      <c r="X80" s="78">
        <v>0.89999932892962042</v>
      </c>
    </row>
    <row r="81" spans="1:24" x14ac:dyDescent="0.25">
      <c r="A81" s="11">
        <v>2027</v>
      </c>
      <c r="B81" s="11" t="s">
        <v>10</v>
      </c>
      <c r="C81" s="71" t="s">
        <v>10</v>
      </c>
      <c r="D81" s="11" t="s">
        <v>465</v>
      </c>
      <c r="E81" s="72" t="s">
        <v>801</v>
      </c>
      <c r="F81" s="72" t="s">
        <v>801</v>
      </c>
      <c r="G81" s="11" t="s">
        <v>465</v>
      </c>
      <c r="H81" s="11" t="s">
        <v>140</v>
      </c>
      <c r="I81" s="73">
        <v>1329983</v>
      </c>
      <c r="J81" s="73">
        <v>1073799</v>
      </c>
      <c r="K81" s="73">
        <v>228768</v>
      </c>
      <c r="L81" s="73">
        <v>845031</v>
      </c>
      <c r="M81" s="73">
        <v>0</v>
      </c>
      <c r="N81" s="73">
        <v>1101215</v>
      </c>
      <c r="O81" s="74">
        <v>110122</v>
      </c>
      <c r="P81" s="68"/>
      <c r="Q81" s="73">
        <v>256184</v>
      </c>
      <c r="R81" s="73">
        <v>0</v>
      </c>
      <c r="S81" s="75">
        <v>256184</v>
      </c>
      <c r="T81" s="76">
        <v>734909</v>
      </c>
      <c r="U81" s="77">
        <v>991093</v>
      </c>
      <c r="V81" s="68"/>
      <c r="W81" s="78">
        <v>0.10000045404394237</v>
      </c>
      <c r="X81" s="78">
        <v>0.89999954595605758</v>
      </c>
    </row>
    <row r="82" spans="1:24" x14ac:dyDescent="0.25">
      <c r="A82" s="11">
        <v>2027</v>
      </c>
      <c r="B82" s="11" t="s">
        <v>13</v>
      </c>
      <c r="C82" s="71" t="s">
        <v>13</v>
      </c>
      <c r="D82" s="11" t="s">
        <v>466</v>
      </c>
      <c r="E82" s="72" t="s">
        <v>801</v>
      </c>
      <c r="F82" s="72" t="s">
        <v>801</v>
      </c>
      <c r="G82" s="11" t="s">
        <v>466</v>
      </c>
      <c r="H82" s="11" t="s">
        <v>141</v>
      </c>
      <c r="I82" s="73">
        <v>160962</v>
      </c>
      <c r="J82" s="73">
        <v>127965</v>
      </c>
      <c r="K82" s="73">
        <v>27262</v>
      </c>
      <c r="L82" s="73">
        <v>100703</v>
      </c>
      <c r="M82" s="73">
        <v>12148</v>
      </c>
      <c r="N82" s="73">
        <v>145848</v>
      </c>
      <c r="O82" s="74">
        <v>14585</v>
      </c>
      <c r="P82" s="68"/>
      <c r="Q82" s="73">
        <v>32997</v>
      </c>
      <c r="R82" s="73">
        <v>12148</v>
      </c>
      <c r="S82" s="75">
        <v>45145</v>
      </c>
      <c r="T82" s="76">
        <v>86118</v>
      </c>
      <c r="U82" s="77">
        <v>131263</v>
      </c>
      <c r="V82" s="68"/>
      <c r="W82" s="78">
        <v>0.10000137129065877</v>
      </c>
      <c r="X82" s="78">
        <v>0.89999862870934122</v>
      </c>
    </row>
    <row r="83" spans="1:24" x14ac:dyDescent="0.25">
      <c r="A83" s="11">
        <v>2027</v>
      </c>
      <c r="B83" s="11" t="s">
        <v>8</v>
      </c>
      <c r="C83" s="71" t="s">
        <v>8</v>
      </c>
      <c r="D83" s="11" t="s">
        <v>467</v>
      </c>
      <c r="E83" s="72" t="s">
        <v>801</v>
      </c>
      <c r="F83" s="72" t="s">
        <v>801</v>
      </c>
      <c r="G83" s="11" t="s">
        <v>467</v>
      </c>
      <c r="H83" s="11" t="s">
        <v>142</v>
      </c>
      <c r="I83" s="73">
        <v>5728128</v>
      </c>
      <c r="J83" s="73">
        <v>4507937</v>
      </c>
      <c r="K83" s="73">
        <v>960397</v>
      </c>
      <c r="L83" s="73">
        <v>3547540</v>
      </c>
      <c r="M83" s="73">
        <v>0</v>
      </c>
      <c r="N83" s="73">
        <v>4767731</v>
      </c>
      <c r="O83" s="74">
        <v>476773</v>
      </c>
      <c r="P83" s="68"/>
      <c r="Q83" s="73">
        <v>1220191</v>
      </c>
      <c r="R83" s="73">
        <v>0</v>
      </c>
      <c r="S83" s="75">
        <v>1220191</v>
      </c>
      <c r="T83" s="76">
        <v>3070767</v>
      </c>
      <c r="U83" s="77">
        <v>4290958</v>
      </c>
      <c r="V83" s="68"/>
      <c r="W83" s="78">
        <v>9.9999979025662308E-2</v>
      </c>
      <c r="X83" s="78">
        <v>0.90000002097433773</v>
      </c>
    </row>
    <row r="84" spans="1:24" x14ac:dyDescent="0.25">
      <c r="A84" s="11">
        <v>2027</v>
      </c>
      <c r="B84" s="11" t="s">
        <v>13</v>
      </c>
      <c r="C84" s="71" t="s">
        <v>13</v>
      </c>
      <c r="D84" s="11" t="s">
        <v>468</v>
      </c>
      <c r="E84" s="72" t="s">
        <v>801</v>
      </c>
      <c r="F84" s="72" t="s">
        <v>801</v>
      </c>
      <c r="G84" s="11" t="s">
        <v>468</v>
      </c>
      <c r="H84" s="11" t="s">
        <v>143</v>
      </c>
      <c r="I84" s="73">
        <v>424601</v>
      </c>
      <c r="J84" s="73">
        <v>337557</v>
      </c>
      <c r="K84" s="73">
        <v>71915</v>
      </c>
      <c r="L84" s="73">
        <v>265642</v>
      </c>
      <c r="M84" s="73">
        <v>2751</v>
      </c>
      <c r="N84" s="73">
        <v>355437</v>
      </c>
      <c r="O84" s="74">
        <v>35544</v>
      </c>
      <c r="P84" s="68"/>
      <c r="Q84" s="73">
        <v>87044</v>
      </c>
      <c r="R84" s="73">
        <v>2751</v>
      </c>
      <c r="S84" s="75">
        <v>89795</v>
      </c>
      <c r="T84" s="76">
        <v>230098</v>
      </c>
      <c r="U84" s="77">
        <v>319893</v>
      </c>
      <c r="V84" s="68"/>
      <c r="W84" s="78">
        <v>0.10000084403143172</v>
      </c>
      <c r="X84" s="78">
        <v>0.89999915596856828</v>
      </c>
    </row>
    <row r="85" spans="1:24" x14ac:dyDescent="0.25">
      <c r="A85" s="11">
        <v>2027</v>
      </c>
      <c r="B85" s="11" t="s">
        <v>5</v>
      </c>
      <c r="C85" s="71" t="s">
        <v>5</v>
      </c>
      <c r="D85" s="11" t="s">
        <v>469</v>
      </c>
      <c r="E85" s="72" t="s">
        <v>801</v>
      </c>
      <c r="F85" s="72" t="s">
        <v>801</v>
      </c>
      <c r="G85" s="11" t="s">
        <v>469</v>
      </c>
      <c r="H85" s="11" t="s">
        <v>144</v>
      </c>
      <c r="I85" s="73">
        <v>594550</v>
      </c>
      <c r="J85" s="73">
        <v>451171</v>
      </c>
      <c r="K85" s="73">
        <v>96120</v>
      </c>
      <c r="L85" s="73">
        <v>355051</v>
      </c>
      <c r="M85" s="73">
        <v>9837</v>
      </c>
      <c r="N85" s="73">
        <v>508267</v>
      </c>
      <c r="O85" s="74">
        <v>50827</v>
      </c>
      <c r="P85" s="68"/>
      <c r="Q85" s="73">
        <v>143379</v>
      </c>
      <c r="R85" s="73">
        <v>9837</v>
      </c>
      <c r="S85" s="75">
        <v>153216</v>
      </c>
      <c r="T85" s="76">
        <v>304224</v>
      </c>
      <c r="U85" s="77">
        <v>457440</v>
      </c>
      <c r="V85" s="68"/>
      <c r="W85" s="78">
        <v>0.10000059024095603</v>
      </c>
      <c r="X85" s="78">
        <v>0.89999940975904402</v>
      </c>
    </row>
    <row r="86" spans="1:24" x14ac:dyDescent="0.25">
      <c r="A86" s="11">
        <v>2027</v>
      </c>
      <c r="B86" s="11" t="s">
        <v>8</v>
      </c>
      <c r="C86" s="71" t="s">
        <v>8</v>
      </c>
      <c r="D86" s="11" t="s">
        <v>470</v>
      </c>
      <c r="E86" s="72" t="s">
        <v>801</v>
      </c>
      <c r="F86" s="72" t="s">
        <v>801</v>
      </c>
      <c r="G86" s="11" t="s">
        <v>470</v>
      </c>
      <c r="H86" s="11" t="s">
        <v>145</v>
      </c>
      <c r="I86" s="73">
        <v>73158</v>
      </c>
      <c r="J86" s="73">
        <v>57574</v>
      </c>
      <c r="K86" s="73">
        <v>12266</v>
      </c>
      <c r="L86" s="73">
        <v>45308</v>
      </c>
      <c r="M86" s="73">
        <v>2700</v>
      </c>
      <c r="N86" s="73">
        <v>63592</v>
      </c>
      <c r="O86" s="74">
        <v>6359</v>
      </c>
      <c r="P86" s="68"/>
      <c r="Q86" s="73">
        <v>15584</v>
      </c>
      <c r="R86" s="73">
        <v>2700</v>
      </c>
      <c r="S86" s="75">
        <v>18284</v>
      </c>
      <c r="T86" s="76">
        <v>38949</v>
      </c>
      <c r="U86" s="77">
        <v>57233</v>
      </c>
      <c r="V86" s="68"/>
      <c r="W86" s="78">
        <v>9.9996854950308217E-2</v>
      </c>
      <c r="X86" s="78">
        <v>0.90000314504969181</v>
      </c>
    </row>
    <row r="87" spans="1:24" x14ac:dyDescent="0.25">
      <c r="A87" s="11">
        <v>2027</v>
      </c>
      <c r="B87" s="11" t="s">
        <v>11</v>
      </c>
      <c r="C87" s="71" t="s">
        <v>11</v>
      </c>
      <c r="D87" s="11" t="s">
        <v>471</v>
      </c>
      <c r="E87" s="72" t="s">
        <v>801</v>
      </c>
      <c r="F87" s="72" t="s">
        <v>801</v>
      </c>
      <c r="G87" s="11" t="s">
        <v>471</v>
      </c>
      <c r="H87" s="11" t="s">
        <v>146</v>
      </c>
      <c r="I87" s="73">
        <v>818819</v>
      </c>
      <c r="J87" s="73">
        <v>634411</v>
      </c>
      <c r="K87" s="73">
        <v>135159</v>
      </c>
      <c r="L87" s="73">
        <v>499252</v>
      </c>
      <c r="M87" s="73">
        <v>0</v>
      </c>
      <c r="N87" s="73">
        <v>683660</v>
      </c>
      <c r="O87" s="74">
        <v>68366</v>
      </c>
      <c r="P87" s="68"/>
      <c r="Q87" s="73">
        <v>184408</v>
      </c>
      <c r="R87" s="73">
        <v>0</v>
      </c>
      <c r="S87" s="75">
        <v>184408</v>
      </c>
      <c r="T87" s="76">
        <v>430886</v>
      </c>
      <c r="U87" s="77">
        <v>615294</v>
      </c>
      <c r="V87" s="68"/>
      <c r="W87" s="78">
        <v>0.1</v>
      </c>
      <c r="X87" s="78">
        <v>0.9</v>
      </c>
    </row>
    <row r="88" spans="1:24" x14ac:dyDescent="0.25">
      <c r="A88" s="11">
        <v>2027</v>
      </c>
      <c r="B88" s="11" t="s">
        <v>7</v>
      </c>
      <c r="C88" s="71" t="s">
        <v>7</v>
      </c>
      <c r="D88" s="11" t="s">
        <v>472</v>
      </c>
      <c r="E88" s="72" t="s">
        <v>801</v>
      </c>
      <c r="F88" s="72" t="s">
        <v>801</v>
      </c>
      <c r="G88" s="11" t="s">
        <v>472</v>
      </c>
      <c r="H88" s="11" t="s">
        <v>147</v>
      </c>
      <c r="I88" s="73">
        <v>336812</v>
      </c>
      <c r="J88" s="73">
        <v>263325</v>
      </c>
      <c r="K88" s="73">
        <v>56100</v>
      </c>
      <c r="L88" s="73">
        <v>207225</v>
      </c>
      <c r="M88" s="73">
        <v>0</v>
      </c>
      <c r="N88" s="73">
        <v>280712</v>
      </c>
      <c r="O88" s="74">
        <v>28071</v>
      </c>
      <c r="P88" s="68"/>
      <c r="Q88" s="73">
        <v>73487</v>
      </c>
      <c r="R88" s="73">
        <v>0</v>
      </c>
      <c r="S88" s="75">
        <v>73487</v>
      </c>
      <c r="T88" s="76">
        <v>179154</v>
      </c>
      <c r="U88" s="77">
        <v>252641</v>
      </c>
      <c r="V88" s="68"/>
      <c r="W88" s="78">
        <v>9.9999287526005301E-2</v>
      </c>
      <c r="X88" s="78">
        <v>0.90000071247399471</v>
      </c>
    </row>
    <row r="89" spans="1:24" x14ac:dyDescent="0.25">
      <c r="A89" s="11">
        <v>2027</v>
      </c>
      <c r="B89" s="11" t="s">
        <v>10</v>
      </c>
      <c r="C89" s="71" t="s">
        <v>10</v>
      </c>
      <c r="D89" s="11" t="s">
        <v>473</v>
      </c>
      <c r="E89" s="72" t="s">
        <v>801</v>
      </c>
      <c r="F89" s="72" t="s">
        <v>801</v>
      </c>
      <c r="G89" s="11" t="s">
        <v>473</v>
      </c>
      <c r="H89" s="11" t="s">
        <v>148</v>
      </c>
      <c r="I89" s="73">
        <v>12447678</v>
      </c>
      <c r="J89" s="73">
        <v>10049987</v>
      </c>
      <c r="K89" s="73">
        <v>2141103</v>
      </c>
      <c r="L89" s="73">
        <v>7908884</v>
      </c>
      <c r="M89" s="73">
        <v>0</v>
      </c>
      <c r="N89" s="73">
        <v>10306575</v>
      </c>
      <c r="O89" s="74">
        <v>1030658</v>
      </c>
      <c r="P89" s="68"/>
      <c r="Q89" s="73">
        <v>2397691</v>
      </c>
      <c r="R89" s="73">
        <v>0</v>
      </c>
      <c r="S89" s="75">
        <v>2397691</v>
      </c>
      <c r="T89" s="76">
        <v>6878226</v>
      </c>
      <c r="U89" s="77">
        <v>9275917</v>
      </c>
      <c r="V89" s="68"/>
      <c r="W89" s="78">
        <v>0.10000004851272125</v>
      </c>
      <c r="X89" s="78">
        <v>0.89999995148727874</v>
      </c>
    </row>
    <row r="90" spans="1:24" x14ac:dyDescent="0.25">
      <c r="A90" s="11">
        <v>2027</v>
      </c>
      <c r="B90" s="11" t="s">
        <v>12</v>
      </c>
      <c r="C90" s="71" t="s">
        <v>12</v>
      </c>
      <c r="D90" s="11" t="s">
        <v>474</v>
      </c>
      <c r="E90" s="72" t="s">
        <v>801</v>
      </c>
      <c r="F90" s="72" t="s">
        <v>801</v>
      </c>
      <c r="G90" s="11" t="s">
        <v>474</v>
      </c>
      <c r="H90" s="11" t="s">
        <v>149</v>
      </c>
      <c r="I90" s="73">
        <v>40542</v>
      </c>
      <c r="J90" s="73">
        <v>31992</v>
      </c>
      <c r="K90" s="73">
        <v>6816</v>
      </c>
      <c r="L90" s="73">
        <v>25176</v>
      </c>
      <c r="M90" s="73">
        <v>1478</v>
      </c>
      <c r="N90" s="73">
        <v>35204</v>
      </c>
      <c r="O90" s="74">
        <v>3520</v>
      </c>
      <c r="P90" s="68"/>
      <c r="Q90" s="73">
        <v>8550</v>
      </c>
      <c r="R90" s="73">
        <v>1478</v>
      </c>
      <c r="S90" s="75">
        <v>10028</v>
      </c>
      <c r="T90" s="76">
        <v>21656</v>
      </c>
      <c r="U90" s="77">
        <v>31684</v>
      </c>
      <c r="V90" s="68"/>
      <c r="W90" s="78">
        <v>9.998863765481196E-2</v>
      </c>
      <c r="X90" s="78">
        <v>0.90001136234518808</v>
      </c>
    </row>
    <row r="91" spans="1:24" x14ac:dyDescent="0.25">
      <c r="A91" s="11">
        <v>2027</v>
      </c>
      <c r="B91" s="11" t="s">
        <v>7</v>
      </c>
      <c r="C91" s="71" t="s">
        <v>7</v>
      </c>
      <c r="D91" s="11" t="s">
        <v>475</v>
      </c>
      <c r="E91" s="72" t="s">
        <v>801</v>
      </c>
      <c r="F91" s="72" t="s">
        <v>801</v>
      </c>
      <c r="G91" s="11" t="s">
        <v>475</v>
      </c>
      <c r="H91" s="11" t="s">
        <v>150</v>
      </c>
      <c r="I91" s="73">
        <v>338376</v>
      </c>
      <c r="J91" s="73">
        <v>264547</v>
      </c>
      <c r="K91" s="73">
        <v>56361</v>
      </c>
      <c r="L91" s="73">
        <v>208186</v>
      </c>
      <c r="M91" s="73">
        <v>2735</v>
      </c>
      <c r="N91" s="73">
        <v>284750</v>
      </c>
      <c r="O91" s="74">
        <v>28475</v>
      </c>
      <c r="P91" s="68"/>
      <c r="Q91" s="73">
        <v>73829</v>
      </c>
      <c r="R91" s="73">
        <v>2735</v>
      </c>
      <c r="S91" s="75">
        <v>76564</v>
      </c>
      <c r="T91" s="76">
        <v>179711</v>
      </c>
      <c r="U91" s="77">
        <v>256275</v>
      </c>
      <c r="V91" s="68"/>
      <c r="W91" s="78">
        <v>0.1</v>
      </c>
      <c r="X91" s="78">
        <v>0.9</v>
      </c>
    </row>
    <row r="92" spans="1:24" x14ac:dyDescent="0.25">
      <c r="A92" s="11">
        <v>2027</v>
      </c>
      <c r="B92" s="11" t="s">
        <v>5</v>
      </c>
      <c r="C92" s="71" t="s">
        <v>5</v>
      </c>
      <c r="D92" s="11" t="s">
        <v>476</v>
      </c>
      <c r="E92" s="72" t="s">
        <v>801</v>
      </c>
      <c r="F92" s="72" t="s">
        <v>801</v>
      </c>
      <c r="G92" s="11" t="s">
        <v>476</v>
      </c>
      <c r="H92" s="11" t="s">
        <v>151</v>
      </c>
      <c r="I92" s="73">
        <v>4264090</v>
      </c>
      <c r="J92" s="73">
        <v>3235780</v>
      </c>
      <c r="K92" s="73">
        <v>689369</v>
      </c>
      <c r="L92" s="73">
        <v>2546411</v>
      </c>
      <c r="M92" s="73">
        <v>6911</v>
      </c>
      <c r="N92" s="73">
        <v>3581632</v>
      </c>
      <c r="O92" s="74">
        <v>358163</v>
      </c>
      <c r="P92" s="68"/>
      <c r="Q92" s="73">
        <v>1028310</v>
      </c>
      <c r="R92" s="73">
        <v>6911</v>
      </c>
      <c r="S92" s="75">
        <v>1035221</v>
      </c>
      <c r="T92" s="76">
        <v>2188248</v>
      </c>
      <c r="U92" s="77">
        <v>3223469</v>
      </c>
      <c r="V92" s="68"/>
      <c r="W92" s="78">
        <v>9.9999944159533977E-2</v>
      </c>
      <c r="X92" s="78">
        <v>0.90000005584046605</v>
      </c>
    </row>
    <row r="93" spans="1:24" x14ac:dyDescent="0.25">
      <c r="A93" s="11">
        <v>2027</v>
      </c>
      <c r="B93" s="11" t="s">
        <v>7</v>
      </c>
      <c r="C93" s="71" t="s">
        <v>7</v>
      </c>
      <c r="D93" s="11" t="s">
        <v>477</v>
      </c>
      <c r="E93" s="72" t="s">
        <v>801</v>
      </c>
      <c r="F93" s="72" t="s">
        <v>801</v>
      </c>
      <c r="G93" s="11" t="s">
        <v>477</v>
      </c>
      <c r="H93" s="11" t="s">
        <v>152</v>
      </c>
      <c r="I93" s="73">
        <v>136551</v>
      </c>
      <c r="J93" s="73">
        <v>106758</v>
      </c>
      <c r="K93" s="73">
        <v>22744</v>
      </c>
      <c r="L93" s="73">
        <v>84014</v>
      </c>
      <c r="M93" s="73">
        <v>17131</v>
      </c>
      <c r="N93" s="73">
        <v>130938</v>
      </c>
      <c r="O93" s="74">
        <v>13094</v>
      </c>
      <c r="P93" s="68"/>
      <c r="Q93" s="73">
        <v>29793</v>
      </c>
      <c r="R93" s="73">
        <v>17131</v>
      </c>
      <c r="S93" s="75">
        <v>46924</v>
      </c>
      <c r="T93" s="76">
        <v>70920</v>
      </c>
      <c r="U93" s="77">
        <v>117844</v>
      </c>
      <c r="V93" s="68"/>
      <c r="W93" s="78">
        <v>0.100001527440468</v>
      </c>
      <c r="X93" s="78">
        <v>0.89999847255953203</v>
      </c>
    </row>
    <row r="94" spans="1:24" x14ac:dyDescent="0.25">
      <c r="A94" s="11">
        <v>2027</v>
      </c>
      <c r="B94" s="11" t="s">
        <v>8</v>
      </c>
      <c r="C94" s="71" t="s">
        <v>8</v>
      </c>
      <c r="D94" s="11" t="s">
        <v>478</v>
      </c>
      <c r="E94" s="72" t="s">
        <v>801</v>
      </c>
      <c r="F94" s="72" t="s">
        <v>801</v>
      </c>
      <c r="G94" s="11" t="s">
        <v>478</v>
      </c>
      <c r="H94" s="11" t="s">
        <v>153</v>
      </c>
      <c r="I94" s="73">
        <v>177991</v>
      </c>
      <c r="J94" s="73">
        <v>140076</v>
      </c>
      <c r="K94" s="73">
        <v>29843</v>
      </c>
      <c r="L94" s="73">
        <v>110233</v>
      </c>
      <c r="M94" s="73">
        <v>15049</v>
      </c>
      <c r="N94" s="73">
        <v>163197</v>
      </c>
      <c r="O94" s="74">
        <v>16320</v>
      </c>
      <c r="P94" s="68"/>
      <c r="Q94" s="73">
        <v>37915</v>
      </c>
      <c r="R94" s="73">
        <v>15049</v>
      </c>
      <c r="S94" s="75">
        <v>52964</v>
      </c>
      <c r="T94" s="76">
        <v>93913</v>
      </c>
      <c r="U94" s="77">
        <v>146877</v>
      </c>
      <c r="V94" s="68"/>
      <c r="W94" s="78">
        <v>0.10000183826908583</v>
      </c>
      <c r="X94" s="78">
        <v>0.89999816173091418</v>
      </c>
    </row>
    <row r="95" spans="1:24" x14ac:dyDescent="0.25">
      <c r="A95" s="11">
        <v>2027</v>
      </c>
      <c r="B95" s="11" t="s">
        <v>6</v>
      </c>
      <c r="C95" s="71" t="s">
        <v>6</v>
      </c>
      <c r="D95" s="11" t="s">
        <v>479</v>
      </c>
      <c r="E95" s="72" t="s">
        <v>801</v>
      </c>
      <c r="F95" s="72" t="s">
        <v>801</v>
      </c>
      <c r="G95" s="11" t="s">
        <v>479</v>
      </c>
      <c r="H95" s="11" t="s">
        <v>154</v>
      </c>
      <c r="I95" s="73">
        <v>380505</v>
      </c>
      <c r="J95" s="73">
        <v>292097</v>
      </c>
      <c r="K95" s="73">
        <v>62230</v>
      </c>
      <c r="L95" s="73">
        <v>229867</v>
      </c>
      <c r="M95" s="73">
        <v>14317</v>
      </c>
      <c r="N95" s="73">
        <v>332592</v>
      </c>
      <c r="O95" s="74">
        <v>33259</v>
      </c>
      <c r="P95" s="68"/>
      <c r="Q95" s="73">
        <v>88408</v>
      </c>
      <c r="R95" s="73">
        <v>14317</v>
      </c>
      <c r="S95" s="75">
        <v>102725</v>
      </c>
      <c r="T95" s="76">
        <v>196608</v>
      </c>
      <c r="U95" s="77">
        <v>299333</v>
      </c>
      <c r="V95" s="68"/>
      <c r="W95" s="78">
        <v>9.999939866262568E-2</v>
      </c>
      <c r="X95" s="78">
        <v>0.90000060133737436</v>
      </c>
    </row>
    <row r="96" spans="1:24" x14ac:dyDescent="0.25">
      <c r="A96" s="11">
        <v>2027</v>
      </c>
      <c r="B96" s="11" t="s">
        <v>10</v>
      </c>
      <c r="C96" s="71" t="s">
        <v>10</v>
      </c>
      <c r="D96" s="11" t="s">
        <v>480</v>
      </c>
      <c r="E96" s="72" t="s">
        <v>801</v>
      </c>
      <c r="F96" s="72" t="s">
        <v>801</v>
      </c>
      <c r="G96" s="11" t="s">
        <v>480</v>
      </c>
      <c r="H96" s="11" t="s">
        <v>155</v>
      </c>
      <c r="I96" s="73">
        <v>216617</v>
      </c>
      <c r="J96" s="73">
        <v>174892</v>
      </c>
      <c r="K96" s="73">
        <v>37260</v>
      </c>
      <c r="L96" s="73">
        <v>137632</v>
      </c>
      <c r="M96" s="73">
        <v>0</v>
      </c>
      <c r="N96" s="73">
        <v>179357</v>
      </c>
      <c r="O96" s="74">
        <v>17936</v>
      </c>
      <c r="P96" s="68"/>
      <c r="Q96" s="73">
        <v>41725</v>
      </c>
      <c r="R96" s="73">
        <v>0</v>
      </c>
      <c r="S96" s="75">
        <v>41725</v>
      </c>
      <c r="T96" s="76">
        <v>119696</v>
      </c>
      <c r="U96" s="77">
        <v>161421</v>
      </c>
      <c r="V96" s="68"/>
      <c r="W96" s="78">
        <v>0.10000167264171457</v>
      </c>
      <c r="X96" s="78">
        <v>0.89999832735828544</v>
      </c>
    </row>
    <row r="97" spans="1:24" x14ac:dyDescent="0.25">
      <c r="A97" s="11">
        <v>2027</v>
      </c>
      <c r="B97" s="11" t="s">
        <v>7</v>
      </c>
      <c r="C97" s="71" t="s">
        <v>7</v>
      </c>
      <c r="D97" s="11" t="s">
        <v>481</v>
      </c>
      <c r="E97" s="72" t="s">
        <v>801</v>
      </c>
      <c r="F97" s="72" t="s">
        <v>801</v>
      </c>
      <c r="G97" s="11" t="s">
        <v>481</v>
      </c>
      <c r="H97" s="11" t="s">
        <v>156</v>
      </c>
      <c r="I97" s="73">
        <v>195690</v>
      </c>
      <c r="J97" s="73">
        <v>152993</v>
      </c>
      <c r="K97" s="73">
        <v>32595</v>
      </c>
      <c r="L97" s="73">
        <v>120398</v>
      </c>
      <c r="M97" s="73">
        <v>19070</v>
      </c>
      <c r="N97" s="73">
        <v>182165</v>
      </c>
      <c r="O97" s="74">
        <v>18217</v>
      </c>
      <c r="P97" s="68"/>
      <c r="Q97" s="73">
        <v>42697</v>
      </c>
      <c r="R97" s="73">
        <v>19070</v>
      </c>
      <c r="S97" s="75">
        <v>61767</v>
      </c>
      <c r="T97" s="76">
        <v>102181</v>
      </c>
      <c r="U97" s="77">
        <v>163948</v>
      </c>
      <c r="V97" s="68"/>
      <c r="W97" s="78">
        <v>0.10000274476436198</v>
      </c>
      <c r="X97" s="78">
        <v>0.89999725523563801</v>
      </c>
    </row>
    <row r="98" spans="1:24" x14ac:dyDescent="0.25">
      <c r="A98" s="11">
        <v>2027</v>
      </c>
      <c r="B98" s="11" t="s">
        <v>7</v>
      </c>
      <c r="C98" s="71" t="s">
        <v>7</v>
      </c>
      <c r="D98" s="11" t="s">
        <v>482</v>
      </c>
      <c r="E98" s="72" t="s">
        <v>801</v>
      </c>
      <c r="F98" s="72" t="s">
        <v>801</v>
      </c>
      <c r="G98" s="11" t="s">
        <v>806</v>
      </c>
      <c r="H98" s="11" t="s">
        <v>157</v>
      </c>
      <c r="I98" s="73">
        <v>199820</v>
      </c>
      <c r="J98" s="73">
        <v>156222</v>
      </c>
      <c r="K98" s="73">
        <v>33282</v>
      </c>
      <c r="L98" s="73">
        <v>122940</v>
      </c>
      <c r="M98" s="73">
        <v>15783</v>
      </c>
      <c r="N98" s="73">
        <v>182321</v>
      </c>
      <c r="O98" s="74">
        <v>18232</v>
      </c>
      <c r="P98" s="68"/>
      <c r="Q98" s="73">
        <v>43598</v>
      </c>
      <c r="R98" s="73">
        <v>15783</v>
      </c>
      <c r="S98" s="75">
        <v>59381</v>
      </c>
      <c r="T98" s="76">
        <v>104708</v>
      </c>
      <c r="U98" s="77">
        <v>164089</v>
      </c>
      <c r="V98" s="68"/>
      <c r="W98" s="78">
        <v>9.9999451516830207E-2</v>
      </c>
      <c r="X98" s="78">
        <v>0.90000054848316979</v>
      </c>
    </row>
    <row r="99" spans="1:24" x14ac:dyDescent="0.25">
      <c r="A99" s="11">
        <v>2027</v>
      </c>
      <c r="B99" s="11" t="s">
        <v>12</v>
      </c>
      <c r="C99" s="71" t="s">
        <v>12</v>
      </c>
      <c r="D99" s="11" t="s">
        <v>483</v>
      </c>
      <c r="E99" s="72" t="s">
        <v>801</v>
      </c>
      <c r="F99" s="72" t="s">
        <v>801</v>
      </c>
      <c r="G99" s="11" t="s">
        <v>483</v>
      </c>
      <c r="H99" s="11" t="s">
        <v>158</v>
      </c>
      <c r="I99" s="73">
        <v>218371</v>
      </c>
      <c r="J99" s="73">
        <v>172318</v>
      </c>
      <c r="K99" s="73">
        <v>36712</v>
      </c>
      <c r="L99" s="73">
        <v>135606</v>
      </c>
      <c r="M99" s="73">
        <v>3327</v>
      </c>
      <c r="N99" s="73">
        <v>184986</v>
      </c>
      <c r="O99" s="74">
        <v>18499</v>
      </c>
      <c r="P99" s="68"/>
      <c r="Q99" s="73">
        <v>46053</v>
      </c>
      <c r="R99" s="73">
        <v>3327</v>
      </c>
      <c r="S99" s="75">
        <v>49380</v>
      </c>
      <c r="T99" s="76">
        <v>117107</v>
      </c>
      <c r="U99" s="77">
        <v>166487</v>
      </c>
      <c r="V99" s="68"/>
      <c r="W99" s="78">
        <v>0.10000216232579763</v>
      </c>
      <c r="X99" s="78">
        <v>0.89999783767420238</v>
      </c>
    </row>
    <row r="100" spans="1:24" x14ac:dyDescent="0.25">
      <c r="A100" s="11">
        <v>2027</v>
      </c>
      <c r="B100" s="11" t="s">
        <v>6</v>
      </c>
      <c r="C100" s="71" t="s">
        <v>6</v>
      </c>
      <c r="D100" s="11" t="s">
        <v>484</v>
      </c>
      <c r="E100" s="72" t="s">
        <v>801</v>
      </c>
      <c r="F100" s="72" t="s">
        <v>801</v>
      </c>
      <c r="G100" s="11" t="s">
        <v>484</v>
      </c>
      <c r="H100" s="11" t="s">
        <v>159</v>
      </c>
      <c r="I100" s="73">
        <v>317662</v>
      </c>
      <c r="J100" s="73">
        <v>243855</v>
      </c>
      <c r="K100" s="73">
        <v>51952</v>
      </c>
      <c r="L100" s="73">
        <v>191903</v>
      </c>
      <c r="M100" s="73">
        <v>13920</v>
      </c>
      <c r="N100" s="73">
        <v>279630</v>
      </c>
      <c r="O100" s="74">
        <v>27963</v>
      </c>
      <c r="P100" s="68"/>
      <c r="Q100" s="73">
        <v>73807</v>
      </c>
      <c r="R100" s="73">
        <v>13920</v>
      </c>
      <c r="S100" s="75">
        <v>87727</v>
      </c>
      <c r="T100" s="76">
        <v>163940</v>
      </c>
      <c r="U100" s="77">
        <v>251667</v>
      </c>
      <c r="V100" s="68"/>
      <c r="W100" s="78">
        <v>0.1</v>
      </c>
      <c r="X100" s="78">
        <v>0.9</v>
      </c>
    </row>
    <row r="101" spans="1:24" x14ac:dyDescent="0.25">
      <c r="A101" s="11">
        <v>2027</v>
      </c>
      <c r="B101" s="11" t="s">
        <v>12</v>
      </c>
      <c r="C101" s="71" t="s">
        <v>12</v>
      </c>
      <c r="D101" s="11" t="s">
        <v>485</v>
      </c>
      <c r="E101" s="72" t="s">
        <v>801</v>
      </c>
      <c r="F101" s="72" t="s">
        <v>801</v>
      </c>
      <c r="G101" s="11" t="s">
        <v>485</v>
      </c>
      <c r="H101" s="11" t="s">
        <v>160</v>
      </c>
      <c r="I101" s="73">
        <v>183459</v>
      </c>
      <c r="J101" s="73">
        <v>144768</v>
      </c>
      <c r="K101" s="73">
        <v>30842</v>
      </c>
      <c r="L101" s="73">
        <v>113926</v>
      </c>
      <c r="M101" s="73">
        <v>0</v>
      </c>
      <c r="N101" s="73">
        <v>152617</v>
      </c>
      <c r="O101" s="74">
        <v>15262</v>
      </c>
      <c r="P101" s="68"/>
      <c r="Q101" s="73">
        <v>38691</v>
      </c>
      <c r="R101" s="73">
        <v>0</v>
      </c>
      <c r="S101" s="75">
        <v>38691</v>
      </c>
      <c r="T101" s="76">
        <v>98664</v>
      </c>
      <c r="U101" s="77">
        <v>137355</v>
      </c>
      <c r="V101" s="68"/>
      <c r="W101" s="78">
        <v>0.1000019657050001</v>
      </c>
      <c r="X101" s="78">
        <v>0.89999803429499992</v>
      </c>
    </row>
    <row r="102" spans="1:24" x14ac:dyDescent="0.25">
      <c r="A102" s="11">
        <v>2027</v>
      </c>
      <c r="B102" s="11" t="s">
        <v>5</v>
      </c>
      <c r="C102" s="71" t="s">
        <v>5</v>
      </c>
      <c r="D102" s="11" t="s">
        <v>486</v>
      </c>
      <c r="E102" s="72" t="s">
        <v>801</v>
      </c>
      <c r="F102" s="72" t="s">
        <v>801</v>
      </c>
      <c r="G102" s="11" t="s">
        <v>486</v>
      </c>
      <c r="H102" s="11" t="s">
        <v>161</v>
      </c>
      <c r="I102" s="73">
        <v>126950</v>
      </c>
      <c r="J102" s="73">
        <v>96335</v>
      </c>
      <c r="K102" s="73">
        <v>20524</v>
      </c>
      <c r="L102" s="73">
        <v>75811</v>
      </c>
      <c r="M102" s="73">
        <v>4372</v>
      </c>
      <c r="N102" s="73">
        <v>110798</v>
      </c>
      <c r="O102" s="74">
        <v>11080</v>
      </c>
      <c r="P102" s="68"/>
      <c r="Q102" s="73">
        <v>30615</v>
      </c>
      <c r="R102" s="73">
        <v>4372</v>
      </c>
      <c r="S102" s="75">
        <v>34987</v>
      </c>
      <c r="T102" s="76">
        <v>64731</v>
      </c>
      <c r="U102" s="77">
        <v>99718</v>
      </c>
      <c r="V102" s="68"/>
      <c r="W102" s="78">
        <v>0.10000180508673442</v>
      </c>
      <c r="X102" s="78">
        <v>0.8999981949132656</v>
      </c>
    </row>
    <row r="103" spans="1:24" x14ac:dyDescent="0.25">
      <c r="A103" s="11">
        <v>2027</v>
      </c>
      <c r="B103" s="11" t="s">
        <v>8</v>
      </c>
      <c r="C103" s="71" t="s">
        <v>8</v>
      </c>
      <c r="D103" s="11" t="s">
        <v>487</v>
      </c>
      <c r="E103" s="72" t="s">
        <v>801</v>
      </c>
      <c r="F103" s="72" t="s">
        <v>801</v>
      </c>
      <c r="G103" s="11" t="s">
        <v>487</v>
      </c>
      <c r="H103" s="11" t="s">
        <v>162</v>
      </c>
      <c r="I103" s="73">
        <v>210301</v>
      </c>
      <c r="J103" s="73">
        <v>165503</v>
      </c>
      <c r="K103" s="73">
        <v>35260</v>
      </c>
      <c r="L103" s="73">
        <v>130243</v>
      </c>
      <c r="M103" s="73">
        <v>11848</v>
      </c>
      <c r="N103" s="73">
        <v>186889</v>
      </c>
      <c r="O103" s="74">
        <v>18689</v>
      </c>
      <c r="P103" s="68"/>
      <c r="Q103" s="73">
        <v>44798</v>
      </c>
      <c r="R103" s="73">
        <v>11848</v>
      </c>
      <c r="S103" s="75">
        <v>56646</v>
      </c>
      <c r="T103" s="76">
        <v>111554</v>
      </c>
      <c r="U103" s="77">
        <v>168200</v>
      </c>
      <c r="V103" s="68"/>
      <c r="W103" s="78">
        <v>0.10000053507697082</v>
      </c>
      <c r="X103" s="78">
        <v>0.89999946492302918</v>
      </c>
    </row>
    <row r="104" spans="1:24" x14ac:dyDescent="0.25">
      <c r="A104" s="11">
        <v>2027</v>
      </c>
      <c r="B104" s="11" t="s">
        <v>13</v>
      </c>
      <c r="C104" s="71" t="s">
        <v>13</v>
      </c>
      <c r="D104" s="11" t="s">
        <v>488</v>
      </c>
      <c r="E104" s="72" t="s">
        <v>801</v>
      </c>
      <c r="F104" s="72" t="s">
        <v>801</v>
      </c>
      <c r="G104" s="11" t="s">
        <v>488</v>
      </c>
      <c r="H104" s="11" t="s">
        <v>163</v>
      </c>
      <c r="I104" s="73">
        <v>309256</v>
      </c>
      <c r="J104" s="73">
        <v>245858</v>
      </c>
      <c r="K104" s="73">
        <v>52379</v>
      </c>
      <c r="L104" s="73">
        <v>193479</v>
      </c>
      <c r="M104" s="73">
        <v>0</v>
      </c>
      <c r="N104" s="73">
        <v>256877</v>
      </c>
      <c r="O104" s="74">
        <v>25688</v>
      </c>
      <c r="P104" s="68"/>
      <c r="Q104" s="73">
        <v>63398</v>
      </c>
      <c r="R104" s="73">
        <v>0</v>
      </c>
      <c r="S104" s="75">
        <v>63398</v>
      </c>
      <c r="T104" s="76">
        <v>167791</v>
      </c>
      <c r="U104" s="77">
        <v>231189</v>
      </c>
      <c r="V104" s="68"/>
      <c r="W104" s="78">
        <v>0.10000116787411874</v>
      </c>
      <c r="X104" s="78">
        <v>0.89999883212588128</v>
      </c>
    </row>
    <row r="105" spans="1:24" x14ac:dyDescent="0.25">
      <c r="A105" s="11">
        <v>2027</v>
      </c>
      <c r="B105" s="11" t="s">
        <v>5</v>
      </c>
      <c r="C105" s="71" t="s">
        <v>5</v>
      </c>
      <c r="D105" s="11" t="s">
        <v>489</v>
      </c>
      <c r="E105" s="72" t="s">
        <v>801</v>
      </c>
      <c r="F105" s="72" t="s">
        <v>801</v>
      </c>
      <c r="G105" s="11" t="s">
        <v>489</v>
      </c>
      <c r="H105" s="11" t="s">
        <v>164</v>
      </c>
      <c r="I105" s="73">
        <v>152315</v>
      </c>
      <c r="J105" s="73">
        <v>115584</v>
      </c>
      <c r="K105" s="73">
        <v>24625</v>
      </c>
      <c r="L105" s="73">
        <v>90959</v>
      </c>
      <c r="M105" s="73">
        <v>0</v>
      </c>
      <c r="N105" s="73">
        <v>127690</v>
      </c>
      <c r="O105" s="74">
        <v>12769</v>
      </c>
      <c r="P105" s="68"/>
      <c r="Q105" s="73">
        <v>36731</v>
      </c>
      <c r="R105" s="73">
        <v>0</v>
      </c>
      <c r="S105" s="75">
        <v>36731</v>
      </c>
      <c r="T105" s="76">
        <v>78190</v>
      </c>
      <c r="U105" s="77">
        <v>114921</v>
      </c>
      <c r="V105" s="68"/>
      <c r="W105" s="78">
        <v>0.1</v>
      </c>
      <c r="X105" s="78">
        <v>0.9</v>
      </c>
    </row>
    <row r="106" spans="1:24" x14ac:dyDescent="0.25">
      <c r="A106" s="11">
        <v>2027</v>
      </c>
      <c r="B106" s="11" t="s">
        <v>7</v>
      </c>
      <c r="C106" s="71" t="s">
        <v>7</v>
      </c>
      <c r="D106" s="11" t="s">
        <v>490</v>
      </c>
      <c r="E106" s="72" t="s">
        <v>801</v>
      </c>
      <c r="F106" s="72" t="s">
        <v>801</v>
      </c>
      <c r="G106" s="11" t="s">
        <v>490</v>
      </c>
      <c r="H106" s="11" t="s">
        <v>165</v>
      </c>
      <c r="I106" s="73">
        <v>215055</v>
      </c>
      <c r="J106" s="73">
        <v>168134</v>
      </c>
      <c r="K106" s="73">
        <v>35820</v>
      </c>
      <c r="L106" s="73">
        <v>132314</v>
      </c>
      <c r="M106" s="73">
        <v>20446</v>
      </c>
      <c r="N106" s="73">
        <v>199681</v>
      </c>
      <c r="O106" s="74">
        <v>19968</v>
      </c>
      <c r="P106" s="68"/>
      <c r="Q106" s="73">
        <v>46921</v>
      </c>
      <c r="R106" s="73">
        <v>20446</v>
      </c>
      <c r="S106" s="75">
        <v>67367</v>
      </c>
      <c r="T106" s="76">
        <v>112346</v>
      </c>
      <c r="U106" s="77">
        <v>179713</v>
      </c>
      <c r="V106" s="68"/>
      <c r="W106" s="78">
        <v>9.9999499201225958E-2</v>
      </c>
      <c r="X106" s="78">
        <v>0.90000050079877403</v>
      </c>
    </row>
    <row r="107" spans="1:24" x14ac:dyDescent="0.25">
      <c r="A107" s="11">
        <v>2027</v>
      </c>
      <c r="B107" s="11" t="s">
        <v>6</v>
      </c>
      <c r="C107" s="71" t="s">
        <v>6</v>
      </c>
      <c r="D107" s="11" t="s">
        <v>491</v>
      </c>
      <c r="E107" s="72" t="s">
        <v>801</v>
      </c>
      <c r="F107" s="72" t="s">
        <v>801</v>
      </c>
      <c r="G107" s="11" t="s">
        <v>491</v>
      </c>
      <c r="H107" s="11" t="s">
        <v>166</v>
      </c>
      <c r="I107" s="73">
        <v>244280</v>
      </c>
      <c r="J107" s="73">
        <v>187523</v>
      </c>
      <c r="K107" s="73">
        <v>39951</v>
      </c>
      <c r="L107" s="73">
        <v>147572</v>
      </c>
      <c r="M107" s="73">
        <v>20986</v>
      </c>
      <c r="N107" s="73">
        <v>225315</v>
      </c>
      <c r="O107" s="74">
        <v>22532</v>
      </c>
      <c r="P107" s="68"/>
      <c r="Q107" s="73">
        <v>56757</v>
      </c>
      <c r="R107" s="73">
        <v>20986</v>
      </c>
      <c r="S107" s="75">
        <v>77743</v>
      </c>
      <c r="T107" s="76">
        <v>125040</v>
      </c>
      <c r="U107" s="77">
        <v>202783</v>
      </c>
      <c r="V107" s="68"/>
      <c r="W107" s="78">
        <v>0.10000221911546057</v>
      </c>
      <c r="X107" s="78">
        <v>0.89999778088453941</v>
      </c>
    </row>
    <row r="108" spans="1:24" x14ac:dyDescent="0.25">
      <c r="A108" s="11">
        <v>2027</v>
      </c>
      <c r="B108" s="11" t="s">
        <v>9</v>
      </c>
      <c r="C108" s="71" t="s">
        <v>9</v>
      </c>
      <c r="D108" s="11" t="s">
        <v>492</v>
      </c>
      <c r="E108" s="72" t="s">
        <v>801</v>
      </c>
      <c r="F108" s="72" t="s">
        <v>801</v>
      </c>
      <c r="G108" s="11" t="s">
        <v>492</v>
      </c>
      <c r="H108" s="11" t="s">
        <v>167</v>
      </c>
      <c r="I108" s="73">
        <v>171852</v>
      </c>
      <c r="J108" s="73">
        <v>135976</v>
      </c>
      <c r="K108" s="73">
        <v>28969</v>
      </c>
      <c r="L108" s="73">
        <v>107007</v>
      </c>
      <c r="M108" s="73">
        <v>3334</v>
      </c>
      <c r="N108" s="73">
        <v>146217</v>
      </c>
      <c r="O108" s="74">
        <v>14622</v>
      </c>
      <c r="P108" s="68"/>
      <c r="Q108" s="73">
        <v>35876</v>
      </c>
      <c r="R108" s="73">
        <v>3334</v>
      </c>
      <c r="S108" s="75">
        <v>39210</v>
      </c>
      <c r="T108" s="76">
        <v>92385</v>
      </c>
      <c r="U108" s="77">
        <v>131595</v>
      </c>
      <c r="V108" s="68"/>
      <c r="W108" s="78">
        <v>0.10000205174500913</v>
      </c>
      <c r="X108" s="78">
        <v>0.89999794825499091</v>
      </c>
    </row>
    <row r="109" spans="1:24" x14ac:dyDescent="0.25">
      <c r="A109" s="11">
        <v>2027</v>
      </c>
      <c r="B109" s="11" t="s">
        <v>12</v>
      </c>
      <c r="C109" s="71" t="s">
        <v>12</v>
      </c>
      <c r="D109" s="11" t="s">
        <v>493</v>
      </c>
      <c r="E109" s="72" t="s">
        <v>801</v>
      </c>
      <c r="F109" s="72" t="s">
        <v>801</v>
      </c>
      <c r="G109" s="11" t="s">
        <v>493</v>
      </c>
      <c r="H109" s="11" t="s">
        <v>168</v>
      </c>
      <c r="I109" s="73">
        <v>73264</v>
      </c>
      <c r="J109" s="73">
        <v>57813</v>
      </c>
      <c r="K109" s="73">
        <v>12317</v>
      </c>
      <c r="L109" s="73">
        <v>45496</v>
      </c>
      <c r="M109" s="73">
        <v>0</v>
      </c>
      <c r="N109" s="73">
        <v>60947</v>
      </c>
      <c r="O109" s="74">
        <v>6095</v>
      </c>
      <c r="P109" s="68"/>
      <c r="Q109" s="73">
        <v>15451</v>
      </c>
      <c r="R109" s="73">
        <v>0</v>
      </c>
      <c r="S109" s="75">
        <v>15451</v>
      </c>
      <c r="T109" s="76">
        <v>39401</v>
      </c>
      <c r="U109" s="77">
        <v>54852</v>
      </c>
      <c r="V109" s="68"/>
      <c r="W109" s="78">
        <v>0.10000492230954763</v>
      </c>
      <c r="X109" s="78">
        <v>0.89999507769045239</v>
      </c>
    </row>
    <row r="110" spans="1:24" x14ac:dyDescent="0.25">
      <c r="A110" s="11">
        <v>2027</v>
      </c>
      <c r="B110" s="11" t="s">
        <v>6</v>
      </c>
      <c r="C110" s="71" t="s">
        <v>6</v>
      </c>
      <c r="D110" s="11" t="s">
        <v>494</v>
      </c>
      <c r="E110" s="72" t="s">
        <v>801</v>
      </c>
      <c r="F110" s="72" t="s">
        <v>801</v>
      </c>
      <c r="G110" s="11" t="s">
        <v>494</v>
      </c>
      <c r="H110" s="11" t="s">
        <v>169</v>
      </c>
      <c r="I110" s="73">
        <v>474745</v>
      </c>
      <c r="J110" s="73">
        <v>364440</v>
      </c>
      <c r="K110" s="73">
        <v>77642</v>
      </c>
      <c r="L110" s="73">
        <v>286798</v>
      </c>
      <c r="M110" s="73">
        <v>0</v>
      </c>
      <c r="N110" s="73">
        <v>397103</v>
      </c>
      <c r="O110" s="74">
        <v>39710</v>
      </c>
      <c r="P110" s="68"/>
      <c r="Q110" s="73">
        <v>110305</v>
      </c>
      <c r="R110" s="73">
        <v>0</v>
      </c>
      <c r="S110" s="75">
        <v>110305</v>
      </c>
      <c r="T110" s="76">
        <v>247088</v>
      </c>
      <c r="U110" s="77">
        <v>357393</v>
      </c>
      <c r="V110" s="68"/>
      <c r="W110" s="78">
        <v>9.9999244528497649E-2</v>
      </c>
      <c r="X110" s="78">
        <v>0.90000075547150238</v>
      </c>
    </row>
    <row r="111" spans="1:24" x14ac:dyDescent="0.25">
      <c r="A111" s="11">
        <v>2027</v>
      </c>
      <c r="B111" s="11" t="s">
        <v>10</v>
      </c>
      <c r="C111" s="71" t="s">
        <v>10</v>
      </c>
      <c r="D111" s="11" t="s">
        <v>495</v>
      </c>
      <c r="E111" s="72" t="s">
        <v>801</v>
      </c>
      <c r="F111" s="72" t="s">
        <v>801</v>
      </c>
      <c r="G111" s="11" t="s">
        <v>495</v>
      </c>
      <c r="H111" s="11" t="s">
        <v>170</v>
      </c>
      <c r="I111" s="73">
        <v>155236</v>
      </c>
      <c r="J111" s="73">
        <v>125334</v>
      </c>
      <c r="K111" s="73">
        <v>26702</v>
      </c>
      <c r="L111" s="73">
        <v>98632</v>
      </c>
      <c r="M111" s="73">
        <v>8548</v>
      </c>
      <c r="N111" s="73">
        <v>137082</v>
      </c>
      <c r="O111" s="74">
        <v>13708</v>
      </c>
      <c r="P111" s="68"/>
      <c r="Q111" s="73">
        <v>29902</v>
      </c>
      <c r="R111" s="73">
        <v>8548</v>
      </c>
      <c r="S111" s="75">
        <v>38450</v>
      </c>
      <c r="T111" s="76">
        <v>84924</v>
      </c>
      <c r="U111" s="77">
        <v>123374</v>
      </c>
      <c r="V111" s="68"/>
      <c r="W111" s="78">
        <v>9.999854101924395E-2</v>
      </c>
      <c r="X111" s="78">
        <v>0.90000145898075601</v>
      </c>
    </row>
    <row r="112" spans="1:24" x14ac:dyDescent="0.25">
      <c r="A112" s="11">
        <v>2027</v>
      </c>
      <c r="B112" s="11" t="s">
        <v>13</v>
      </c>
      <c r="C112" s="71" t="s">
        <v>13</v>
      </c>
      <c r="D112" s="11" t="s">
        <v>496</v>
      </c>
      <c r="E112" s="72" t="s">
        <v>801</v>
      </c>
      <c r="F112" s="72" t="s">
        <v>801</v>
      </c>
      <c r="G112" s="11" t="s">
        <v>496</v>
      </c>
      <c r="H112" s="11" t="s">
        <v>171</v>
      </c>
      <c r="I112" s="73">
        <v>621878</v>
      </c>
      <c r="J112" s="73">
        <v>494391</v>
      </c>
      <c r="K112" s="73">
        <v>105328</v>
      </c>
      <c r="L112" s="73">
        <v>389063</v>
      </c>
      <c r="M112" s="73">
        <v>0</v>
      </c>
      <c r="N112" s="73">
        <v>516550</v>
      </c>
      <c r="O112" s="74">
        <v>51655</v>
      </c>
      <c r="P112" s="68"/>
      <c r="Q112" s="73">
        <v>127487</v>
      </c>
      <c r="R112" s="73">
        <v>0</v>
      </c>
      <c r="S112" s="75">
        <v>127487</v>
      </c>
      <c r="T112" s="76">
        <v>337408</v>
      </c>
      <c r="U112" s="77">
        <v>464895</v>
      </c>
      <c r="V112" s="68"/>
      <c r="W112" s="78">
        <v>0.1</v>
      </c>
      <c r="X112" s="78">
        <v>0.9</v>
      </c>
    </row>
    <row r="113" spans="1:24" x14ac:dyDescent="0.25">
      <c r="A113" s="11">
        <v>2027</v>
      </c>
      <c r="B113" s="11" t="s">
        <v>7</v>
      </c>
      <c r="C113" s="71" t="s">
        <v>7</v>
      </c>
      <c r="D113" s="11" t="s">
        <v>497</v>
      </c>
      <c r="E113" s="72" t="s">
        <v>801</v>
      </c>
      <c r="F113" s="72" t="s">
        <v>801</v>
      </c>
      <c r="G113" s="11" t="s">
        <v>497</v>
      </c>
      <c r="H113" s="11" t="s">
        <v>172</v>
      </c>
      <c r="I113" s="73">
        <v>441860</v>
      </c>
      <c r="J113" s="73">
        <v>345453</v>
      </c>
      <c r="K113" s="73">
        <v>73597</v>
      </c>
      <c r="L113" s="73">
        <v>271856</v>
      </c>
      <c r="M113" s="73">
        <v>0</v>
      </c>
      <c r="N113" s="73">
        <v>368263</v>
      </c>
      <c r="O113" s="74">
        <v>36826</v>
      </c>
      <c r="P113" s="68"/>
      <c r="Q113" s="73">
        <v>96407</v>
      </c>
      <c r="R113" s="73">
        <v>0</v>
      </c>
      <c r="S113" s="75">
        <v>96407</v>
      </c>
      <c r="T113" s="76">
        <v>235030</v>
      </c>
      <c r="U113" s="77">
        <v>331437</v>
      </c>
      <c r="V113" s="68"/>
      <c r="W113" s="78">
        <v>9.9999185364807217E-2</v>
      </c>
      <c r="X113" s="78">
        <v>0.90000081463519277</v>
      </c>
    </row>
    <row r="114" spans="1:24" x14ac:dyDescent="0.25">
      <c r="A114" s="11">
        <v>2027</v>
      </c>
      <c r="B114" s="11" t="s">
        <v>6</v>
      </c>
      <c r="C114" s="71" t="s">
        <v>6</v>
      </c>
      <c r="D114" s="11" t="s">
        <v>498</v>
      </c>
      <c r="E114" s="72" t="s">
        <v>801</v>
      </c>
      <c r="F114" s="72" t="s">
        <v>801</v>
      </c>
      <c r="G114" s="11" t="s">
        <v>498</v>
      </c>
      <c r="H114" s="11" t="s">
        <v>173</v>
      </c>
      <c r="I114" s="73">
        <v>1389420</v>
      </c>
      <c r="J114" s="73">
        <v>1066595</v>
      </c>
      <c r="K114" s="73">
        <v>227233</v>
      </c>
      <c r="L114" s="73">
        <v>839362</v>
      </c>
      <c r="M114" s="73">
        <v>45223</v>
      </c>
      <c r="N114" s="73">
        <v>1207410</v>
      </c>
      <c r="O114" s="74">
        <v>120741</v>
      </c>
      <c r="P114" s="68"/>
      <c r="Q114" s="73">
        <v>322825</v>
      </c>
      <c r="R114" s="73">
        <v>45223</v>
      </c>
      <c r="S114" s="75">
        <v>368048</v>
      </c>
      <c r="T114" s="76">
        <v>718621</v>
      </c>
      <c r="U114" s="77">
        <v>1086669</v>
      </c>
      <c r="V114" s="68"/>
      <c r="W114" s="78">
        <v>0.1</v>
      </c>
      <c r="X114" s="78">
        <v>0.9</v>
      </c>
    </row>
    <row r="115" spans="1:24" x14ac:dyDescent="0.25">
      <c r="A115" s="11">
        <v>2027</v>
      </c>
      <c r="B115" s="11" t="s">
        <v>13</v>
      </c>
      <c r="C115" s="71" t="s">
        <v>13</v>
      </c>
      <c r="D115" s="11" t="s">
        <v>499</v>
      </c>
      <c r="E115" s="72" t="s">
        <v>801</v>
      </c>
      <c r="F115" s="72" t="s">
        <v>801</v>
      </c>
      <c r="G115" s="11" t="s">
        <v>499</v>
      </c>
      <c r="H115" s="11" t="s">
        <v>174</v>
      </c>
      <c r="I115" s="73">
        <v>839736</v>
      </c>
      <c r="J115" s="73">
        <v>667589</v>
      </c>
      <c r="K115" s="73">
        <v>142227</v>
      </c>
      <c r="L115" s="73">
        <v>525362</v>
      </c>
      <c r="M115" s="73">
        <v>0</v>
      </c>
      <c r="N115" s="73">
        <v>697509</v>
      </c>
      <c r="O115" s="74">
        <v>69751</v>
      </c>
      <c r="P115" s="68"/>
      <c r="Q115" s="73">
        <v>172147</v>
      </c>
      <c r="R115" s="73">
        <v>0</v>
      </c>
      <c r="S115" s="75">
        <v>172147</v>
      </c>
      <c r="T115" s="76">
        <v>455611</v>
      </c>
      <c r="U115" s="77">
        <v>627758</v>
      </c>
      <c r="V115" s="68"/>
      <c r="W115" s="78">
        <v>0.10000014336732573</v>
      </c>
      <c r="X115" s="78">
        <v>0.89999985663267423</v>
      </c>
    </row>
    <row r="116" spans="1:24" x14ac:dyDescent="0.25">
      <c r="A116" s="11">
        <v>2027</v>
      </c>
      <c r="B116" s="11" t="s">
        <v>12</v>
      </c>
      <c r="C116" s="71" t="s">
        <v>12</v>
      </c>
      <c r="D116" s="11" t="s">
        <v>500</v>
      </c>
      <c r="E116" s="72" t="s">
        <v>801</v>
      </c>
      <c r="F116" s="72" t="s">
        <v>801</v>
      </c>
      <c r="G116" s="11" t="s">
        <v>500</v>
      </c>
      <c r="H116" s="11" t="s">
        <v>175</v>
      </c>
      <c r="I116" s="73">
        <v>176775</v>
      </c>
      <c r="J116" s="73">
        <v>139494</v>
      </c>
      <c r="K116" s="73">
        <v>29719</v>
      </c>
      <c r="L116" s="73">
        <v>109775</v>
      </c>
      <c r="M116" s="73">
        <v>295</v>
      </c>
      <c r="N116" s="73">
        <v>147351</v>
      </c>
      <c r="O116" s="74">
        <v>14735</v>
      </c>
      <c r="P116" s="68"/>
      <c r="Q116" s="73">
        <v>37281</v>
      </c>
      <c r="R116" s="73">
        <v>295</v>
      </c>
      <c r="S116" s="75">
        <v>37576</v>
      </c>
      <c r="T116" s="76">
        <v>95040</v>
      </c>
      <c r="U116" s="77">
        <v>132616</v>
      </c>
      <c r="V116" s="68"/>
      <c r="W116" s="78">
        <v>9.9999321348345105E-2</v>
      </c>
      <c r="X116" s="78">
        <v>0.9000006786516549</v>
      </c>
    </row>
    <row r="117" spans="1:24" x14ac:dyDescent="0.25">
      <c r="A117" s="11">
        <v>2027</v>
      </c>
      <c r="B117" s="11" t="s">
        <v>11</v>
      </c>
      <c r="C117" s="71" t="s">
        <v>11</v>
      </c>
      <c r="D117" s="11" t="s">
        <v>501</v>
      </c>
      <c r="E117" s="72" t="s">
        <v>801</v>
      </c>
      <c r="F117" s="72" t="s">
        <v>801</v>
      </c>
      <c r="G117" s="11" t="s">
        <v>501</v>
      </c>
      <c r="H117" s="11" t="s">
        <v>176</v>
      </c>
      <c r="I117" s="73">
        <v>179614</v>
      </c>
      <c r="J117" s="73">
        <v>139162</v>
      </c>
      <c r="K117" s="73">
        <v>29648</v>
      </c>
      <c r="L117" s="73">
        <v>109514</v>
      </c>
      <c r="M117" s="73">
        <v>3443</v>
      </c>
      <c r="N117" s="73">
        <v>153409</v>
      </c>
      <c r="O117" s="74">
        <v>15341</v>
      </c>
      <c r="P117" s="68"/>
      <c r="Q117" s="73">
        <v>40452</v>
      </c>
      <c r="R117" s="73">
        <v>3443</v>
      </c>
      <c r="S117" s="75">
        <v>43895</v>
      </c>
      <c r="T117" s="76">
        <v>94173</v>
      </c>
      <c r="U117" s="77">
        <v>138068</v>
      </c>
      <c r="V117" s="68"/>
      <c r="W117" s="78">
        <v>0.10000065185223814</v>
      </c>
      <c r="X117" s="78">
        <v>0.89999934814776184</v>
      </c>
    </row>
    <row r="118" spans="1:24" x14ac:dyDescent="0.25">
      <c r="A118" s="11">
        <v>2027</v>
      </c>
      <c r="B118" s="11" t="s">
        <v>7</v>
      </c>
      <c r="C118" s="71" t="s">
        <v>7</v>
      </c>
      <c r="D118" s="11" t="s">
        <v>502</v>
      </c>
      <c r="E118" s="72" t="s">
        <v>801</v>
      </c>
      <c r="F118" s="72" t="s">
        <v>801</v>
      </c>
      <c r="G118" s="11" t="s">
        <v>502</v>
      </c>
      <c r="H118" s="11" t="s">
        <v>177</v>
      </c>
      <c r="I118" s="73">
        <v>326979</v>
      </c>
      <c r="J118" s="73">
        <v>255637</v>
      </c>
      <c r="K118" s="73">
        <v>54462</v>
      </c>
      <c r="L118" s="73">
        <v>201175</v>
      </c>
      <c r="M118" s="73">
        <v>9171</v>
      </c>
      <c r="N118" s="73">
        <v>281688</v>
      </c>
      <c r="O118" s="74">
        <v>28169</v>
      </c>
      <c r="P118" s="68"/>
      <c r="Q118" s="73">
        <v>71342</v>
      </c>
      <c r="R118" s="73">
        <v>9171</v>
      </c>
      <c r="S118" s="75">
        <v>80513</v>
      </c>
      <c r="T118" s="76">
        <v>173006</v>
      </c>
      <c r="U118" s="77">
        <v>253519</v>
      </c>
      <c r="V118" s="68"/>
      <c r="W118" s="78">
        <v>0.10000071000539604</v>
      </c>
      <c r="X118" s="78">
        <v>0.89999928999460399</v>
      </c>
    </row>
    <row r="119" spans="1:24" x14ac:dyDescent="0.25">
      <c r="A119" s="11">
        <v>2027</v>
      </c>
      <c r="B119" s="11" t="s">
        <v>11</v>
      </c>
      <c r="C119" s="71" t="s">
        <v>11</v>
      </c>
      <c r="D119" s="11" t="s">
        <v>503</v>
      </c>
      <c r="E119" s="72" t="s">
        <v>801</v>
      </c>
      <c r="F119" s="72" t="s">
        <v>801</v>
      </c>
      <c r="G119" s="11" t="s">
        <v>503</v>
      </c>
      <c r="H119" s="11" t="s">
        <v>178</v>
      </c>
      <c r="I119" s="73">
        <v>171112</v>
      </c>
      <c r="J119" s="73">
        <v>132576</v>
      </c>
      <c r="K119" s="73">
        <v>28245</v>
      </c>
      <c r="L119" s="73">
        <v>104331</v>
      </c>
      <c r="M119" s="73">
        <v>6325</v>
      </c>
      <c r="N119" s="73">
        <v>149192</v>
      </c>
      <c r="O119" s="74">
        <v>14919</v>
      </c>
      <c r="P119" s="68"/>
      <c r="Q119" s="73">
        <v>38536</v>
      </c>
      <c r="R119" s="73">
        <v>6325</v>
      </c>
      <c r="S119" s="75">
        <v>44861</v>
      </c>
      <c r="T119" s="76">
        <v>89412</v>
      </c>
      <c r="U119" s="77">
        <v>134273</v>
      </c>
      <c r="V119" s="68"/>
      <c r="W119" s="78">
        <v>9.9998659445546673E-2</v>
      </c>
      <c r="X119" s="78">
        <v>0.90000134055445336</v>
      </c>
    </row>
    <row r="120" spans="1:24" x14ac:dyDescent="0.25">
      <c r="A120" s="11">
        <v>2027</v>
      </c>
      <c r="B120" s="11" t="s">
        <v>10</v>
      </c>
      <c r="C120" s="71" t="s">
        <v>10</v>
      </c>
      <c r="D120" s="11" t="s">
        <v>504</v>
      </c>
      <c r="E120" s="72" t="s">
        <v>801</v>
      </c>
      <c r="F120" s="72" t="s">
        <v>801</v>
      </c>
      <c r="G120" s="11" t="s">
        <v>504</v>
      </c>
      <c r="H120" s="11" t="s">
        <v>179</v>
      </c>
      <c r="I120" s="73">
        <v>594891</v>
      </c>
      <c r="J120" s="73">
        <v>480302</v>
      </c>
      <c r="K120" s="73">
        <v>102326</v>
      </c>
      <c r="L120" s="73">
        <v>377976</v>
      </c>
      <c r="M120" s="73">
        <v>0</v>
      </c>
      <c r="N120" s="73">
        <v>492565</v>
      </c>
      <c r="O120" s="74">
        <v>49257</v>
      </c>
      <c r="P120" s="68"/>
      <c r="Q120" s="73">
        <v>114589</v>
      </c>
      <c r="R120" s="73">
        <v>0</v>
      </c>
      <c r="S120" s="75">
        <v>114589</v>
      </c>
      <c r="T120" s="76">
        <v>328719</v>
      </c>
      <c r="U120" s="77">
        <v>443308</v>
      </c>
      <c r="V120" s="68"/>
      <c r="W120" s="78">
        <v>0.10000101509445454</v>
      </c>
      <c r="X120" s="78">
        <v>0.89999898490554542</v>
      </c>
    </row>
    <row r="121" spans="1:24" x14ac:dyDescent="0.25">
      <c r="A121" s="11">
        <v>2027</v>
      </c>
      <c r="B121" s="11" t="s">
        <v>6</v>
      </c>
      <c r="C121" s="71" t="s">
        <v>6</v>
      </c>
      <c r="D121" s="11" t="s">
        <v>505</v>
      </c>
      <c r="E121" s="72" t="s">
        <v>801</v>
      </c>
      <c r="F121" s="72" t="s">
        <v>801</v>
      </c>
      <c r="G121" s="11" t="s">
        <v>505</v>
      </c>
      <c r="H121" s="11" t="s">
        <v>180</v>
      </c>
      <c r="I121" s="73">
        <v>69927</v>
      </c>
      <c r="J121" s="73">
        <v>53679</v>
      </c>
      <c r="K121" s="73">
        <v>11436</v>
      </c>
      <c r="L121" s="73">
        <v>42243</v>
      </c>
      <c r="M121" s="73">
        <v>3401</v>
      </c>
      <c r="N121" s="73">
        <v>61892</v>
      </c>
      <c r="O121" s="74">
        <v>6189</v>
      </c>
      <c r="P121" s="68"/>
      <c r="Q121" s="73">
        <v>16248</v>
      </c>
      <c r="R121" s="73">
        <v>3401</v>
      </c>
      <c r="S121" s="75">
        <v>19649</v>
      </c>
      <c r="T121" s="76">
        <v>36054</v>
      </c>
      <c r="U121" s="77">
        <v>55703</v>
      </c>
      <c r="V121" s="68"/>
      <c r="W121" s="78">
        <v>9.9996768564596397E-2</v>
      </c>
      <c r="X121" s="78">
        <v>0.90000323143540362</v>
      </c>
    </row>
    <row r="122" spans="1:24" x14ac:dyDescent="0.25">
      <c r="A122" s="11">
        <v>2027</v>
      </c>
      <c r="B122" s="11" t="s">
        <v>7</v>
      </c>
      <c r="C122" s="71" t="s">
        <v>7</v>
      </c>
      <c r="D122" s="11" t="s">
        <v>506</v>
      </c>
      <c r="E122" s="72" t="s">
        <v>801</v>
      </c>
      <c r="F122" s="72" t="s">
        <v>801</v>
      </c>
      <c r="G122" s="11" t="s">
        <v>506</v>
      </c>
      <c r="H122" s="11" t="s">
        <v>181</v>
      </c>
      <c r="I122" s="73">
        <v>264339</v>
      </c>
      <c r="J122" s="73">
        <v>206664</v>
      </c>
      <c r="K122" s="73">
        <v>44029</v>
      </c>
      <c r="L122" s="73">
        <v>162635</v>
      </c>
      <c r="M122" s="73">
        <v>0</v>
      </c>
      <c r="N122" s="73">
        <v>220310</v>
      </c>
      <c r="O122" s="74">
        <v>22031</v>
      </c>
      <c r="P122" s="68"/>
      <c r="Q122" s="73">
        <v>57675</v>
      </c>
      <c r="R122" s="73">
        <v>0</v>
      </c>
      <c r="S122" s="75">
        <v>57675</v>
      </c>
      <c r="T122" s="76">
        <v>140604</v>
      </c>
      <c r="U122" s="77">
        <v>198279</v>
      </c>
      <c r="V122" s="68"/>
      <c r="W122" s="78">
        <v>0.1</v>
      </c>
      <c r="X122" s="78">
        <v>0.9</v>
      </c>
    </row>
    <row r="123" spans="1:24" x14ac:dyDescent="0.25">
      <c r="A123" s="11">
        <v>2027</v>
      </c>
      <c r="B123" s="11" t="s">
        <v>12</v>
      </c>
      <c r="C123" s="71" t="s">
        <v>12</v>
      </c>
      <c r="D123" s="11" t="s">
        <v>507</v>
      </c>
      <c r="E123" s="72" t="s">
        <v>801</v>
      </c>
      <c r="F123" s="72" t="s">
        <v>801</v>
      </c>
      <c r="G123" s="11" t="s">
        <v>507</v>
      </c>
      <c r="H123" s="11" t="s">
        <v>182</v>
      </c>
      <c r="I123" s="73">
        <v>762182</v>
      </c>
      <c r="J123" s="73">
        <v>601441</v>
      </c>
      <c r="K123" s="73">
        <v>128135</v>
      </c>
      <c r="L123" s="73">
        <v>473306</v>
      </c>
      <c r="M123" s="73">
        <v>0</v>
      </c>
      <c r="N123" s="73">
        <v>634047</v>
      </c>
      <c r="O123" s="74">
        <v>63405</v>
      </c>
      <c r="P123" s="68"/>
      <c r="Q123" s="73">
        <v>160741</v>
      </c>
      <c r="R123" s="73">
        <v>0</v>
      </c>
      <c r="S123" s="75">
        <v>160741</v>
      </c>
      <c r="T123" s="76">
        <v>409901</v>
      </c>
      <c r="U123" s="77">
        <v>570642</v>
      </c>
      <c r="V123" s="68"/>
      <c r="W123" s="78">
        <v>0.100000473151044</v>
      </c>
      <c r="X123" s="78">
        <v>0.89999952684895601</v>
      </c>
    </row>
    <row r="124" spans="1:24" x14ac:dyDescent="0.25">
      <c r="A124" s="11">
        <v>2027</v>
      </c>
      <c r="B124" s="11" t="s">
        <v>10</v>
      </c>
      <c r="C124" s="71" t="s">
        <v>10</v>
      </c>
      <c r="D124" s="11" t="s">
        <v>508</v>
      </c>
      <c r="E124" s="72" t="s">
        <v>801</v>
      </c>
      <c r="F124" s="72" t="s">
        <v>801</v>
      </c>
      <c r="G124" s="11" t="s">
        <v>508</v>
      </c>
      <c r="H124" s="11" t="s">
        <v>183</v>
      </c>
      <c r="I124" s="73">
        <v>118316</v>
      </c>
      <c r="J124" s="73">
        <v>95526</v>
      </c>
      <c r="K124" s="73">
        <v>20351</v>
      </c>
      <c r="L124" s="73">
        <v>75175</v>
      </c>
      <c r="M124" s="73">
        <v>390</v>
      </c>
      <c r="N124" s="73">
        <v>98355</v>
      </c>
      <c r="O124" s="74">
        <v>9836</v>
      </c>
      <c r="P124" s="68"/>
      <c r="Q124" s="73">
        <v>22790</v>
      </c>
      <c r="R124" s="73">
        <v>390</v>
      </c>
      <c r="S124" s="75">
        <v>23180</v>
      </c>
      <c r="T124" s="76">
        <v>65339</v>
      </c>
      <c r="U124" s="77">
        <v>88519</v>
      </c>
      <c r="V124" s="68"/>
      <c r="W124" s="78">
        <v>0.10000508362564181</v>
      </c>
      <c r="X124" s="78">
        <v>0.89999491637435824</v>
      </c>
    </row>
    <row r="125" spans="1:24" x14ac:dyDescent="0.25">
      <c r="A125" s="11">
        <v>2027</v>
      </c>
      <c r="B125" s="11" t="s">
        <v>7</v>
      </c>
      <c r="C125" s="71" t="s">
        <v>7</v>
      </c>
      <c r="D125" s="11" t="s">
        <v>509</v>
      </c>
      <c r="E125" s="72" t="s">
        <v>801</v>
      </c>
      <c r="F125" s="72" t="s">
        <v>801</v>
      </c>
      <c r="G125" s="11" t="s">
        <v>509</v>
      </c>
      <c r="H125" s="11" t="s">
        <v>184</v>
      </c>
      <c r="I125" s="73">
        <v>92971</v>
      </c>
      <c r="J125" s="73">
        <v>72686</v>
      </c>
      <c r="K125" s="73">
        <v>15486</v>
      </c>
      <c r="L125" s="73">
        <v>57200</v>
      </c>
      <c r="M125" s="73">
        <v>12404</v>
      </c>
      <c r="N125" s="73">
        <v>89889</v>
      </c>
      <c r="O125" s="74">
        <v>8989</v>
      </c>
      <c r="P125" s="68"/>
      <c r="Q125" s="73">
        <v>20285</v>
      </c>
      <c r="R125" s="73">
        <v>12404</v>
      </c>
      <c r="S125" s="75">
        <v>32689</v>
      </c>
      <c r="T125" s="76">
        <v>48211</v>
      </c>
      <c r="U125" s="77">
        <v>80900</v>
      </c>
      <c r="V125" s="68"/>
      <c r="W125" s="78">
        <v>0.1000011124831737</v>
      </c>
      <c r="X125" s="78">
        <v>0.89999888751682633</v>
      </c>
    </row>
    <row r="126" spans="1:24" x14ac:dyDescent="0.25">
      <c r="A126" s="11">
        <v>2027</v>
      </c>
      <c r="B126" s="11" t="s">
        <v>6</v>
      </c>
      <c r="C126" s="71" t="s">
        <v>6</v>
      </c>
      <c r="D126" s="11" t="s">
        <v>510</v>
      </c>
      <c r="E126" s="72" t="s">
        <v>801</v>
      </c>
      <c r="F126" s="72" t="s">
        <v>801</v>
      </c>
      <c r="G126" s="11" t="s">
        <v>510</v>
      </c>
      <c r="H126" s="11" t="s">
        <v>185</v>
      </c>
      <c r="I126" s="73">
        <v>154111</v>
      </c>
      <c r="J126" s="73">
        <v>118304</v>
      </c>
      <c r="K126" s="73">
        <v>25204</v>
      </c>
      <c r="L126" s="73">
        <v>93100</v>
      </c>
      <c r="M126" s="73">
        <v>0</v>
      </c>
      <c r="N126" s="73">
        <v>128907</v>
      </c>
      <c r="O126" s="74">
        <v>12891</v>
      </c>
      <c r="P126" s="68"/>
      <c r="Q126" s="73">
        <v>35807</v>
      </c>
      <c r="R126" s="73">
        <v>0</v>
      </c>
      <c r="S126" s="75">
        <v>35807</v>
      </c>
      <c r="T126" s="76">
        <v>80209</v>
      </c>
      <c r="U126" s="77">
        <v>116016</v>
      </c>
      <c r="V126" s="68"/>
      <c r="W126" s="78">
        <v>0.10000232725918685</v>
      </c>
      <c r="X126" s="78">
        <v>0.8999976727408131</v>
      </c>
    </row>
    <row r="127" spans="1:24" x14ac:dyDescent="0.25">
      <c r="A127" s="11">
        <v>2027</v>
      </c>
      <c r="B127" s="11" t="s">
        <v>6</v>
      </c>
      <c r="C127" s="71" t="s">
        <v>6</v>
      </c>
      <c r="D127" s="11" t="s">
        <v>511</v>
      </c>
      <c r="E127" s="72" t="s">
        <v>801</v>
      </c>
      <c r="F127" s="72" t="s">
        <v>801</v>
      </c>
      <c r="G127" s="11" t="s">
        <v>511</v>
      </c>
      <c r="H127" s="11" t="s">
        <v>186</v>
      </c>
      <c r="I127" s="73">
        <v>485639</v>
      </c>
      <c r="J127" s="73">
        <v>372803</v>
      </c>
      <c r="K127" s="73">
        <v>79424</v>
      </c>
      <c r="L127" s="73">
        <v>293379</v>
      </c>
      <c r="M127" s="73">
        <v>3687</v>
      </c>
      <c r="N127" s="73">
        <v>409902</v>
      </c>
      <c r="O127" s="74">
        <v>40990</v>
      </c>
      <c r="P127" s="68"/>
      <c r="Q127" s="73">
        <v>112836</v>
      </c>
      <c r="R127" s="73">
        <v>3687</v>
      </c>
      <c r="S127" s="75">
        <v>116523</v>
      </c>
      <c r="T127" s="76">
        <v>252389</v>
      </c>
      <c r="U127" s="77">
        <v>368912</v>
      </c>
      <c r="V127" s="68"/>
      <c r="W127" s="78">
        <v>9.9999512078496805E-2</v>
      </c>
      <c r="X127" s="78">
        <v>0.90000048792150322</v>
      </c>
    </row>
    <row r="128" spans="1:24" x14ac:dyDescent="0.25">
      <c r="A128" s="11">
        <v>2027</v>
      </c>
      <c r="B128" s="11" t="s">
        <v>7</v>
      </c>
      <c r="C128" s="71" t="s">
        <v>7</v>
      </c>
      <c r="D128" s="11" t="s">
        <v>512</v>
      </c>
      <c r="E128" s="72" t="s">
        <v>801</v>
      </c>
      <c r="F128" s="72" t="s">
        <v>801</v>
      </c>
      <c r="G128" s="11" t="s">
        <v>512</v>
      </c>
      <c r="H128" s="11" t="s">
        <v>187</v>
      </c>
      <c r="I128" s="73">
        <v>604027</v>
      </c>
      <c r="J128" s="73">
        <v>472237</v>
      </c>
      <c r="K128" s="73">
        <v>100608</v>
      </c>
      <c r="L128" s="73">
        <v>371629</v>
      </c>
      <c r="M128" s="73">
        <v>3541</v>
      </c>
      <c r="N128" s="73">
        <v>506960</v>
      </c>
      <c r="O128" s="74">
        <v>50696</v>
      </c>
      <c r="P128" s="68"/>
      <c r="Q128" s="73">
        <v>131790</v>
      </c>
      <c r="R128" s="73">
        <v>3541</v>
      </c>
      <c r="S128" s="75">
        <v>135331</v>
      </c>
      <c r="T128" s="76">
        <v>320933</v>
      </c>
      <c r="U128" s="77">
        <v>456264</v>
      </c>
      <c r="V128" s="68"/>
      <c r="W128" s="78">
        <v>0.1</v>
      </c>
      <c r="X128" s="78">
        <v>0.9</v>
      </c>
    </row>
    <row r="129" spans="1:24" x14ac:dyDescent="0.25">
      <c r="A129" s="11">
        <v>2027</v>
      </c>
      <c r="B129" s="11" t="s">
        <v>12</v>
      </c>
      <c r="C129" s="71" t="s">
        <v>12</v>
      </c>
      <c r="D129" s="11" t="s">
        <v>513</v>
      </c>
      <c r="E129" s="72" t="s">
        <v>801</v>
      </c>
      <c r="F129" s="72" t="s">
        <v>801</v>
      </c>
      <c r="G129" s="11" t="s">
        <v>513</v>
      </c>
      <c r="H129" s="11" t="s">
        <v>188</v>
      </c>
      <c r="I129" s="73">
        <v>180080</v>
      </c>
      <c r="J129" s="73">
        <v>142102</v>
      </c>
      <c r="K129" s="73">
        <v>30274</v>
      </c>
      <c r="L129" s="73">
        <v>111828</v>
      </c>
      <c r="M129" s="73">
        <v>10553</v>
      </c>
      <c r="N129" s="73">
        <v>160359</v>
      </c>
      <c r="O129" s="74">
        <v>16036</v>
      </c>
      <c r="P129" s="68"/>
      <c r="Q129" s="73">
        <v>37978</v>
      </c>
      <c r="R129" s="73">
        <v>10553</v>
      </c>
      <c r="S129" s="75">
        <v>48531</v>
      </c>
      <c r="T129" s="76">
        <v>95792</v>
      </c>
      <c r="U129" s="77">
        <v>144323</v>
      </c>
      <c r="V129" s="68"/>
      <c r="W129" s="78">
        <v>0.10000062360079572</v>
      </c>
      <c r="X129" s="78">
        <v>0.89999937639920424</v>
      </c>
    </row>
    <row r="130" spans="1:24" x14ac:dyDescent="0.25">
      <c r="A130" s="11">
        <v>2027</v>
      </c>
      <c r="B130" s="11" t="s">
        <v>7</v>
      </c>
      <c r="C130" s="71" t="s">
        <v>7</v>
      </c>
      <c r="D130" s="11" t="s">
        <v>514</v>
      </c>
      <c r="E130" s="72" t="s">
        <v>801</v>
      </c>
      <c r="F130" s="72" t="s">
        <v>801</v>
      </c>
      <c r="G130" s="11" t="s">
        <v>514</v>
      </c>
      <c r="H130" s="11" t="s">
        <v>189</v>
      </c>
      <c r="I130" s="73">
        <v>263383</v>
      </c>
      <c r="J130" s="73">
        <v>205917</v>
      </c>
      <c r="K130" s="73">
        <v>43870</v>
      </c>
      <c r="L130" s="73">
        <v>162047</v>
      </c>
      <c r="M130" s="73">
        <v>4295</v>
      </c>
      <c r="N130" s="73">
        <v>223808</v>
      </c>
      <c r="O130" s="74">
        <v>22381</v>
      </c>
      <c r="P130" s="68"/>
      <c r="Q130" s="73">
        <v>57466</v>
      </c>
      <c r="R130" s="73">
        <v>4295</v>
      </c>
      <c r="S130" s="75">
        <v>61761</v>
      </c>
      <c r="T130" s="76">
        <v>139666</v>
      </c>
      <c r="U130" s="77">
        <v>201427</v>
      </c>
      <c r="V130" s="68"/>
      <c r="W130" s="78">
        <v>0.10000089362310552</v>
      </c>
      <c r="X130" s="78">
        <v>0.89999910637689451</v>
      </c>
    </row>
    <row r="131" spans="1:24" x14ac:dyDescent="0.25">
      <c r="A131" s="11">
        <v>2027</v>
      </c>
      <c r="B131" s="11" t="s">
        <v>10</v>
      </c>
      <c r="C131" s="71" t="s">
        <v>10</v>
      </c>
      <c r="D131" s="11" t="s">
        <v>515</v>
      </c>
      <c r="E131" s="72" t="s">
        <v>801</v>
      </c>
      <c r="F131" s="72" t="s">
        <v>801</v>
      </c>
      <c r="G131" s="11" t="s">
        <v>515</v>
      </c>
      <c r="H131" s="11" t="s">
        <v>190</v>
      </c>
      <c r="I131" s="73">
        <v>153065</v>
      </c>
      <c r="J131" s="73">
        <v>123581</v>
      </c>
      <c r="K131" s="73">
        <v>26328</v>
      </c>
      <c r="L131" s="73">
        <v>97253</v>
      </c>
      <c r="M131" s="73">
        <v>0</v>
      </c>
      <c r="N131" s="73">
        <v>126737</v>
      </c>
      <c r="O131" s="74">
        <v>12674</v>
      </c>
      <c r="P131" s="68"/>
      <c r="Q131" s="73">
        <v>29484</v>
      </c>
      <c r="R131" s="73">
        <v>0</v>
      </c>
      <c r="S131" s="75">
        <v>29484</v>
      </c>
      <c r="T131" s="76">
        <v>84579</v>
      </c>
      <c r="U131" s="77">
        <v>114063</v>
      </c>
      <c r="V131" s="68"/>
      <c r="W131" s="78">
        <v>0.1000023671066855</v>
      </c>
      <c r="X131" s="78">
        <v>0.89999763289331447</v>
      </c>
    </row>
    <row r="132" spans="1:24" x14ac:dyDescent="0.25">
      <c r="A132" s="11">
        <v>2027</v>
      </c>
      <c r="B132" s="11" t="s">
        <v>12</v>
      </c>
      <c r="C132" s="71" t="s">
        <v>12</v>
      </c>
      <c r="D132" s="11" t="s">
        <v>516</v>
      </c>
      <c r="E132" s="72" t="s">
        <v>801</v>
      </c>
      <c r="F132" s="72" t="s">
        <v>801</v>
      </c>
      <c r="G132" s="11" t="s">
        <v>516</v>
      </c>
      <c r="H132" s="11" t="s">
        <v>191</v>
      </c>
      <c r="I132" s="73">
        <v>89050</v>
      </c>
      <c r="J132" s="73">
        <v>70270</v>
      </c>
      <c r="K132" s="73">
        <v>14971</v>
      </c>
      <c r="L132" s="73">
        <v>55299</v>
      </c>
      <c r="M132" s="73">
        <v>0</v>
      </c>
      <c r="N132" s="73">
        <v>74079</v>
      </c>
      <c r="O132" s="74">
        <v>7408</v>
      </c>
      <c r="P132" s="68"/>
      <c r="Q132" s="73">
        <v>18780</v>
      </c>
      <c r="R132" s="73">
        <v>0</v>
      </c>
      <c r="S132" s="75">
        <v>18780</v>
      </c>
      <c r="T132" s="76">
        <v>47891</v>
      </c>
      <c r="U132" s="77">
        <v>66671</v>
      </c>
      <c r="V132" s="68"/>
      <c r="W132" s="78">
        <v>0.10000134991023096</v>
      </c>
      <c r="X132" s="78">
        <v>0.89999865008976898</v>
      </c>
    </row>
    <row r="133" spans="1:24" x14ac:dyDescent="0.25">
      <c r="A133" s="11">
        <v>2027</v>
      </c>
      <c r="B133" s="11" t="s">
        <v>7</v>
      </c>
      <c r="C133" s="71" t="s">
        <v>7</v>
      </c>
      <c r="D133" s="11" t="s">
        <v>517</v>
      </c>
      <c r="E133" s="72" t="s">
        <v>801</v>
      </c>
      <c r="F133" s="72" t="s">
        <v>801</v>
      </c>
      <c r="G133" s="11" t="s">
        <v>517</v>
      </c>
      <c r="H133" s="11" t="s">
        <v>192</v>
      </c>
      <c r="I133" s="73">
        <v>428069</v>
      </c>
      <c r="J133" s="73">
        <v>334671</v>
      </c>
      <c r="K133" s="73">
        <v>71300</v>
      </c>
      <c r="L133" s="73">
        <v>263371</v>
      </c>
      <c r="M133" s="73">
        <v>15456</v>
      </c>
      <c r="N133" s="73">
        <v>372225</v>
      </c>
      <c r="O133" s="74">
        <v>37223</v>
      </c>
      <c r="P133" s="68"/>
      <c r="Q133" s="73">
        <v>93398</v>
      </c>
      <c r="R133" s="73">
        <v>15456</v>
      </c>
      <c r="S133" s="75">
        <v>108854</v>
      </c>
      <c r="T133" s="76">
        <v>226148</v>
      </c>
      <c r="U133" s="77">
        <v>335002</v>
      </c>
      <c r="V133" s="68"/>
      <c r="W133" s="78">
        <v>0.10000134327355766</v>
      </c>
      <c r="X133" s="78">
        <v>0.8999986567264423</v>
      </c>
    </row>
    <row r="134" spans="1:24" x14ac:dyDescent="0.25">
      <c r="A134" s="11">
        <v>2027</v>
      </c>
      <c r="B134" s="11" t="s">
        <v>12</v>
      </c>
      <c r="C134" s="71" t="s">
        <v>12</v>
      </c>
      <c r="D134" s="11" t="s">
        <v>518</v>
      </c>
      <c r="E134" s="72" t="s">
        <v>801</v>
      </c>
      <c r="F134" s="72" t="s">
        <v>801</v>
      </c>
      <c r="G134" s="11" t="s">
        <v>518</v>
      </c>
      <c r="H134" s="11" t="s">
        <v>193</v>
      </c>
      <c r="I134" s="73">
        <v>519650</v>
      </c>
      <c r="J134" s="73">
        <v>410058</v>
      </c>
      <c r="K134" s="73">
        <v>87361</v>
      </c>
      <c r="L134" s="73">
        <v>322697</v>
      </c>
      <c r="M134" s="73">
        <v>11651</v>
      </c>
      <c r="N134" s="73">
        <v>443940</v>
      </c>
      <c r="O134" s="74">
        <v>44394</v>
      </c>
      <c r="P134" s="68"/>
      <c r="Q134" s="73">
        <v>109592</v>
      </c>
      <c r="R134" s="73">
        <v>11651</v>
      </c>
      <c r="S134" s="75">
        <v>121243</v>
      </c>
      <c r="T134" s="76">
        <v>278303</v>
      </c>
      <c r="U134" s="77">
        <v>399546</v>
      </c>
      <c r="V134" s="68"/>
      <c r="W134" s="78">
        <v>0.1</v>
      </c>
      <c r="X134" s="78">
        <v>0.9</v>
      </c>
    </row>
    <row r="135" spans="1:24" x14ac:dyDescent="0.25">
      <c r="A135" s="11">
        <v>2027</v>
      </c>
      <c r="B135" s="11" t="s">
        <v>6</v>
      </c>
      <c r="C135" s="71" t="s">
        <v>6</v>
      </c>
      <c r="D135" s="11" t="s">
        <v>519</v>
      </c>
      <c r="E135" s="72" t="s">
        <v>801</v>
      </c>
      <c r="F135" s="72" t="s">
        <v>801</v>
      </c>
      <c r="G135" s="11" t="s">
        <v>519</v>
      </c>
      <c r="H135" s="11" t="s">
        <v>194</v>
      </c>
      <c r="I135" s="73">
        <v>116539</v>
      </c>
      <c r="J135" s="73">
        <v>89462</v>
      </c>
      <c r="K135" s="73">
        <v>19059</v>
      </c>
      <c r="L135" s="73">
        <v>70403</v>
      </c>
      <c r="M135" s="73">
        <v>1530</v>
      </c>
      <c r="N135" s="73">
        <v>99010</v>
      </c>
      <c r="O135" s="74">
        <v>9901</v>
      </c>
      <c r="P135" s="68"/>
      <c r="Q135" s="73">
        <v>27077</v>
      </c>
      <c r="R135" s="73">
        <v>1530</v>
      </c>
      <c r="S135" s="75">
        <v>28607</v>
      </c>
      <c r="T135" s="76">
        <v>60502</v>
      </c>
      <c r="U135" s="77">
        <v>89109</v>
      </c>
      <c r="V135" s="68"/>
      <c r="W135" s="78">
        <v>0.1</v>
      </c>
      <c r="X135" s="78">
        <v>0.9</v>
      </c>
    </row>
    <row r="136" spans="1:24" x14ac:dyDescent="0.25">
      <c r="A136" s="11">
        <v>2027</v>
      </c>
      <c r="B136" s="11" t="s">
        <v>11</v>
      </c>
      <c r="C136" s="71" t="s">
        <v>11</v>
      </c>
      <c r="D136" s="11" t="s">
        <v>520</v>
      </c>
      <c r="E136" s="72" t="s">
        <v>801</v>
      </c>
      <c r="F136" s="72" t="s">
        <v>801</v>
      </c>
      <c r="G136" s="11" t="s">
        <v>520</v>
      </c>
      <c r="H136" s="11" t="s">
        <v>195</v>
      </c>
      <c r="I136" s="73">
        <v>259809</v>
      </c>
      <c r="J136" s="73">
        <v>201297</v>
      </c>
      <c r="K136" s="73">
        <v>42886</v>
      </c>
      <c r="L136" s="73">
        <v>158411</v>
      </c>
      <c r="M136" s="73">
        <v>5984</v>
      </c>
      <c r="N136" s="73">
        <v>222907</v>
      </c>
      <c r="O136" s="74">
        <v>22291</v>
      </c>
      <c r="P136" s="68"/>
      <c r="Q136" s="73">
        <v>58512</v>
      </c>
      <c r="R136" s="73">
        <v>5984</v>
      </c>
      <c r="S136" s="75">
        <v>64496</v>
      </c>
      <c r="T136" s="76">
        <v>136120</v>
      </c>
      <c r="U136" s="77">
        <v>200616</v>
      </c>
      <c r="V136" s="68"/>
      <c r="W136" s="78">
        <v>0.10000134585275473</v>
      </c>
      <c r="X136" s="78">
        <v>0.89999865414724523</v>
      </c>
    </row>
    <row r="137" spans="1:24" x14ac:dyDescent="0.25">
      <c r="A137" s="11">
        <v>2027</v>
      </c>
      <c r="B137" s="11" t="s">
        <v>9</v>
      </c>
      <c r="C137" s="71" t="s">
        <v>9</v>
      </c>
      <c r="D137" s="11" t="s">
        <v>521</v>
      </c>
      <c r="E137" s="72" t="s">
        <v>801</v>
      </c>
      <c r="F137" s="72" t="s">
        <v>801</v>
      </c>
      <c r="G137" s="11" t="s">
        <v>521</v>
      </c>
      <c r="H137" s="11" t="s">
        <v>196</v>
      </c>
      <c r="I137" s="73">
        <v>224200</v>
      </c>
      <c r="J137" s="73">
        <v>177395</v>
      </c>
      <c r="K137" s="73">
        <v>37793</v>
      </c>
      <c r="L137" s="73">
        <v>139602</v>
      </c>
      <c r="M137" s="73">
        <v>0</v>
      </c>
      <c r="N137" s="73">
        <v>186407</v>
      </c>
      <c r="O137" s="74">
        <v>18641</v>
      </c>
      <c r="P137" s="68"/>
      <c r="Q137" s="73">
        <v>46805</v>
      </c>
      <c r="R137" s="73">
        <v>0</v>
      </c>
      <c r="S137" s="75">
        <v>46805</v>
      </c>
      <c r="T137" s="76">
        <v>120961</v>
      </c>
      <c r="U137" s="77">
        <v>167766</v>
      </c>
      <c r="V137" s="68"/>
      <c r="W137" s="78">
        <v>0.10000160938162193</v>
      </c>
      <c r="X137" s="78">
        <v>0.89999839061837805</v>
      </c>
    </row>
    <row r="138" spans="1:24" x14ac:dyDescent="0.25">
      <c r="A138" s="11">
        <v>2027</v>
      </c>
      <c r="B138" s="11" t="s">
        <v>11</v>
      </c>
      <c r="C138" s="71" t="s">
        <v>11</v>
      </c>
      <c r="D138" s="11" t="s">
        <v>522</v>
      </c>
      <c r="E138" s="72" t="s">
        <v>801</v>
      </c>
      <c r="F138" s="72" t="s">
        <v>801</v>
      </c>
      <c r="G138" s="11" t="s">
        <v>522</v>
      </c>
      <c r="H138" s="11" t="s">
        <v>197</v>
      </c>
      <c r="I138" s="73">
        <v>220676</v>
      </c>
      <c r="J138" s="73">
        <v>170977</v>
      </c>
      <c r="K138" s="73">
        <v>36426</v>
      </c>
      <c r="L138" s="73">
        <v>134551</v>
      </c>
      <c r="M138" s="73">
        <v>1882</v>
      </c>
      <c r="N138" s="73">
        <v>186132</v>
      </c>
      <c r="O138" s="74">
        <v>18613</v>
      </c>
      <c r="P138" s="68"/>
      <c r="Q138" s="73">
        <v>49699</v>
      </c>
      <c r="R138" s="73">
        <v>1882</v>
      </c>
      <c r="S138" s="75">
        <v>51581</v>
      </c>
      <c r="T138" s="76">
        <v>115938</v>
      </c>
      <c r="U138" s="77">
        <v>167519</v>
      </c>
      <c r="V138" s="68"/>
      <c r="W138" s="78">
        <v>9.9998925493735624E-2</v>
      </c>
      <c r="X138" s="78">
        <v>0.90000107450626432</v>
      </c>
    </row>
    <row r="139" spans="1:24" x14ac:dyDescent="0.25">
      <c r="A139" s="11">
        <v>2027</v>
      </c>
      <c r="B139" s="11" t="s">
        <v>9</v>
      </c>
      <c r="C139" s="71" t="s">
        <v>9</v>
      </c>
      <c r="D139" s="11" t="s">
        <v>523</v>
      </c>
      <c r="E139" s="72" t="s">
        <v>801</v>
      </c>
      <c r="F139" s="72" t="s">
        <v>801</v>
      </c>
      <c r="G139" s="11" t="s">
        <v>523</v>
      </c>
      <c r="H139" s="11" t="s">
        <v>198</v>
      </c>
      <c r="I139" s="73">
        <v>118073</v>
      </c>
      <c r="J139" s="73">
        <v>93424</v>
      </c>
      <c r="K139" s="73">
        <v>19904</v>
      </c>
      <c r="L139" s="73">
        <v>73520</v>
      </c>
      <c r="M139" s="73">
        <v>2623</v>
      </c>
      <c r="N139" s="73">
        <v>100792</v>
      </c>
      <c r="O139" s="74">
        <v>10079</v>
      </c>
      <c r="P139" s="68"/>
      <c r="Q139" s="73">
        <v>24649</v>
      </c>
      <c r="R139" s="73">
        <v>2623</v>
      </c>
      <c r="S139" s="75">
        <v>27272</v>
      </c>
      <c r="T139" s="76">
        <v>63441</v>
      </c>
      <c r="U139" s="77">
        <v>90713</v>
      </c>
      <c r="V139" s="68"/>
      <c r="W139" s="78">
        <v>9.9998015715532976E-2</v>
      </c>
      <c r="X139" s="78">
        <v>0.90000198428446698</v>
      </c>
    </row>
    <row r="140" spans="1:24" x14ac:dyDescent="0.25">
      <c r="A140" s="11">
        <v>2027</v>
      </c>
      <c r="B140" s="11" t="s">
        <v>5</v>
      </c>
      <c r="C140" s="71" t="s">
        <v>5</v>
      </c>
      <c r="D140" s="11" t="s">
        <v>524</v>
      </c>
      <c r="E140" s="72" t="s">
        <v>801</v>
      </c>
      <c r="F140" s="72" t="s">
        <v>801</v>
      </c>
      <c r="G140" s="11" t="s">
        <v>524</v>
      </c>
      <c r="H140" s="11" t="s">
        <v>199</v>
      </c>
      <c r="I140" s="73">
        <v>474043</v>
      </c>
      <c r="J140" s="73">
        <v>359725</v>
      </c>
      <c r="K140" s="73">
        <v>76638</v>
      </c>
      <c r="L140" s="73">
        <v>283087</v>
      </c>
      <c r="M140" s="73">
        <v>1332</v>
      </c>
      <c r="N140" s="73">
        <v>398737</v>
      </c>
      <c r="O140" s="74">
        <v>39874</v>
      </c>
      <c r="P140" s="68"/>
      <c r="Q140" s="73">
        <v>114318</v>
      </c>
      <c r="R140" s="73">
        <v>1332</v>
      </c>
      <c r="S140" s="75">
        <v>115650</v>
      </c>
      <c r="T140" s="76">
        <v>243213</v>
      </c>
      <c r="U140" s="77">
        <v>358863</v>
      </c>
      <c r="V140" s="68"/>
      <c r="W140" s="78">
        <v>0.10000075237562604</v>
      </c>
      <c r="X140" s="78">
        <v>0.899999247624374</v>
      </c>
    </row>
    <row r="141" spans="1:24" x14ac:dyDescent="0.25">
      <c r="A141" s="11">
        <v>2027</v>
      </c>
      <c r="B141" s="11" t="s">
        <v>7</v>
      </c>
      <c r="C141" s="71" t="s">
        <v>7</v>
      </c>
      <c r="D141" s="11" t="s">
        <v>525</v>
      </c>
      <c r="E141" s="72" t="s">
        <v>801</v>
      </c>
      <c r="F141" s="72" t="s">
        <v>801</v>
      </c>
      <c r="G141" s="11" t="s">
        <v>525</v>
      </c>
      <c r="H141" s="11" t="s">
        <v>200</v>
      </c>
      <c r="I141" s="73">
        <v>153465</v>
      </c>
      <c r="J141" s="73">
        <v>119981</v>
      </c>
      <c r="K141" s="73">
        <v>25562</v>
      </c>
      <c r="L141" s="73">
        <v>94419</v>
      </c>
      <c r="M141" s="73">
        <v>5598</v>
      </c>
      <c r="N141" s="73">
        <v>133501</v>
      </c>
      <c r="O141" s="74">
        <v>13350</v>
      </c>
      <c r="P141" s="68"/>
      <c r="Q141" s="73">
        <v>33484</v>
      </c>
      <c r="R141" s="73">
        <v>5598</v>
      </c>
      <c r="S141" s="75">
        <v>39082</v>
      </c>
      <c r="T141" s="76">
        <v>81069</v>
      </c>
      <c r="U141" s="77">
        <v>120151</v>
      </c>
      <c r="V141" s="68"/>
      <c r="W141" s="78">
        <v>9.999925094194051E-2</v>
      </c>
      <c r="X141" s="78">
        <v>0.90000074905805949</v>
      </c>
    </row>
    <row r="142" spans="1:24" x14ac:dyDescent="0.25">
      <c r="A142" s="11">
        <v>2027</v>
      </c>
      <c r="B142" s="11" t="s">
        <v>7</v>
      </c>
      <c r="C142" s="71" t="s">
        <v>7</v>
      </c>
      <c r="D142" s="11" t="s">
        <v>526</v>
      </c>
      <c r="E142" s="72" t="s">
        <v>801</v>
      </c>
      <c r="F142" s="72" t="s">
        <v>801</v>
      </c>
      <c r="G142" s="11" t="s">
        <v>526</v>
      </c>
      <c r="H142" s="11" t="s">
        <v>201</v>
      </c>
      <c r="I142" s="73">
        <v>303451</v>
      </c>
      <c r="J142" s="73">
        <v>237243</v>
      </c>
      <c r="K142" s="73">
        <v>50544</v>
      </c>
      <c r="L142" s="73">
        <v>186699</v>
      </c>
      <c r="M142" s="73">
        <v>1491</v>
      </c>
      <c r="N142" s="73">
        <v>254398</v>
      </c>
      <c r="O142" s="74">
        <v>25440</v>
      </c>
      <c r="P142" s="68"/>
      <c r="Q142" s="73">
        <v>66208</v>
      </c>
      <c r="R142" s="73">
        <v>1491</v>
      </c>
      <c r="S142" s="75">
        <v>67699</v>
      </c>
      <c r="T142" s="76">
        <v>161259</v>
      </c>
      <c r="U142" s="77">
        <v>228958</v>
      </c>
      <c r="V142" s="68"/>
      <c r="W142" s="78">
        <v>0.10000078616970259</v>
      </c>
      <c r="X142" s="78">
        <v>0.89999921383029746</v>
      </c>
    </row>
    <row r="143" spans="1:24" x14ac:dyDescent="0.25">
      <c r="A143" s="11">
        <v>2027</v>
      </c>
      <c r="B143" s="11" t="s">
        <v>6</v>
      </c>
      <c r="C143" s="71" t="s">
        <v>6</v>
      </c>
      <c r="D143" s="11" t="s">
        <v>527</v>
      </c>
      <c r="E143" s="72" t="s">
        <v>801</v>
      </c>
      <c r="F143" s="72" t="s">
        <v>801</v>
      </c>
      <c r="G143" s="11" t="s">
        <v>527</v>
      </c>
      <c r="H143" s="11" t="s">
        <v>202</v>
      </c>
      <c r="I143" s="73">
        <v>478874</v>
      </c>
      <c r="J143" s="73">
        <v>367610</v>
      </c>
      <c r="K143" s="73">
        <v>78318</v>
      </c>
      <c r="L143" s="73">
        <v>289292</v>
      </c>
      <c r="M143" s="73">
        <v>4833</v>
      </c>
      <c r="N143" s="73">
        <v>405389</v>
      </c>
      <c r="O143" s="74">
        <v>40539</v>
      </c>
      <c r="P143" s="68"/>
      <c r="Q143" s="73">
        <v>111264</v>
      </c>
      <c r="R143" s="73">
        <v>4833</v>
      </c>
      <c r="S143" s="75">
        <v>116097</v>
      </c>
      <c r="T143" s="76">
        <v>248753</v>
      </c>
      <c r="U143" s="77">
        <v>364850</v>
      </c>
      <c r="V143" s="68"/>
      <c r="W143" s="78">
        <v>0.10000024667664885</v>
      </c>
      <c r="X143" s="78">
        <v>0.89999975332335114</v>
      </c>
    </row>
    <row r="144" spans="1:24" x14ac:dyDescent="0.25">
      <c r="A144" s="11">
        <v>2027</v>
      </c>
      <c r="B144" s="11" t="s">
        <v>12</v>
      </c>
      <c r="C144" s="71" t="s">
        <v>12</v>
      </c>
      <c r="D144" s="11" t="s">
        <v>528</v>
      </c>
      <c r="E144" s="72" t="s">
        <v>801</v>
      </c>
      <c r="F144" s="72" t="s">
        <v>801</v>
      </c>
      <c r="G144" s="11" t="s">
        <v>528</v>
      </c>
      <c r="H144" s="11" t="s">
        <v>203</v>
      </c>
      <c r="I144" s="73">
        <v>293718</v>
      </c>
      <c r="J144" s="73">
        <v>231774</v>
      </c>
      <c r="K144" s="73">
        <v>49379</v>
      </c>
      <c r="L144" s="73">
        <v>182395</v>
      </c>
      <c r="M144" s="73">
        <v>0</v>
      </c>
      <c r="N144" s="73">
        <v>244339</v>
      </c>
      <c r="O144" s="74">
        <v>24434</v>
      </c>
      <c r="P144" s="68"/>
      <c r="Q144" s="73">
        <v>61944</v>
      </c>
      <c r="R144" s="73">
        <v>0</v>
      </c>
      <c r="S144" s="75">
        <v>61944</v>
      </c>
      <c r="T144" s="76">
        <v>157961</v>
      </c>
      <c r="U144" s="77">
        <v>219905</v>
      </c>
      <c r="V144" s="68"/>
      <c r="W144" s="78">
        <v>0.10000040926745218</v>
      </c>
      <c r="X144" s="78">
        <v>0.89999959073254776</v>
      </c>
    </row>
    <row r="145" spans="1:24" x14ac:dyDescent="0.25">
      <c r="A145" s="11">
        <v>2027</v>
      </c>
      <c r="B145" s="11" t="s">
        <v>7</v>
      </c>
      <c r="C145" s="71" t="s">
        <v>7</v>
      </c>
      <c r="D145" s="11" t="s">
        <v>529</v>
      </c>
      <c r="E145" s="72" t="s">
        <v>801</v>
      </c>
      <c r="F145" s="72" t="s">
        <v>801</v>
      </c>
      <c r="G145" s="11" t="s">
        <v>529</v>
      </c>
      <c r="H145" s="11" t="s">
        <v>204</v>
      </c>
      <c r="I145" s="73">
        <v>548270</v>
      </c>
      <c r="J145" s="73">
        <v>428646</v>
      </c>
      <c r="K145" s="73">
        <v>91321</v>
      </c>
      <c r="L145" s="73">
        <v>337325</v>
      </c>
      <c r="M145" s="73">
        <v>0</v>
      </c>
      <c r="N145" s="73">
        <v>456949</v>
      </c>
      <c r="O145" s="74">
        <v>45695</v>
      </c>
      <c r="P145" s="68"/>
      <c r="Q145" s="73">
        <v>119624</v>
      </c>
      <c r="R145" s="73">
        <v>0</v>
      </c>
      <c r="S145" s="75">
        <v>119624</v>
      </c>
      <c r="T145" s="76">
        <v>291630</v>
      </c>
      <c r="U145" s="77">
        <v>411254</v>
      </c>
      <c r="V145" s="68"/>
      <c r="W145" s="78">
        <v>0.10000021884280302</v>
      </c>
      <c r="X145" s="78">
        <v>0.89999978115719692</v>
      </c>
    </row>
    <row r="146" spans="1:24" x14ac:dyDescent="0.25">
      <c r="A146" s="11">
        <v>2027</v>
      </c>
      <c r="B146" s="11" t="s">
        <v>10</v>
      </c>
      <c r="C146" s="71" t="s">
        <v>10</v>
      </c>
      <c r="D146" s="11" t="s">
        <v>530</v>
      </c>
      <c r="E146" s="72" t="s">
        <v>801</v>
      </c>
      <c r="F146" s="72" t="s">
        <v>801</v>
      </c>
      <c r="G146" s="11" t="s">
        <v>530</v>
      </c>
      <c r="H146" s="11" t="s">
        <v>205</v>
      </c>
      <c r="I146" s="73">
        <v>1327202</v>
      </c>
      <c r="J146" s="73">
        <v>1071554</v>
      </c>
      <c r="K146" s="73">
        <v>228290</v>
      </c>
      <c r="L146" s="73">
        <v>843264</v>
      </c>
      <c r="M146" s="73">
        <v>6510</v>
      </c>
      <c r="N146" s="73">
        <v>1105422</v>
      </c>
      <c r="O146" s="74">
        <v>110542</v>
      </c>
      <c r="P146" s="68"/>
      <c r="Q146" s="73">
        <v>255648</v>
      </c>
      <c r="R146" s="73">
        <v>6510</v>
      </c>
      <c r="S146" s="75">
        <v>262158</v>
      </c>
      <c r="T146" s="76">
        <v>732722</v>
      </c>
      <c r="U146" s="77">
        <v>994880</v>
      </c>
      <c r="V146" s="68"/>
      <c r="W146" s="78">
        <v>9.9999819073620752E-2</v>
      </c>
      <c r="X146" s="78">
        <v>0.90000018092637923</v>
      </c>
    </row>
    <row r="147" spans="1:24" x14ac:dyDescent="0.25">
      <c r="A147" s="11">
        <v>2027</v>
      </c>
      <c r="B147" s="11" t="s">
        <v>10</v>
      </c>
      <c r="C147" s="71" t="s">
        <v>10</v>
      </c>
      <c r="D147" s="11" t="s">
        <v>531</v>
      </c>
      <c r="E147" s="72" t="s">
        <v>801</v>
      </c>
      <c r="F147" s="72" t="s">
        <v>801</v>
      </c>
      <c r="G147" s="11" t="s">
        <v>531</v>
      </c>
      <c r="H147" s="11" t="s">
        <v>206</v>
      </c>
      <c r="I147" s="73">
        <v>303112</v>
      </c>
      <c r="J147" s="73">
        <v>244726</v>
      </c>
      <c r="K147" s="73">
        <v>52138</v>
      </c>
      <c r="L147" s="73">
        <v>192588</v>
      </c>
      <c r="M147" s="73">
        <v>6407</v>
      </c>
      <c r="N147" s="73">
        <v>257381</v>
      </c>
      <c r="O147" s="74">
        <v>25738</v>
      </c>
      <c r="P147" s="68"/>
      <c r="Q147" s="73">
        <v>58386</v>
      </c>
      <c r="R147" s="73">
        <v>6407</v>
      </c>
      <c r="S147" s="75">
        <v>64793</v>
      </c>
      <c r="T147" s="76">
        <v>166850</v>
      </c>
      <c r="U147" s="77">
        <v>231643</v>
      </c>
      <c r="V147" s="68"/>
      <c r="W147" s="78">
        <v>9.9999611470932198E-2</v>
      </c>
      <c r="X147" s="78">
        <v>0.90000038852906783</v>
      </c>
    </row>
    <row r="148" spans="1:24" x14ac:dyDescent="0.25">
      <c r="A148" s="11">
        <v>2027</v>
      </c>
      <c r="B148" s="11" t="s">
        <v>9</v>
      </c>
      <c r="C148" s="71" t="s">
        <v>9</v>
      </c>
      <c r="D148" s="11" t="s">
        <v>532</v>
      </c>
      <c r="E148" s="72" t="s">
        <v>801</v>
      </c>
      <c r="F148" s="72" t="s">
        <v>801</v>
      </c>
      <c r="G148" s="11" t="s">
        <v>532</v>
      </c>
      <c r="H148" s="11" t="s">
        <v>207</v>
      </c>
      <c r="I148" s="73">
        <v>5689645</v>
      </c>
      <c r="J148" s="73">
        <v>4501859</v>
      </c>
      <c r="K148" s="73">
        <v>959102</v>
      </c>
      <c r="L148" s="73">
        <v>3542757</v>
      </c>
      <c r="M148" s="73">
        <v>0</v>
      </c>
      <c r="N148" s="73">
        <v>4730543</v>
      </c>
      <c r="O148" s="74">
        <v>473054</v>
      </c>
      <c r="P148" s="68"/>
      <c r="Q148" s="73">
        <v>1187786</v>
      </c>
      <c r="R148" s="73">
        <v>0</v>
      </c>
      <c r="S148" s="75">
        <v>1187786</v>
      </c>
      <c r="T148" s="76">
        <v>3069703</v>
      </c>
      <c r="U148" s="77">
        <v>4257489</v>
      </c>
      <c r="V148" s="68"/>
      <c r="W148" s="78">
        <v>9.9999936582333152E-2</v>
      </c>
      <c r="X148" s="78">
        <v>0.90000006341766681</v>
      </c>
    </row>
    <row r="149" spans="1:24" x14ac:dyDescent="0.25">
      <c r="A149" s="11">
        <v>2027</v>
      </c>
      <c r="B149" s="11" t="s">
        <v>7</v>
      </c>
      <c r="C149" s="71" t="s">
        <v>7</v>
      </c>
      <c r="D149" s="11" t="s">
        <v>533</v>
      </c>
      <c r="E149" s="72" t="s">
        <v>801</v>
      </c>
      <c r="F149" s="72" t="s">
        <v>801</v>
      </c>
      <c r="G149" s="11" t="s">
        <v>533</v>
      </c>
      <c r="H149" s="11" t="s">
        <v>208</v>
      </c>
      <c r="I149" s="73">
        <v>389820</v>
      </c>
      <c r="J149" s="73">
        <v>304767</v>
      </c>
      <c r="K149" s="73">
        <v>64929</v>
      </c>
      <c r="L149" s="73">
        <v>239838</v>
      </c>
      <c r="M149" s="73">
        <v>0</v>
      </c>
      <c r="N149" s="73">
        <v>324891</v>
      </c>
      <c r="O149" s="74">
        <v>32489</v>
      </c>
      <c r="P149" s="68"/>
      <c r="Q149" s="73">
        <v>85053</v>
      </c>
      <c r="R149" s="73">
        <v>0</v>
      </c>
      <c r="S149" s="75">
        <v>85053</v>
      </c>
      <c r="T149" s="76">
        <v>207349</v>
      </c>
      <c r="U149" s="77">
        <v>292402</v>
      </c>
      <c r="V149" s="68"/>
      <c r="W149" s="78">
        <v>9.999969220446242E-2</v>
      </c>
      <c r="X149" s="78">
        <v>0.90000030779553764</v>
      </c>
    </row>
    <row r="150" spans="1:24" x14ac:dyDescent="0.25">
      <c r="A150" s="11">
        <v>2027</v>
      </c>
      <c r="B150" s="11" t="s">
        <v>9</v>
      </c>
      <c r="C150" s="71" t="s">
        <v>9</v>
      </c>
      <c r="D150" s="11" t="s">
        <v>534</v>
      </c>
      <c r="E150" s="72" t="s">
        <v>801</v>
      </c>
      <c r="F150" s="72" t="s">
        <v>801</v>
      </c>
      <c r="G150" s="11" t="s">
        <v>534</v>
      </c>
      <c r="H150" s="11" t="s">
        <v>209</v>
      </c>
      <c r="I150" s="73">
        <v>194056</v>
      </c>
      <c r="J150" s="73">
        <v>153544</v>
      </c>
      <c r="K150" s="73">
        <v>32712</v>
      </c>
      <c r="L150" s="73">
        <v>120832</v>
      </c>
      <c r="M150" s="73">
        <v>0</v>
      </c>
      <c r="N150" s="73">
        <v>161344</v>
      </c>
      <c r="O150" s="74">
        <v>16134</v>
      </c>
      <c r="P150" s="68"/>
      <c r="Q150" s="73">
        <v>40512</v>
      </c>
      <c r="R150" s="73">
        <v>0</v>
      </c>
      <c r="S150" s="75">
        <v>40512</v>
      </c>
      <c r="T150" s="76">
        <v>104698</v>
      </c>
      <c r="U150" s="77">
        <v>145210</v>
      </c>
      <c r="V150" s="68"/>
      <c r="W150" s="78">
        <v>9.9997520825069422E-2</v>
      </c>
      <c r="X150" s="78">
        <v>0.90000247917493059</v>
      </c>
    </row>
    <row r="151" spans="1:24" x14ac:dyDescent="0.25">
      <c r="A151" s="11">
        <v>2027</v>
      </c>
      <c r="B151" s="11" t="s">
        <v>7</v>
      </c>
      <c r="C151" s="71" t="s">
        <v>7</v>
      </c>
      <c r="D151" s="11" t="s">
        <v>535</v>
      </c>
      <c r="E151" s="72" t="s">
        <v>801</v>
      </c>
      <c r="F151" s="72" t="s">
        <v>801</v>
      </c>
      <c r="G151" s="11" t="s">
        <v>535</v>
      </c>
      <c r="H151" s="11" t="s">
        <v>210</v>
      </c>
      <c r="I151" s="73">
        <v>170584</v>
      </c>
      <c r="J151" s="73">
        <v>133365</v>
      </c>
      <c r="K151" s="73">
        <v>28413</v>
      </c>
      <c r="L151" s="73">
        <v>104952</v>
      </c>
      <c r="M151" s="73">
        <v>698</v>
      </c>
      <c r="N151" s="73">
        <v>142869</v>
      </c>
      <c r="O151" s="74">
        <v>14287</v>
      </c>
      <c r="P151" s="68"/>
      <c r="Q151" s="73">
        <v>37219</v>
      </c>
      <c r="R151" s="73">
        <v>698</v>
      </c>
      <c r="S151" s="75">
        <v>37917</v>
      </c>
      <c r="T151" s="76">
        <v>90665</v>
      </c>
      <c r="U151" s="77">
        <v>128582</v>
      </c>
      <c r="V151" s="68"/>
      <c r="W151" s="78">
        <v>0.10000069994190482</v>
      </c>
      <c r="X151" s="78">
        <v>0.89999930005809514</v>
      </c>
    </row>
    <row r="152" spans="1:24" x14ac:dyDescent="0.25">
      <c r="A152" s="11">
        <v>2027</v>
      </c>
      <c r="B152" s="11" t="s">
        <v>7</v>
      </c>
      <c r="C152" s="71" t="s">
        <v>7</v>
      </c>
      <c r="D152" s="11" t="s">
        <v>536</v>
      </c>
      <c r="E152" s="72" t="s">
        <v>801</v>
      </c>
      <c r="F152" s="72" t="s">
        <v>801</v>
      </c>
      <c r="G152" s="11" t="s">
        <v>536</v>
      </c>
      <c r="H152" s="11" t="s">
        <v>211</v>
      </c>
      <c r="I152" s="73">
        <v>331684</v>
      </c>
      <c r="J152" s="73">
        <v>259315</v>
      </c>
      <c r="K152" s="73">
        <v>55246</v>
      </c>
      <c r="L152" s="73">
        <v>204069</v>
      </c>
      <c r="M152" s="73">
        <v>10527</v>
      </c>
      <c r="N152" s="73">
        <v>286965</v>
      </c>
      <c r="O152" s="74">
        <v>28697</v>
      </c>
      <c r="P152" s="68"/>
      <c r="Q152" s="73">
        <v>72369</v>
      </c>
      <c r="R152" s="73">
        <v>10527</v>
      </c>
      <c r="S152" s="75">
        <v>82896</v>
      </c>
      <c r="T152" s="76">
        <v>175372</v>
      </c>
      <c r="U152" s="77">
        <v>258268</v>
      </c>
      <c r="V152" s="68"/>
      <c r="W152" s="78">
        <v>0.10000174237276323</v>
      </c>
      <c r="X152" s="78">
        <v>0.89999825762723673</v>
      </c>
    </row>
    <row r="153" spans="1:24" x14ac:dyDescent="0.25">
      <c r="A153" s="11">
        <v>2027</v>
      </c>
      <c r="B153" s="11" t="s">
        <v>10</v>
      </c>
      <c r="C153" s="71" t="s">
        <v>10</v>
      </c>
      <c r="D153" s="11" t="s">
        <v>537</v>
      </c>
      <c r="E153" s="72" t="s">
        <v>801</v>
      </c>
      <c r="F153" s="72" t="s">
        <v>801</v>
      </c>
      <c r="G153" s="11" t="s">
        <v>537</v>
      </c>
      <c r="H153" s="11" t="s">
        <v>212</v>
      </c>
      <c r="I153" s="73">
        <v>2630284</v>
      </c>
      <c r="J153" s="73">
        <v>2123635</v>
      </c>
      <c r="K153" s="73">
        <v>452432</v>
      </c>
      <c r="L153" s="73">
        <v>1671203</v>
      </c>
      <c r="M153" s="73">
        <v>0</v>
      </c>
      <c r="N153" s="73">
        <v>2177852</v>
      </c>
      <c r="O153" s="74">
        <v>217785</v>
      </c>
      <c r="P153" s="68"/>
      <c r="Q153" s="73">
        <v>506649</v>
      </c>
      <c r="R153" s="73">
        <v>0</v>
      </c>
      <c r="S153" s="75">
        <v>506649</v>
      </c>
      <c r="T153" s="76">
        <v>1453418</v>
      </c>
      <c r="U153" s="77">
        <v>1960067</v>
      </c>
      <c r="V153" s="68"/>
      <c r="W153" s="78">
        <v>9.9999908166395146E-2</v>
      </c>
      <c r="X153" s="78">
        <v>0.90000009183360485</v>
      </c>
    </row>
    <row r="154" spans="1:24" x14ac:dyDescent="0.25">
      <c r="A154" s="11">
        <v>2027</v>
      </c>
      <c r="B154" s="11" t="s">
        <v>13</v>
      </c>
      <c r="C154" s="71" t="s">
        <v>13</v>
      </c>
      <c r="D154" s="11" t="s">
        <v>538</v>
      </c>
      <c r="E154" s="72" t="s">
        <v>801</v>
      </c>
      <c r="F154" s="72" t="s">
        <v>801</v>
      </c>
      <c r="G154" s="11" t="s">
        <v>538</v>
      </c>
      <c r="H154" s="11" t="s">
        <v>213</v>
      </c>
      <c r="I154" s="73">
        <v>751530</v>
      </c>
      <c r="J154" s="73">
        <v>597465</v>
      </c>
      <c r="K154" s="73">
        <v>127287</v>
      </c>
      <c r="L154" s="73">
        <v>470178</v>
      </c>
      <c r="M154" s="73">
        <v>0</v>
      </c>
      <c r="N154" s="73">
        <v>624243</v>
      </c>
      <c r="O154" s="74">
        <v>62424</v>
      </c>
      <c r="P154" s="68"/>
      <c r="Q154" s="73">
        <v>154065</v>
      </c>
      <c r="R154" s="73">
        <v>0</v>
      </c>
      <c r="S154" s="75">
        <v>154065</v>
      </c>
      <c r="T154" s="76">
        <v>407754</v>
      </c>
      <c r="U154" s="77">
        <v>561819</v>
      </c>
      <c r="V154" s="68"/>
      <c r="W154" s="78">
        <v>9.9999519417918986E-2</v>
      </c>
      <c r="X154" s="78">
        <v>0.90000048058208104</v>
      </c>
    </row>
    <row r="155" spans="1:24" x14ac:dyDescent="0.25">
      <c r="A155" s="11">
        <v>2027</v>
      </c>
      <c r="B155" s="11" t="s">
        <v>13</v>
      </c>
      <c r="C155" s="71" t="s">
        <v>13</v>
      </c>
      <c r="D155" s="11" t="s">
        <v>539</v>
      </c>
      <c r="E155" s="72" t="s">
        <v>801</v>
      </c>
      <c r="F155" s="72" t="s">
        <v>801</v>
      </c>
      <c r="G155" s="11" t="s">
        <v>539</v>
      </c>
      <c r="H155" s="11" t="s">
        <v>214</v>
      </c>
      <c r="I155" s="73">
        <v>131165</v>
      </c>
      <c r="J155" s="73">
        <v>104276</v>
      </c>
      <c r="K155" s="73">
        <v>22216</v>
      </c>
      <c r="L155" s="73">
        <v>82060</v>
      </c>
      <c r="M155" s="73">
        <v>2419</v>
      </c>
      <c r="N155" s="73">
        <v>111368</v>
      </c>
      <c r="O155" s="74">
        <v>11137</v>
      </c>
      <c r="P155" s="68"/>
      <c r="Q155" s="73">
        <v>26889</v>
      </c>
      <c r="R155" s="73">
        <v>2419</v>
      </c>
      <c r="S155" s="75">
        <v>29308</v>
      </c>
      <c r="T155" s="76">
        <v>70923</v>
      </c>
      <c r="U155" s="77">
        <v>100231</v>
      </c>
      <c r="V155" s="68"/>
      <c r="W155" s="78">
        <v>0.10000179584799943</v>
      </c>
      <c r="X155" s="78">
        <v>0.8999982041520006</v>
      </c>
    </row>
    <row r="156" spans="1:24" x14ac:dyDescent="0.25">
      <c r="A156" s="11">
        <v>2027</v>
      </c>
      <c r="B156" s="11" t="s">
        <v>11</v>
      </c>
      <c r="C156" s="71" t="s">
        <v>11</v>
      </c>
      <c r="D156" s="11" t="s">
        <v>540</v>
      </c>
      <c r="E156" s="72" t="s">
        <v>801</v>
      </c>
      <c r="F156" s="72" t="s">
        <v>801</v>
      </c>
      <c r="G156" s="11" t="s">
        <v>540</v>
      </c>
      <c r="H156" s="11" t="s">
        <v>215</v>
      </c>
      <c r="I156" s="73">
        <v>196714</v>
      </c>
      <c r="J156" s="73">
        <v>152412</v>
      </c>
      <c r="K156" s="73">
        <v>32471</v>
      </c>
      <c r="L156" s="73">
        <v>119941</v>
      </c>
      <c r="M156" s="73">
        <v>0</v>
      </c>
      <c r="N156" s="73">
        <v>164243</v>
      </c>
      <c r="O156" s="74">
        <v>16424</v>
      </c>
      <c r="P156" s="68"/>
      <c r="Q156" s="73">
        <v>44302</v>
      </c>
      <c r="R156" s="73">
        <v>0</v>
      </c>
      <c r="S156" s="75">
        <v>44302</v>
      </c>
      <c r="T156" s="76">
        <v>103517</v>
      </c>
      <c r="U156" s="77">
        <v>147819</v>
      </c>
      <c r="V156" s="68"/>
      <c r="W156" s="78">
        <v>9.9998173438137397E-2</v>
      </c>
      <c r="X156" s="78">
        <v>0.90000182656186256</v>
      </c>
    </row>
    <row r="157" spans="1:24" x14ac:dyDescent="0.25">
      <c r="A157" s="11">
        <v>2027</v>
      </c>
      <c r="B157" s="11" t="s">
        <v>10</v>
      </c>
      <c r="C157" s="71" t="s">
        <v>10</v>
      </c>
      <c r="D157" s="11" t="s">
        <v>541</v>
      </c>
      <c r="E157" s="72" t="s">
        <v>801</v>
      </c>
      <c r="F157" s="72" t="s">
        <v>801</v>
      </c>
      <c r="G157" s="11" t="s">
        <v>541</v>
      </c>
      <c r="H157" s="11" t="s">
        <v>216</v>
      </c>
      <c r="I157" s="73">
        <v>655053</v>
      </c>
      <c r="J157" s="73">
        <v>528876</v>
      </c>
      <c r="K157" s="73">
        <v>112675</v>
      </c>
      <c r="L157" s="73">
        <v>416201</v>
      </c>
      <c r="M157" s="73">
        <v>16064</v>
      </c>
      <c r="N157" s="73">
        <v>558442</v>
      </c>
      <c r="O157" s="74">
        <v>55844</v>
      </c>
      <c r="P157" s="68"/>
      <c r="Q157" s="73">
        <v>126177</v>
      </c>
      <c r="R157" s="73">
        <v>16064</v>
      </c>
      <c r="S157" s="75">
        <v>142241</v>
      </c>
      <c r="T157" s="76">
        <v>360357</v>
      </c>
      <c r="U157" s="77">
        <v>502598</v>
      </c>
      <c r="V157" s="68"/>
      <c r="W157" s="78">
        <v>9.9999641860748292E-2</v>
      </c>
      <c r="X157" s="78">
        <v>0.90000035813925172</v>
      </c>
    </row>
    <row r="158" spans="1:24" x14ac:dyDescent="0.25">
      <c r="A158" s="11">
        <v>2027</v>
      </c>
      <c r="B158" s="11" t="s">
        <v>7</v>
      </c>
      <c r="C158" s="71" t="s">
        <v>7</v>
      </c>
      <c r="D158" s="11" t="s">
        <v>542</v>
      </c>
      <c r="E158" s="72" t="s">
        <v>801</v>
      </c>
      <c r="F158" s="72" t="s">
        <v>801</v>
      </c>
      <c r="G158" s="11" t="s">
        <v>542</v>
      </c>
      <c r="H158" s="11" t="s">
        <v>217</v>
      </c>
      <c r="I158" s="73">
        <v>224400</v>
      </c>
      <c r="J158" s="73">
        <v>175440</v>
      </c>
      <c r="K158" s="73">
        <v>37377</v>
      </c>
      <c r="L158" s="73">
        <v>138063</v>
      </c>
      <c r="M158" s="73">
        <v>0</v>
      </c>
      <c r="N158" s="73">
        <v>187023</v>
      </c>
      <c r="O158" s="74">
        <v>18702</v>
      </c>
      <c r="P158" s="68"/>
      <c r="Q158" s="73">
        <v>48960</v>
      </c>
      <c r="R158" s="73">
        <v>0</v>
      </c>
      <c r="S158" s="75">
        <v>48960</v>
      </c>
      <c r="T158" s="76">
        <v>119361</v>
      </c>
      <c r="U158" s="77">
        <v>168321</v>
      </c>
      <c r="V158" s="68"/>
      <c r="W158" s="78">
        <v>9.9998395919218497E-2</v>
      </c>
      <c r="X158" s="78">
        <v>0.90000160408078156</v>
      </c>
    </row>
    <row r="159" spans="1:24" x14ac:dyDescent="0.25">
      <c r="A159" s="11">
        <v>2027</v>
      </c>
      <c r="B159" s="11" t="s">
        <v>12</v>
      </c>
      <c r="C159" s="71" t="s">
        <v>12</v>
      </c>
      <c r="D159" s="11" t="s">
        <v>543</v>
      </c>
      <c r="E159" s="72" t="s">
        <v>801</v>
      </c>
      <c r="F159" s="72" t="s">
        <v>801</v>
      </c>
      <c r="G159" s="11" t="s">
        <v>543</v>
      </c>
      <c r="H159" s="11" t="s">
        <v>218</v>
      </c>
      <c r="I159" s="73">
        <v>120914</v>
      </c>
      <c r="J159" s="73">
        <v>95414</v>
      </c>
      <c r="K159" s="73">
        <v>20327</v>
      </c>
      <c r="L159" s="73">
        <v>75087</v>
      </c>
      <c r="M159" s="73">
        <v>10304</v>
      </c>
      <c r="N159" s="73">
        <v>110891</v>
      </c>
      <c r="O159" s="74">
        <v>11089</v>
      </c>
      <c r="P159" s="68"/>
      <c r="Q159" s="73">
        <v>25500</v>
      </c>
      <c r="R159" s="73">
        <v>10304</v>
      </c>
      <c r="S159" s="75">
        <v>35804</v>
      </c>
      <c r="T159" s="76">
        <v>63998</v>
      </c>
      <c r="U159" s="77">
        <v>99802</v>
      </c>
      <c r="V159" s="68"/>
      <c r="W159" s="78">
        <v>9.9999098213561066E-2</v>
      </c>
      <c r="X159" s="78">
        <v>0.90000090178643899</v>
      </c>
    </row>
    <row r="160" spans="1:24" x14ac:dyDescent="0.25">
      <c r="A160" s="11">
        <v>2027</v>
      </c>
      <c r="B160" s="11" t="s">
        <v>6</v>
      </c>
      <c r="C160" s="71" t="s">
        <v>6</v>
      </c>
      <c r="D160" s="11" t="s">
        <v>544</v>
      </c>
      <c r="E160" s="72" t="s">
        <v>801</v>
      </c>
      <c r="F160" s="72" t="s">
        <v>801</v>
      </c>
      <c r="G160" s="11" t="s">
        <v>544</v>
      </c>
      <c r="H160" s="11" t="s">
        <v>219</v>
      </c>
      <c r="I160" s="73">
        <v>121796</v>
      </c>
      <c r="J160" s="73">
        <v>93497</v>
      </c>
      <c r="K160" s="73">
        <v>19919</v>
      </c>
      <c r="L160" s="73">
        <v>73578</v>
      </c>
      <c r="M160" s="73">
        <v>11995</v>
      </c>
      <c r="N160" s="73">
        <v>113872</v>
      </c>
      <c r="O160" s="74">
        <v>11387</v>
      </c>
      <c r="P160" s="68"/>
      <c r="Q160" s="73">
        <v>28299</v>
      </c>
      <c r="R160" s="73">
        <v>11995</v>
      </c>
      <c r="S160" s="75">
        <v>40294</v>
      </c>
      <c r="T160" s="76">
        <v>62191</v>
      </c>
      <c r="U160" s="77">
        <v>102485</v>
      </c>
      <c r="V160" s="68"/>
      <c r="W160" s="78">
        <v>9.999824364198398E-2</v>
      </c>
      <c r="X160" s="78">
        <v>0.90000175635801605</v>
      </c>
    </row>
    <row r="161" spans="1:24" x14ac:dyDescent="0.25">
      <c r="A161" s="11">
        <v>2027</v>
      </c>
      <c r="B161" s="11" t="s">
        <v>11</v>
      </c>
      <c r="C161" s="71" t="s">
        <v>11</v>
      </c>
      <c r="D161" s="11" t="s">
        <v>545</v>
      </c>
      <c r="E161" s="72" t="s">
        <v>801</v>
      </c>
      <c r="F161" s="72" t="s">
        <v>801</v>
      </c>
      <c r="G161" s="11" t="s">
        <v>545</v>
      </c>
      <c r="H161" s="11" t="s">
        <v>220</v>
      </c>
      <c r="I161" s="73">
        <v>243797</v>
      </c>
      <c r="J161" s="73">
        <v>188891</v>
      </c>
      <c r="K161" s="73">
        <v>40242</v>
      </c>
      <c r="L161" s="73">
        <v>148649</v>
      </c>
      <c r="M161" s="73">
        <v>0</v>
      </c>
      <c r="N161" s="73">
        <v>203555</v>
      </c>
      <c r="O161" s="74">
        <v>20356</v>
      </c>
      <c r="P161" s="68"/>
      <c r="Q161" s="73">
        <v>54906</v>
      </c>
      <c r="R161" s="73">
        <v>0</v>
      </c>
      <c r="S161" s="75">
        <v>54906</v>
      </c>
      <c r="T161" s="76">
        <v>128293</v>
      </c>
      <c r="U161" s="77">
        <v>183199</v>
      </c>
      <c r="V161" s="68"/>
      <c r="W161" s="78">
        <v>0.10000245633858171</v>
      </c>
      <c r="X161" s="78">
        <v>0.89999754366141826</v>
      </c>
    </row>
    <row r="162" spans="1:24" x14ac:dyDescent="0.25">
      <c r="A162" s="11">
        <v>2027</v>
      </c>
      <c r="B162" s="11" t="s">
        <v>11</v>
      </c>
      <c r="C162" s="71" t="s">
        <v>11</v>
      </c>
      <c r="D162" s="11" t="s">
        <v>546</v>
      </c>
      <c r="E162" s="72" t="s">
        <v>801</v>
      </c>
      <c r="F162" s="72" t="s">
        <v>801</v>
      </c>
      <c r="G162" s="11" t="s">
        <v>546</v>
      </c>
      <c r="H162" s="11" t="s">
        <v>221</v>
      </c>
      <c r="I162" s="73">
        <v>910751</v>
      </c>
      <c r="J162" s="73">
        <v>705639</v>
      </c>
      <c r="K162" s="73">
        <v>150333</v>
      </c>
      <c r="L162" s="73">
        <v>555306</v>
      </c>
      <c r="M162" s="73">
        <v>0</v>
      </c>
      <c r="N162" s="73">
        <v>760418</v>
      </c>
      <c r="O162" s="74">
        <v>76042</v>
      </c>
      <c r="P162" s="68"/>
      <c r="Q162" s="73">
        <v>205112</v>
      </c>
      <c r="R162" s="73">
        <v>0</v>
      </c>
      <c r="S162" s="75">
        <v>205112</v>
      </c>
      <c r="T162" s="76">
        <v>479264</v>
      </c>
      <c r="U162" s="77">
        <v>684376</v>
      </c>
      <c r="V162" s="68"/>
      <c r="W162" s="78">
        <v>0.10000026301323746</v>
      </c>
      <c r="X162" s="78">
        <v>0.8999997369867625</v>
      </c>
    </row>
    <row r="163" spans="1:24" x14ac:dyDescent="0.25">
      <c r="A163" s="11">
        <v>2027</v>
      </c>
      <c r="B163" s="11" t="s">
        <v>12</v>
      </c>
      <c r="C163" s="71" t="s">
        <v>12</v>
      </c>
      <c r="D163" s="11" t="s">
        <v>547</v>
      </c>
      <c r="E163" s="72" t="s">
        <v>801</v>
      </c>
      <c r="F163" s="72" t="s">
        <v>801</v>
      </c>
      <c r="G163" s="11" t="s">
        <v>547</v>
      </c>
      <c r="H163" s="11" t="s">
        <v>222</v>
      </c>
      <c r="I163" s="73">
        <v>167627</v>
      </c>
      <c r="J163" s="73">
        <v>132275</v>
      </c>
      <c r="K163" s="73">
        <v>28181</v>
      </c>
      <c r="L163" s="73">
        <v>104094</v>
      </c>
      <c r="M163" s="73">
        <v>6977</v>
      </c>
      <c r="N163" s="73">
        <v>146423</v>
      </c>
      <c r="O163" s="74">
        <v>14642</v>
      </c>
      <c r="P163" s="68"/>
      <c r="Q163" s="73">
        <v>35352</v>
      </c>
      <c r="R163" s="73">
        <v>6977</v>
      </c>
      <c r="S163" s="75">
        <v>42329</v>
      </c>
      <c r="T163" s="76">
        <v>89452</v>
      </c>
      <c r="U163" s="77">
        <v>131781</v>
      </c>
      <c r="V163" s="68"/>
      <c r="W163" s="78">
        <v>9.999795114155563E-2</v>
      </c>
      <c r="X163" s="78">
        <v>0.90000204885844437</v>
      </c>
    </row>
    <row r="164" spans="1:24" x14ac:dyDescent="0.25">
      <c r="A164" s="11">
        <v>2027</v>
      </c>
      <c r="B164" s="11" t="s">
        <v>12</v>
      </c>
      <c r="C164" s="71" t="s">
        <v>12</v>
      </c>
      <c r="D164" s="11" t="s">
        <v>548</v>
      </c>
      <c r="E164" s="72" t="s">
        <v>801</v>
      </c>
      <c r="F164" s="72" t="s">
        <v>801</v>
      </c>
      <c r="G164" s="11" t="s">
        <v>548</v>
      </c>
      <c r="H164" s="11" t="s">
        <v>223</v>
      </c>
      <c r="I164" s="73">
        <v>1050178</v>
      </c>
      <c r="J164" s="73">
        <v>828700</v>
      </c>
      <c r="K164" s="73">
        <v>176551</v>
      </c>
      <c r="L164" s="73">
        <v>652149</v>
      </c>
      <c r="M164" s="73">
        <v>7604</v>
      </c>
      <c r="N164" s="73">
        <v>881231</v>
      </c>
      <c r="O164" s="74">
        <v>88123</v>
      </c>
      <c r="P164" s="68"/>
      <c r="Q164" s="73">
        <v>221478</v>
      </c>
      <c r="R164" s="73">
        <v>7604</v>
      </c>
      <c r="S164" s="75">
        <v>229082</v>
      </c>
      <c r="T164" s="76">
        <v>564026</v>
      </c>
      <c r="U164" s="77">
        <v>793108</v>
      </c>
      <c r="V164" s="68"/>
      <c r="W164" s="78">
        <v>9.9999886522376083E-2</v>
      </c>
      <c r="X164" s="78">
        <v>0.90000011347762388</v>
      </c>
    </row>
    <row r="165" spans="1:24" x14ac:dyDescent="0.25">
      <c r="A165" s="11">
        <v>2027</v>
      </c>
      <c r="B165" s="11" t="s">
        <v>9</v>
      </c>
      <c r="C165" s="71" t="s">
        <v>9</v>
      </c>
      <c r="D165" s="11" t="s">
        <v>549</v>
      </c>
      <c r="E165" s="72" t="s">
        <v>801</v>
      </c>
      <c r="F165" s="72" t="s">
        <v>801</v>
      </c>
      <c r="G165" s="11" t="s">
        <v>549</v>
      </c>
      <c r="H165" s="11" t="s">
        <v>224</v>
      </c>
      <c r="I165" s="73">
        <v>2932206</v>
      </c>
      <c r="J165" s="73">
        <v>2320071</v>
      </c>
      <c r="K165" s="73">
        <v>494281</v>
      </c>
      <c r="L165" s="73">
        <v>1825790</v>
      </c>
      <c r="M165" s="73">
        <v>0</v>
      </c>
      <c r="N165" s="73">
        <v>2437925</v>
      </c>
      <c r="O165" s="74">
        <v>243793</v>
      </c>
      <c r="P165" s="68"/>
      <c r="Q165" s="73">
        <v>612135</v>
      </c>
      <c r="R165" s="73">
        <v>0</v>
      </c>
      <c r="S165" s="75">
        <v>612135</v>
      </c>
      <c r="T165" s="76">
        <v>1581997</v>
      </c>
      <c r="U165" s="77">
        <v>2194132</v>
      </c>
      <c r="V165" s="68"/>
      <c r="W165" s="78">
        <v>0.10000020509244542</v>
      </c>
      <c r="X165" s="78">
        <v>0.89999979490755455</v>
      </c>
    </row>
    <row r="166" spans="1:24" x14ac:dyDescent="0.25">
      <c r="A166" s="11">
        <v>2027</v>
      </c>
      <c r="B166" s="11" t="s">
        <v>9</v>
      </c>
      <c r="C166" s="71" t="s">
        <v>9</v>
      </c>
      <c r="D166" s="11" t="s">
        <v>550</v>
      </c>
      <c r="E166" s="72" t="s">
        <v>801</v>
      </c>
      <c r="F166" s="72" t="s">
        <v>801</v>
      </c>
      <c r="G166" s="11" t="s">
        <v>550</v>
      </c>
      <c r="H166" s="11" t="s">
        <v>225</v>
      </c>
      <c r="I166" s="73">
        <v>261607</v>
      </c>
      <c r="J166" s="73">
        <v>206993</v>
      </c>
      <c r="K166" s="73">
        <v>44099</v>
      </c>
      <c r="L166" s="73">
        <v>162894</v>
      </c>
      <c r="M166" s="73">
        <v>1024</v>
      </c>
      <c r="N166" s="73">
        <v>218532</v>
      </c>
      <c r="O166" s="74">
        <v>21853</v>
      </c>
      <c r="P166" s="68"/>
      <c r="Q166" s="73">
        <v>54614</v>
      </c>
      <c r="R166" s="73">
        <v>1024</v>
      </c>
      <c r="S166" s="75">
        <v>55638</v>
      </c>
      <c r="T166" s="76">
        <v>141041</v>
      </c>
      <c r="U166" s="77">
        <v>196679</v>
      </c>
      <c r="V166" s="68"/>
      <c r="W166" s="78">
        <v>9.999908480222576E-2</v>
      </c>
      <c r="X166" s="78">
        <v>0.90000091519777425</v>
      </c>
    </row>
    <row r="167" spans="1:24" x14ac:dyDescent="0.25">
      <c r="A167" s="11">
        <v>2027</v>
      </c>
      <c r="B167" s="11" t="s">
        <v>12</v>
      </c>
      <c r="C167" s="71" t="s">
        <v>12</v>
      </c>
      <c r="D167" s="11" t="s">
        <v>551</v>
      </c>
      <c r="E167" s="72" t="s">
        <v>801</v>
      </c>
      <c r="F167" s="72" t="s">
        <v>801</v>
      </c>
      <c r="G167" s="11" t="s">
        <v>551</v>
      </c>
      <c r="H167" s="11" t="s">
        <v>226</v>
      </c>
      <c r="I167" s="73">
        <v>221540</v>
      </c>
      <c r="J167" s="73">
        <v>174819</v>
      </c>
      <c r="K167" s="73">
        <v>37244</v>
      </c>
      <c r="L167" s="73">
        <v>137575</v>
      </c>
      <c r="M167" s="73">
        <v>2721</v>
      </c>
      <c r="N167" s="73">
        <v>187017</v>
      </c>
      <c r="O167" s="74">
        <v>18702</v>
      </c>
      <c r="P167" s="68"/>
      <c r="Q167" s="73">
        <v>46721</v>
      </c>
      <c r="R167" s="73">
        <v>2721</v>
      </c>
      <c r="S167" s="75">
        <v>49442</v>
      </c>
      <c r="T167" s="76">
        <v>118873</v>
      </c>
      <c r="U167" s="77">
        <v>168315</v>
      </c>
      <c r="V167" s="68"/>
      <c r="W167" s="78">
        <v>0.10000160413224467</v>
      </c>
      <c r="X167" s="78">
        <v>0.89999839586775532</v>
      </c>
    </row>
    <row r="168" spans="1:24" x14ac:dyDescent="0.25">
      <c r="A168" s="11">
        <v>2027</v>
      </c>
      <c r="B168" s="11" t="s">
        <v>9</v>
      </c>
      <c r="C168" s="71" t="s">
        <v>9</v>
      </c>
      <c r="D168" s="11" t="s">
        <v>552</v>
      </c>
      <c r="E168" s="72" t="s">
        <v>801</v>
      </c>
      <c r="F168" s="72" t="s">
        <v>801</v>
      </c>
      <c r="G168" s="11" t="s">
        <v>552</v>
      </c>
      <c r="H168" s="11" t="s">
        <v>227</v>
      </c>
      <c r="I168" s="73">
        <v>109578</v>
      </c>
      <c r="J168" s="73">
        <v>86703</v>
      </c>
      <c r="K168" s="73">
        <v>18472</v>
      </c>
      <c r="L168" s="73">
        <v>68231</v>
      </c>
      <c r="M168" s="73">
        <v>19020</v>
      </c>
      <c r="N168" s="73">
        <v>110126</v>
      </c>
      <c r="O168" s="74">
        <v>11013</v>
      </c>
      <c r="P168" s="68"/>
      <c r="Q168" s="73">
        <v>22875</v>
      </c>
      <c r="R168" s="73">
        <v>19020</v>
      </c>
      <c r="S168" s="75">
        <v>41895</v>
      </c>
      <c r="T168" s="76">
        <v>57218</v>
      </c>
      <c r="U168" s="77">
        <v>99113</v>
      </c>
      <c r="V168" s="68"/>
      <c r="W168" s="78">
        <v>0.1000036322031128</v>
      </c>
      <c r="X168" s="78">
        <v>0.89999636779688719</v>
      </c>
    </row>
    <row r="169" spans="1:24" x14ac:dyDescent="0.25">
      <c r="A169" s="11">
        <v>2027</v>
      </c>
      <c r="B169" s="11" t="s">
        <v>8</v>
      </c>
      <c r="C169" s="71" t="s">
        <v>8</v>
      </c>
      <c r="D169" s="11" t="s">
        <v>553</v>
      </c>
      <c r="E169" s="72" t="s">
        <v>801</v>
      </c>
      <c r="F169" s="72" t="s">
        <v>801</v>
      </c>
      <c r="G169" s="11" t="s">
        <v>553</v>
      </c>
      <c r="H169" s="11" t="s">
        <v>228</v>
      </c>
      <c r="I169" s="73">
        <v>263739</v>
      </c>
      <c r="J169" s="73">
        <v>207558</v>
      </c>
      <c r="K169" s="73">
        <v>44219</v>
      </c>
      <c r="L169" s="73">
        <v>163339</v>
      </c>
      <c r="M169" s="73">
        <v>858</v>
      </c>
      <c r="N169" s="73">
        <v>220378</v>
      </c>
      <c r="O169" s="74">
        <v>22038</v>
      </c>
      <c r="P169" s="68"/>
      <c r="Q169" s="73">
        <v>56181</v>
      </c>
      <c r="R169" s="73">
        <v>858</v>
      </c>
      <c r="S169" s="75">
        <v>57039</v>
      </c>
      <c r="T169" s="76">
        <v>141301</v>
      </c>
      <c r="U169" s="77">
        <v>198340</v>
      </c>
      <c r="V169" s="68"/>
      <c r="W169" s="78">
        <v>0.10000090753160479</v>
      </c>
      <c r="X169" s="78">
        <v>0.89999909246839516</v>
      </c>
    </row>
    <row r="170" spans="1:24" x14ac:dyDescent="0.25">
      <c r="A170" s="11">
        <v>2027</v>
      </c>
      <c r="B170" s="11" t="s">
        <v>10</v>
      </c>
      <c r="C170" s="71" t="s">
        <v>10</v>
      </c>
      <c r="D170" s="11" t="s">
        <v>554</v>
      </c>
      <c r="E170" s="72" t="s">
        <v>801</v>
      </c>
      <c r="F170" s="72" t="s">
        <v>801</v>
      </c>
      <c r="G170" s="11" t="s">
        <v>554</v>
      </c>
      <c r="H170" s="11" t="s">
        <v>229</v>
      </c>
      <c r="I170" s="73">
        <v>168065</v>
      </c>
      <c r="J170" s="73">
        <v>135692</v>
      </c>
      <c r="K170" s="73">
        <v>28909</v>
      </c>
      <c r="L170" s="73">
        <v>106783</v>
      </c>
      <c r="M170" s="73">
        <v>0</v>
      </c>
      <c r="N170" s="73">
        <v>139156</v>
      </c>
      <c r="O170" s="74">
        <v>13916</v>
      </c>
      <c r="P170" s="68"/>
      <c r="Q170" s="73">
        <v>32373</v>
      </c>
      <c r="R170" s="73">
        <v>0</v>
      </c>
      <c r="S170" s="75">
        <v>32373</v>
      </c>
      <c r="T170" s="76">
        <v>92867</v>
      </c>
      <c r="U170" s="77">
        <v>125240</v>
      </c>
      <c r="V170" s="68"/>
      <c r="W170" s="78">
        <v>0.1000028744718158</v>
      </c>
      <c r="X170" s="78">
        <v>0.89999712552818423</v>
      </c>
    </row>
    <row r="171" spans="1:24" x14ac:dyDescent="0.25">
      <c r="A171" s="11">
        <v>2027</v>
      </c>
      <c r="B171" s="11" t="s">
        <v>10</v>
      </c>
      <c r="C171" s="71" t="s">
        <v>10</v>
      </c>
      <c r="D171" s="11" t="s">
        <v>555</v>
      </c>
      <c r="E171" s="72" t="s">
        <v>801</v>
      </c>
      <c r="F171" s="72" t="s">
        <v>801</v>
      </c>
      <c r="G171" s="11" t="s">
        <v>555</v>
      </c>
      <c r="H171" s="11" t="s">
        <v>230</v>
      </c>
      <c r="I171" s="73">
        <v>239657</v>
      </c>
      <c r="J171" s="73">
        <v>193494</v>
      </c>
      <c r="K171" s="73">
        <v>41223</v>
      </c>
      <c r="L171" s="73">
        <v>152271</v>
      </c>
      <c r="M171" s="73">
        <v>6151</v>
      </c>
      <c r="N171" s="73">
        <v>204585</v>
      </c>
      <c r="O171" s="74">
        <v>20459</v>
      </c>
      <c r="P171" s="68"/>
      <c r="Q171" s="73">
        <v>46163</v>
      </c>
      <c r="R171" s="73">
        <v>6151</v>
      </c>
      <c r="S171" s="75">
        <v>52314</v>
      </c>
      <c r="T171" s="76">
        <v>131812</v>
      </c>
      <c r="U171" s="77">
        <v>184126</v>
      </c>
      <c r="V171" s="68"/>
      <c r="W171" s="78">
        <v>0.1000024439719432</v>
      </c>
      <c r="X171" s="78">
        <v>0.89999755602805676</v>
      </c>
    </row>
    <row r="172" spans="1:24" x14ac:dyDescent="0.25">
      <c r="A172" s="11">
        <v>2027</v>
      </c>
      <c r="B172" s="11" t="s">
        <v>6</v>
      </c>
      <c r="C172" s="71" t="s">
        <v>6</v>
      </c>
      <c r="D172" s="11" t="s">
        <v>556</v>
      </c>
      <c r="E172" s="72" t="s">
        <v>801</v>
      </c>
      <c r="F172" s="72" t="s">
        <v>801</v>
      </c>
      <c r="G172" s="11" t="s">
        <v>556</v>
      </c>
      <c r="H172" s="11" t="s">
        <v>231</v>
      </c>
      <c r="I172" s="73">
        <v>259906</v>
      </c>
      <c r="J172" s="73">
        <v>199518</v>
      </c>
      <c r="K172" s="73">
        <v>42507</v>
      </c>
      <c r="L172" s="73">
        <v>157011</v>
      </c>
      <c r="M172" s="73">
        <v>115</v>
      </c>
      <c r="N172" s="73">
        <v>217514</v>
      </c>
      <c r="O172" s="74">
        <v>21751</v>
      </c>
      <c r="P172" s="68"/>
      <c r="Q172" s="73">
        <v>60388</v>
      </c>
      <c r="R172" s="73">
        <v>115</v>
      </c>
      <c r="S172" s="75">
        <v>60503</v>
      </c>
      <c r="T172" s="76">
        <v>135260</v>
      </c>
      <c r="U172" s="77">
        <v>195763</v>
      </c>
      <c r="V172" s="68"/>
      <c r="W172" s="78">
        <v>9.9998161037910205E-2</v>
      </c>
      <c r="X172" s="78">
        <v>0.90000183896208985</v>
      </c>
    </row>
    <row r="173" spans="1:24" x14ac:dyDescent="0.25">
      <c r="A173" s="11">
        <v>2027</v>
      </c>
      <c r="B173" s="11" t="s">
        <v>11</v>
      </c>
      <c r="C173" s="71" t="s">
        <v>11</v>
      </c>
      <c r="D173" s="11" t="s">
        <v>557</v>
      </c>
      <c r="E173" s="72" t="s">
        <v>801</v>
      </c>
      <c r="F173" s="72" t="s">
        <v>801</v>
      </c>
      <c r="G173" s="11" t="s">
        <v>557</v>
      </c>
      <c r="H173" s="11" t="s">
        <v>232</v>
      </c>
      <c r="I173" s="73">
        <v>213517</v>
      </c>
      <c r="J173" s="73">
        <v>165430</v>
      </c>
      <c r="K173" s="73">
        <v>35244</v>
      </c>
      <c r="L173" s="73">
        <v>130186</v>
      </c>
      <c r="M173" s="73">
        <v>21860</v>
      </c>
      <c r="N173" s="73">
        <v>200133</v>
      </c>
      <c r="O173" s="74">
        <v>20013</v>
      </c>
      <c r="P173" s="68"/>
      <c r="Q173" s="73">
        <v>48087</v>
      </c>
      <c r="R173" s="73">
        <v>21860</v>
      </c>
      <c r="S173" s="75">
        <v>69947</v>
      </c>
      <c r="T173" s="76">
        <v>110173</v>
      </c>
      <c r="U173" s="77">
        <v>180120</v>
      </c>
      <c r="V173" s="68"/>
      <c r="W173" s="78">
        <v>9.9998500996837103E-2</v>
      </c>
      <c r="X173" s="78">
        <v>0.90000149900316284</v>
      </c>
    </row>
    <row r="174" spans="1:24" x14ac:dyDescent="0.25">
      <c r="A174" s="11">
        <v>2027</v>
      </c>
      <c r="B174" s="11" t="s">
        <v>8</v>
      </c>
      <c r="C174" s="71" t="s">
        <v>8</v>
      </c>
      <c r="D174" s="11" t="s">
        <v>558</v>
      </c>
      <c r="E174" s="72" t="s">
        <v>801</v>
      </c>
      <c r="F174" s="72" t="s">
        <v>801</v>
      </c>
      <c r="G174" s="11" t="s">
        <v>558</v>
      </c>
      <c r="H174" s="11" t="s">
        <v>233</v>
      </c>
      <c r="I174" s="73">
        <v>487073</v>
      </c>
      <c r="J174" s="73">
        <v>383318</v>
      </c>
      <c r="K174" s="73">
        <v>81664</v>
      </c>
      <c r="L174" s="73">
        <v>301654</v>
      </c>
      <c r="M174" s="73">
        <v>28600</v>
      </c>
      <c r="N174" s="73">
        <v>434009</v>
      </c>
      <c r="O174" s="74">
        <v>43401</v>
      </c>
      <c r="P174" s="68"/>
      <c r="Q174" s="73">
        <v>103755</v>
      </c>
      <c r="R174" s="73">
        <v>28600</v>
      </c>
      <c r="S174" s="75">
        <v>132355</v>
      </c>
      <c r="T174" s="76">
        <v>258253</v>
      </c>
      <c r="U174" s="77">
        <v>390608</v>
      </c>
      <c r="V174" s="68"/>
      <c r="W174" s="78">
        <v>0.10000023040996846</v>
      </c>
      <c r="X174" s="78">
        <v>0.89999976959003158</v>
      </c>
    </row>
    <row r="175" spans="1:24" x14ac:dyDescent="0.25">
      <c r="A175" s="11">
        <v>2027</v>
      </c>
      <c r="B175" s="11" t="s">
        <v>5</v>
      </c>
      <c r="C175" s="71" t="s">
        <v>5</v>
      </c>
      <c r="D175" s="11" t="s">
        <v>559</v>
      </c>
      <c r="E175" s="72" t="s">
        <v>801</v>
      </c>
      <c r="F175" s="72" t="s">
        <v>801</v>
      </c>
      <c r="G175" s="11" t="s">
        <v>559</v>
      </c>
      <c r="H175" s="11" t="s">
        <v>234</v>
      </c>
      <c r="I175" s="73">
        <v>278914</v>
      </c>
      <c r="J175" s="73">
        <v>211652</v>
      </c>
      <c r="K175" s="73">
        <v>45092</v>
      </c>
      <c r="L175" s="73">
        <v>166560</v>
      </c>
      <c r="M175" s="73">
        <v>0</v>
      </c>
      <c r="N175" s="73">
        <v>233822</v>
      </c>
      <c r="O175" s="74">
        <v>23382</v>
      </c>
      <c r="P175" s="68"/>
      <c r="Q175" s="73">
        <v>67262</v>
      </c>
      <c r="R175" s="73">
        <v>0</v>
      </c>
      <c r="S175" s="75">
        <v>67262</v>
      </c>
      <c r="T175" s="76">
        <v>143178</v>
      </c>
      <c r="U175" s="77">
        <v>210440</v>
      </c>
      <c r="V175" s="68"/>
      <c r="W175" s="78">
        <v>9.9999144648493299E-2</v>
      </c>
      <c r="X175" s="78">
        <v>0.90000085535150676</v>
      </c>
    </row>
    <row r="176" spans="1:24" x14ac:dyDescent="0.25">
      <c r="A176" s="11">
        <v>2027</v>
      </c>
      <c r="B176" s="11" t="s">
        <v>11</v>
      </c>
      <c r="C176" s="71" t="s">
        <v>11</v>
      </c>
      <c r="D176" s="11" t="s">
        <v>560</v>
      </c>
      <c r="E176" s="72" t="s">
        <v>801</v>
      </c>
      <c r="F176" s="72" t="s">
        <v>801</v>
      </c>
      <c r="G176" s="11" t="s">
        <v>560</v>
      </c>
      <c r="H176" s="11" t="s">
        <v>235</v>
      </c>
      <c r="I176" s="73">
        <v>187934</v>
      </c>
      <c r="J176" s="73">
        <v>145609</v>
      </c>
      <c r="K176" s="73">
        <v>31021</v>
      </c>
      <c r="L176" s="73">
        <v>114588</v>
      </c>
      <c r="M176" s="73">
        <v>0</v>
      </c>
      <c r="N176" s="73">
        <v>156913</v>
      </c>
      <c r="O176" s="74">
        <v>15691</v>
      </c>
      <c r="P176" s="68"/>
      <c r="Q176" s="73">
        <v>42325</v>
      </c>
      <c r="R176" s="73">
        <v>0</v>
      </c>
      <c r="S176" s="75">
        <v>42325</v>
      </c>
      <c r="T176" s="76">
        <v>98897</v>
      </c>
      <c r="U176" s="77">
        <v>141222</v>
      </c>
      <c r="V176" s="68"/>
      <c r="W176" s="78">
        <v>9.999808811252095E-2</v>
      </c>
      <c r="X176" s="78">
        <v>0.90000191188747902</v>
      </c>
    </row>
    <row r="177" spans="1:24" x14ac:dyDescent="0.25">
      <c r="A177" s="11">
        <v>2027</v>
      </c>
      <c r="B177" s="11" t="s">
        <v>9</v>
      </c>
      <c r="C177" s="71" t="s">
        <v>9</v>
      </c>
      <c r="D177" s="11" t="s">
        <v>561</v>
      </c>
      <c r="E177" s="72" t="s">
        <v>801</v>
      </c>
      <c r="F177" s="72" t="s">
        <v>801</v>
      </c>
      <c r="G177" s="11" t="s">
        <v>561</v>
      </c>
      <c r="H177" s="11" t="s">
        <v>236</v>
      </c>
      <c r="I177" s="73">
        <v>712258</v>
      </c>
      <c r="J177" s="73">
        <v>563565</v>
      </c>
      <c r="K177" s="73">
        <v>120065</v>
      </c>
      <c r="L177" s="73">
        <v>443500</v>
      </c>
      <c r="M177" s="73">
        <v>0</v>
      </c>
      <c r="N177" s="73">
        <v>592193</v>
      </c>
      <c r="O177" s="74">
        <v>59219</v>
      </c>
      <c r="P177" s="68"/>
      <c r="Q177" s="73">
        <v>148693</v>
      </c>
      <c r="R177" s="73">
        <v>0</v>
      </c>
      <c r="S177" s="75">
        <v>148693</v>
      </c>
      <c r="T177" s="76">
        <v>384281</v>
      </c>
      <c r="U177" s="77">
        <v>532974</v>
      </c>
      <c r="V177" s="68"/>
      <c r="W177" s="78">
        <v>9.9999493408398948E-2</v>
      </c>
      <c r="X177" s="78">
        <v>0.90000050659160102</v>
      </c>
    </row>
    <row r="178" spans="1:24" x14ac:dyDescent="0.25">
      <c r="A178" s="11">
        <v>2027</v>
      </c>
      <c r="B178" s="11" t="s">
        <v>7</v>
      </c>
      <c r="C178" s="71" t="s">
        <v>7</v>
      </c>
      <c r="D178" s="11" t="s">
        <v>562</v>
      </c>
      <c r="E178" s="72" t="s">
        <v>801</v>
      </c>
      <c r="F178" s="72" t="s">
        <v>801</v>
      </c>
      <c r="G178" s="11" t="s">
        <v>562</v>
      </c>
      <c r="H178" s="11" t="s">
        <v>237</v>
      </c>
      <c r="I178" s="73">
        <v>2168816</v>
      </c>
      <c r="J178" s="73">
        <v>1695613</v>
      </c>
      <c r="K178" s="73">
        <v>361243</v>
      </c>
      <c r="L178" s="73">
        <v>1334370</v>
      </c>
      <c r="M178" s="73">
        <v>3793</v>
      </c>
      <c r="N178" s="73">
        <v>1811366</v>
      </c>
      <c r="O178" s="74">
        <v>181137</v>
      </c>
      <c r="P178" s="68"/>
      <c r="Q178" s="73">
        <v>473203</v>
      </c>
      <c r="R178" s="73">
        <v>3793</v>
      </c>
      <c r="S178" s="75">
        <v>476996</v>
      </c>
      <c r="T178" s="76">
        <v>1153233</v>
      </c>
      <c r="U178" s="77">
        <v>1630229</v>
      </c>
      <c r="V178" s="68"/>
      <c r="W178" s="78">
        <v>0.10000022082781723</v>
      </c>
      <c r="X178" s="78">
        <v>0.89999977917218277</v>
      </c>
    </row>
    <row r="179" spans="1:24" x14ac:dyDescent="0.25">
      <c r="A179" s="11">
        <v>2027</v>
      </c>
      <c r="B179" s="11" t="s">
        <v>10</v>
      </c>
      <c r="C179" s="71" t="s">
        <v>10</v>
      </c>
      <c r="D179" s="11" t="s">
        <v>563</v>
      </c>
      <c r="E179" s="72" t="s">
        <v>801</v>
      </c>
      <c r="F179" s="72" t="s">
        <v>801</v>
      </c>
      <c r="G179" s="11" t="s">
        <v>563</v>
      </c>
      <c r="H179" s="11" t="s">
        <v>238</v>
      </c>
      <c r="I179" s="73">
        <v>182999</v>
      </c>
      <c r="J179" s="73">
        <v>147750</v>
      </c>
      <c r="K179" s="73">
        <v>31477</v>
      </c>
      <c r="L179" s="73">
        <v>116273</v>
      </c>
      <c r="M179" s="73">
        <v>0</v>
      </c>
      <c r="N179" s="73">
        <v>151522</v>
      </c>
      <c r="O179" s="74">
        <v>15152</v>
      </c>
      <c r="P179" s="68"/>
      <c r="Q179" s="73">
        <v>35249</v>
      </c>
      <c r="R179" s="73">
        <v>0</v>
      </c>
      <c r="S179" s="75">
        <v>35249</v>
      </c>
      <c r="T179" s="76">
        <v>101121</v>
      </c>
      <c r="U179" s="77">
        <v>136370</v>
      </c>
      <c r="V179" s="68"/>
      <c r="W179" s="78">
        <v>9.999868005966131E-2</v>
      </c>
      <c r="X179" s="78">
        <v>0.90000131994033872</v>
      </c>
    </row>
    <row r="180" spans="1:24" x14ac:dyDescent="0.25">
      <c r="A180" s="11">
        <v>2027</v>
      </c>
      <c r="B180" s="11" t="s">
        <v>7</v>
      </c>
      <c r="C180" s="71" t="s">
        <v>7</v>
      </c>
      <c r="D180" s="11" t="s">
        <v>564</v>
      </c>
      <c r="E180" s="72" t="s">
        <v>801</v>
      </c>
      <c r="F180" s="72" t="s">
        <v>801</v>
      </c>
      <c r="G180" s="11" t="s">
        <v>564</v>
      </c>
      <c r="H180" s="11" t="s">
        <v>239</v>
      </c>
      <c r="I180" s="73">
        <v>1401605</v>
      </c>
      <c r="J180" s="73">
        <v>1095796</v>
      </c>
      <c r="K180" s="73">
        <v>233455</v>
      </c>
      <c r="L180" s="73">
        <v>862341</v>
      </c>
      <c r="M180" s="73">
        <v>0</v>
      </c>
      <c r="N180" s="73">
        <v>1168150</v>
      </c>
      <c r="O180" s="74">
        <v>116815</v>
      </c>
      <c r="P180" s="68"/>
      <c r="Q180" s="73">
        <v>305809</v>
      </c>
      <c r="R180" s="73">
        <v>0</v>
      </c>
      <c r="S180" s="75">
        <v>305809</v>
      </c>
      <c r="T180" s="76">
        <v>745526</v>
      </c>
      <c r="U180" s="77">
        <v>1051335</v>
      </c>
      <c r="V180" s="68"/>
      <c r="W180" s="78">
        <v>0.1</v>
      </c>
      <c r="X180" s="78">
        <v>0.9</v>
      </c>
    </row>
    <row r="181" spans="1:24" x14ac:dyDescent="0.25">
      <c r="A181" s="11">
        <v>2027</v>
      </c>
      <c r="B181" s="11" t="s">
        <v>13</v>
      </c>
      <c r="C181" s="71" t="s">
        <v>13</v>
      </c>
      <c r="D181" s="11" t="s">
        <v>565</v>
      </c>
      <c r="E181" s="72" t="s">
        <v>801</v>
      </c>
      <c r="F181" s="72" t="s">
        <v>801</v>
      </c>
      <c r="G181" s="11" t="s">
        <v>565</v>
      </c>
      <c r="H181" s="11" t="s">
        <v>240</v>
      </c>
      <c r="I181" s="73">
        <v>335543</v>
      </c>
      <c r="J181" s="73">
        <v>266756</v>
      </c>
      <c r="K181" s="73">
        <v>56831</v>
      </c>
      <c r="L181" s="73">
        <v>209925</v>
      </c>
      <c r="M181" s="73">
        <v>0</v>
      </c>
      <c r="N181" s="73">
        <v>278712</v>
      </c>
      <c r="O181" s="74">
        <v>27871</v>
      </c>
      <c r="P181" s="68"/>
      <c r="Q181" s="73">
        <v>68787</v>
      </c>
      <c r="R181" s="73">
        <v>0</v>
      </c>
      <c r="S181" s="75">
        <v>68787</v>
      </c>
      <c r="T181" s="76">
        <v>182054</v>
      </c>
      <c r="U181" s="77">
        <v>250841</v>
      </c>
      <c r="V181" s="68"/>
      <c r="W181" s="78">
        <v>9.9999282413387292E-2</v>
      </c>
      <c r="X181" s="78">
        <v>0.90000071758661271</v>
      </c>
    </row>
    <row r="182" spans="1:24" x14ac:dyDescent="0.25">
      <c r="A182" s="11">
        <v>2027</v>
      </c>
      <c r="B182" s="11" t="s">
        <v>10</v>
      </c>
      <c r="C182" s="71" t="s">
        <v>10</v>
      </c>
      <c r="D182" s="11" t="s">
        <v>566</v>
      </c>
      <c r="E182" s="72" t="s">
        <v>801</v>
      </c>
      <c r="F182" s="72" t="s">
        <v>801</v>
      </c>
      <c r="G182" s="11" t="s">
        <v>566</v>
      </c>
      <c r="H182" s="11" t="s">
        <v>241</v>
      </c>
      <c r="I182" s="73">
        <v>113193</v>
      </c>
      <c r="J182" s="73">
        <v>91390</v>
      </c>
      <c r="K182" s="73">
        <v>19470</v>
      </c>
      <c r="L182" s="73">
        <v>71920</v>
      </c>
      <c r="M182" s="73">
        <v>3712</v>
      </c>
      <c r="N182" s="73">
        <v>97435</v>
      </c>
      <c r="O182" s="74">
        <v>9744</v>
      </c>
      <c r="P182" s="68"/>
      <c r="Q182" s="73">
        <v>21803</v>
      </c>
      <c r="R182" s="73">
        <v>3712</v>
      </c>
      <c r="S182" s="75">
        <v>25515</v>
      </c>
      <c r="T182" s="76">
        <v>62176</v>
      </c>
      <c r="U182" s="77">
        <v>87691</v>
      </c>
      <c r="V182" s="68"/>
      <c r="W182" s="78">
        <v>0.10000513162621234</v>
      </c>
      <c r="X182" s="78">
        <v>0.89999486837378762</v>
      </c>
    </row>
    <row r="183" spans="1:24" x14ac:dyDescent="0.25">
      <c r="A183" s="11">
        <v>2027</v>
      </c>
      <c r="B183" s="11" t="s">
        <v>5</v>
      </c>
      <c r="C183" s="71" t="s">
        <v>5</v>
      </c>
      <c r="D183" s="11" t="s">
        <v>567</v>
      </c>
      <c r="E183" s="72" t="s">
        <v>801</v>
      </c>
      <c r="F183" s="72" t="s">
        <v>801</v>
      </c>
      <c r="G183" s="11" t="s">
        <v>567</v>
      </c>
      <c r="H183" s="11" t="s">
        <v>242</v>
      </c>
      <c r="I183" s="73">
        <v>330252</v>
      </c>
      <c r="J183" s="73">
        <v>250610</v>
      </c>
      <c r="K183" s="73">
        <v>53391</v>
      </c>
      <c r="L183" s="73">
        <v>197219</v>
      </c>
      <c r="M183" s="73">
        <v>0</v>
      </c>
      <c r="N183" s="73">
        <v>276861</v>
      </c>
      <c r="O183" s="74">
        <v>27686</v>
      </c>
      <c r="P183" s="68"/>
      <c r="Q183" s="73">
        <v>79642</v>
      </c>
      <c r="R183" s="73">
        <v>0</v>
      </c>
      <c r="S183" s="75">
        <v>79642</v>
      </c>
      <c r="T183" s="76">
        <v>169533</v>
      </c>
      <c r="U183" s="77">
        <v>249175</v>
      </c>
      <c r="V183" s="68"/>
      <c r="W183" s="78">
        <v>9.9999638807921662E-2</v>
      </c>
      <c r="X183" s="78">
        <v>0.90000036119207838</v>
      </c>
    </row>
    <row r="184" spans="1:24" x14ac:dyDescent="0.25">
      <c r="A184" s="11">
        <v>2027</v>
      </c>
      <c r="B184" s="11" t="s">
        <v>9</v>
      </c>
      <c r="C184" s="71" t="s">
        <v>9</v>
      </c>
      <c r="D184" s="11" t="s">
        <v>569</v>
      </c>
      <c r="E184" s="72" t="s">
        <v>801</v>
      </c>
      <c r="F184" s="72" t="s">
        <v>801</v>
      </c>
      <c r="G184" s="11" t="s">
        <v>569</v>
      </c>
      <c r="H184" s="11" t="s">
        <v>244</v>
      </c>
      <c r="I184" s="73">
        <v>193654</v>
      </c>
      <c r="J184" s="73">
        <v>153226</v>
      </c>
      <c r="K184" s="73">
        <v>32644</v>
      </c>
      <c r="L184" s="73">
        <v>120582</v>
      </c>
      <c r="M184" s="73">
        <v>4463</v>
      </c>
      <c r="N184" s="73">
        <v>165473</v>
      </c>
      <c r="O184" s="74">
        <v>16547</v>
      </c>
      <c r="P184" s="68"/>
      <c r="Q184" s="73">
        <v>40428</v>
      </c>
      <c r="R184" s="73">
        <v>4463</v>
      </c>
      <c r="S184" s="75">
        <v>44891</v>
      </c>
      <c r="T184" s="76">
        <v>104035</v>
      </c>
      <c r="U184" s="77">
        <v>148926</v>
      </c>
      <c r="V184" s="68"/>
      <c r="W184" s="78">
        <v>9.9998187015404319E-2</v>
      </c>
      <c r="X184" s="78">
        <v>0.90000181298459569</v>
      </c>
    </row>
    <row r="185" spans="1:24" x14ac:dyDescent="0.25">
      <c r="A185" s="11">
        <v>2027</v>
      </c>
      <c r="B185" s="11" t="s">
        <v>9</v>
      </c>
      <c r="C185" s="71" t="s">
        <v>9</v>
      </c>
      <c r="D185" s="11" t="s">
        <v>568</v>
      </c>
      <c r="E185" s="72" t="s">
        <v>801</v>
      </c>
      <c r="F185" s="72" t="s">
        <v>801</v>
      </c>
      <c r="G185" s="11" t="s">
        <v>568</v>
      </c>
      <c r="H185" s="11" t="s">
        <v>243</v>
      </c>
      <c r="I185" s="73">
        <v>453869</v>
      </c>
      <c r="J185" s="73">
        <v>359118</v>
      </c>
      <c r="K185" s="73">
        <v>76509</v>
      </c>
      <c r="L185" s="73">
        <v>282609</v>
      </c>
      <c r="M185" s="73">
        <v>4944</v>
      </c>
      <c r="N185" s="73">
        <v>382304</v>
      </c>
      <c r="O185" s="74">
        <v>38230</v>
      </c>
      <c r="P185" s="68"/>
      <c r="Q185" s="73">
        <v>94751</v>
      </c>
      <c r="R185" s="73">
        <v>4944</v>
      </c>
      <c r="S185" s="75">
        <v>99695</v>
      </c>
      <c r="T185" s="76">
        <v>244379</v>
      </c>
      <c r="U185" s="77">
        <v>344074</v>
      </c>
      <c r="V185" s="68"/>
      <c r="W185" s="78">
        <v>9.9998953712229013E-2</v>
      </c>
      <c r="X185" s="78">
        <v>0.900001046287771</v>
      </c>
    </row>
    <row r="186" spans="1:24" x14ac:dyDescent="0.25">
      <c r="A186" s="11">
        <v>2027</v>
      </c>
      <c r="B186" s="11" t="s">
        <v>12</v>
      </c>
      <c r="C186" s="71" t="s">
        <v>12</v>
      </c>
      <c r="D186" s="11" t="s">
        <v>570</v>
      </c>
      <c r="E186" s="72" t="s">
        <v>801</v>
      </c>
      <c r="F186" s="72" t="s">
        <v>801</v>
      </c>
      <c r="G186" s="11" t="s">
        <v>570</v>
      </c>
      <c r="H186" s="11" t="s">
        <v>245</v>
      </c>
      <c r="I186" s="73">
        <v>298301</v>
      </c>
      <c r="J186" s="73">
        <v>235391</v>
      </c>
      <c r="K186" s="73">
        <v>50149</v>
      </c>
      <c r="L186" s="73">
        <v>185242</v>
      </c>
      <c r="M186" s="73">
        <v>266</v>
      </c>
      <c r="N186" s="73">
        <v>248418</v>
      </c>
      <c r="O186" s="74">
        <v>24842</v>
      </c>
      <c r="P186" s="68"/>
      <c r="Q186" s="73">
        <v>62910</v>
      </c>
      <c r="R186" s="73">
        <v>266</v>
      </c>
      <c r="S186" s="75">
        <v>63176</v>
      </c>
      <c r="T186" s="76">
        <v>160400</v>
      </c>
      <c r="U186" s="77">
        <v>223576</v>
      </c>
      <c r="V186" s="68"/>
      <c r="W186" s="78">
        <v>0.10000080509463888</v>
      </c>
      <c r="X186" s="78">
        <v>0.89999919490536118</v>
      </c>
    </row>
    <row r="187" spans="1:24" x14ac:dyDescent="0.25">
      <c r="A187" s="11">
        <v>2027</v>
      </c>
      <c r="B187" s="11" t="s">
        <v>11</v>
      </c>
      <c r="C187" s="71" t="s">
        <v>11</v>
      </c>
      <c r="D187" s="11" t="s">
        <v>571</v>
      </c>
      <c r="E187" s="72" t="s">
        <v>801</v>
      </c>
      <c r="F187" s="72" t="s">
        <v>801</v>
      </c>
      <c r="G187" s="11" t="s">
        <v>571</v>
      </c>
      <c r="H187" s="11" t="s">
        <v>246</v>
      </c>
      <c r="I187" s="73">
        <v>619193</v>
      </c>
      <c r="J187" s="73">
        <v>479743</v>
      </c>
      <c r="K187" s="73">
        <v>102207</v>
      </c>
      <c r="L187" s="73">
        <v>377536</v>
      </c>
      <c r="M187" s="73">
        <v>913</v>
      </c>
      <c r="N187" s="73">
        <v>517899</v>
      </c>
      <c r="O187" s="74">
        <v>51790</v>
      </c>
      <c r="P187" s="68"/>
      <c r="Q187" s="73">
        <v>139450</v>
      </c>
      <c r="R187" s="73">
        <v>913</v>
      </c>
      <c r="S187" s="75">
        <v>140363</v>
      </c>
      <c r="T187" s="76">
        <v>325746</v>
      </c>
      <c r="U187" s="77">
        <v>466109</v>
      </c>
      <c r="V187" s="68"/>
      <c r="W187" s="78">
        <v>0.10000019308784146</v>
      </c>
      <c r="X187" s="78">
        <v>0.89999980691215853</v>
      </c>
    </row>
    <row r="188" spans="1:24" x14ac:dyDescent="0.25">
      <c r="A188" s="11">
        <v>2027</v>
      </c>
      <c r="B188" s="11" t="s">
        <v>7</v>
      </c>
      <c r="C188" s="71" t="s">
        <v>7</v>
      </c>
      <c r="D188" s="11" t="s">
        <v>572</v>
      </c>
      <c r="E188" s="72" t="s">
        <v>801</v>
      </c>
      <c r="F188" s="72" t="s">
        <v>801</v>
      </c>
      <c r="G188" s="11" t="s">
        <v>572</v>
      </c>
      <c r="H188" s="11" t="s">
        <v>247</v>
      </c>
      <c r="I188" s="73">
        <v>178039</v>
      </c>
      <c r="J188" s="73">
        <v>139193</v>
      </c>
      <c r="K188" s="73">
        <v>29655</v>
      </c>
      <c r="L188" s="73">
        <v>109538</v>
      </c>
      <c r="M188" s="73">
        <v>3340</v>
      </c>
      <c r="N188" s="73">
        <v>151724</v>
      </c>
      <c r="O188" s="74">
        <v>15172</v>
      </c>
      <c r="P188" s="68"/>
      <c r="Q188" s="73">
        <v>38846</v>
      </c>
      <c r="R188" s="73">
        <v>3340</v>
      </c>
      <c r="S188" s="75">
        <v>42186</v>
      </c>
      <c r="T188" s="76">
        <v>94366</v>
      </c>
      <c r="U188" s="77">
        <v>136552</v>
      </c>
      <c r="V188" s="68"/>
      <c r="W188" s="78">
        <v>9.999736363396694E-2</v>
      </c>
      <c r="X188" s="78">
        <v>0.90000263636603306</v>
      </c>
    </row>
    <row r="189" spans="1:24" x14ac:dyDescent="0.25">
      <c r="A189" s="11">
        <v>2027</v>
      </c>
      <c r="B189" s="11" t="s">
        <v>9</v>
      </c>
      <c r="C189" s="71" t="s">
        <v>9</v>
      </c>
      <c r="D189" s="11" t="s">
        <v>573</v>
      </c>
      <c r="E189" s="72" t="s">
        <v>801</v>
      </c>
      <c r="F189" s="72" t="s">
        <v>801</v>
      </c>
      <c r="G189" s="11" t="s">
        <v>573</v>
      </c>
      <c r="H189" s="11" t="s">
        <v>248</v>
      </c>
      <c r="I189" s="73">
        <v>392465</v>
      </c>
      <c r="J189" s="73">
        <v>310533</v>
      </c>
      <c r="K189" s="73">
        <v>66158</v>
      </c>
      <c r="L189" s="73">
        <v>244375</v>
      </c>
      <c r="M189" s="73">
        <v>0</v>
      </c>
      <c r="N189" s="73">
        <v>326307</v>
      </c>
      <c r="O189" s="74">
        <v>32631</v>
      </c>
      <c r="P189" s="68"/>
      <c r="Q189" s="73">
        <v>81932</v>
      </c>
      <c r="R189" s="73">
        <v>0</v>
      </c>
      <c r="S189" s="75">
        <v>81932</v>
      </c>
      <c r="T189" s="76">
        <v>211744</v>
      </c>
      <c r="U189" s="77">
        <v>293676</v>
      </c>
      <c r="V189" s="68"/>
      <c r="W189" s="78">
        <v>0.10000091937960265</v>
      </c>
      <c r="X189" s="78">
        <v>0.89999908062039735</v>
      </c>
    </row>
    <row r="190" spans="1:24" x14ac:dyDescent="0.25">
      <c r="A190" s="11">
        <v>2027</v>
      </c>
      <c r="B190" s="11" t="s">
        <v>13</v>
      </c>
      <c r="C190" s="71" t="s">
        <v>13</v>
      </c>
      <c r="D190" s="11" t="s">
        <v>574</v>
      </c>
      <c r="E190" s="72" t="s">
        <v>801</v>
      </c>
      <c r="F190" s="72" t="s">
        <v>801</v>
      </c>
      <c r="G190" s="11" t="s">
        <v>574</v>
      </c>
      <c r="H190" s="11" t="s">
        <v>249</v>
      </c>
      <c r="I190" s="73">
        <v>122866</v>
      </c>
      <c r="J190" s="73">
        <v>97678</v>
      </c>
      <c r="K190" s="73">
        <v>20810</v>
      </c>
      <c r="L190" s="73">
        <v>76868</v>
      </c>
      <c r="M190" s="73">
        <v>5698</v>
      </c>
      <c r="N190" s="73">
        <v>107754</v>
      </c>
      <c r="O190" s="74">
        <v>10775</v>
      </c>
      <c r="P190" s="68"/>
      <c r="Q190" s="73">
        <v>25188</v>
      </c>
      <c r="R190" s="73">
        <v>5698</v>
      </c>
      <c r="S190" s="75">
        <v>30886</v>
      </c>
      <c r="T190" s="76">
        <v>66093</v>
      </c>
      <c r="U190" s="77">
        <v>96979</v>
      </c>
      <c r="V190" s="68"/>
      <c r="W190" s="78">
        <v>9.9996287840822609E-2</v>
      </c>
      <c r="X190" s="78">
        <v>0.9000037121591774</v>
      </c>
    </row>
    <row r="191" spans="1:24" x14ac:dyDescent="0.25">
      <c r="A191" s="11">
        <v>2027</v>
      </c>
      <c r="B191" s="11" t="s">
        <v>12</v>
      </c>
      <c r="C191" s="71" t="s">
        <v>12</v>
      </c>
      <c r="D191" s="11" t="s">
        <v>575</v>
      </c>
      <c r="E191" s="72" t="s">
        <v>801</v>
      </c>
      <c r="F191" s="72" t="s">
        <v>801</v>
      </c>
      <c r="G191" s="11" t="s">
        <v>575</v>
      </c>
      <c r="H191" s="11" t="s">
        <v>250</v>
      </c>
      <c r="I191" s="73">
        <v>91895</v>
      </c>
      <c r="J191" s="73">
        <v>72515</v>
      </c>
      <c r="K191" s="73">
        <v>15449</v>
      </c>
      <c r="L191" s="73">
        <v>57066</v>
      </c>
      <c r="M191" s="73">
        <v>973</v>
      </c>
      <c r="N191" s="73">
        <v>77419</v>
      </c>
      <c r="O191" s="74">
        <v>7742</v>
      </c>
      <c r="P191" s="68"/>
      <c r="Q191" s="73">
        <v>19380</v>
      </c>
      <c r="R191" s="73">
        <v>973</v>
      </c>
      <c r="S191" s="75">
        <v>20353</v>
      </c>
      <c r="T191" s="76">
        <v>49324</v>
      </c>
      <c r="U191" s="77">
        <v>69677</v>
      </c>
      <c r="V191" s="68"/>
      <c r="W191" s="78">
        <v>0.10000129167258684</v>
      </c>
      <c r="X191" s="78">
        <v>0.89999870832741313</v>
      </c>
    </row>
    <row r="192" spans="1:24" x14ac:dyDescent="0.25">
      <c r="A192" s="11">
        <v>2027</v>
      </c>
      <c r="B192" s="11" t="s">
        <v>13</v>
      </c>
      <c r="C192" s="71" t="s">
        <v>13</v>
      </c>
      <c r="D192" s="11" t="s">
        <v>576</v>
      </c>
      <c r="E192" s="72" t="s">
        <v>801</v>
      </c>
      <c r="F192" s="72" t="s">
        <v>801</v>
      </c>
      <c r="G192" s="11" t="s">
        <v>576</v>
      </c>
      <c r="H192" s="11" t="s">
        <v>251</v>
      </c>
      <c r="I192" s="73">
        <v>77871</v>
      </c>
      <c r="J192" s="73">
        <v>61907</v>
      </c>
      <c r="K192" s="73">
        <v>13189</v>
      </c>
      <c r="L192" s="73">
        <v>48718</v>
      </c>
      <c r="M192" s="73">
        <v>0</v>
      </c>
      <c r="N192" s="73">
        <v>64682</v>
      </c>
      <c r="O192" s="74">
        <v>6468</v>
      </c>
      <c r="P192" s="68"/>
      <c r="Q192" s="73">
        <v>15964</v>
      </c>
      <c r="R192" s="73">
        <v>0</v>
      </c>
      <c r="S192" s="75">
        <v>15964</v>
      </c>
      <c r="T192" s="76">
        <v>42250</v>
      </c>
      <c r="U192" s="77">
        <v>58214</v>
      </c>
      <c r="V192" s="68"/>
      <c r="W192" s="78">
        <v>9.9996907949661415E-2</v>
      </c>
      <c r="X192" s="78">
        <v>0.90000309205033857</v>
      </c>
    </row>
    <row r="193" spans="1:24" x14ac:dyDescent="0.25">
      <c r="A193" s="11">
        <v>2027</v>
      </c>
      <c r="B193" s="11" t="s">
        <v>13</v>
      </c>
      <c r="C193" s="71" t="s">
        <v>13</v>
      </c>
      <c r="D193" s="11" t="s">
        <v>577</v>
      </c>
      <c r="E193" s="72" t="s">
        <v>801</v>
      </c>
      <c r="F193" s="72" t="s">
        <v>801</v>
      </c>
      <c r="G193" s="11" t="s">
        <v>577</v>
      </c>
      <c r="H193" s="11" t="s">
        <v>252</v>
      </c>
      <c r="I193" s="73">
        <v>81066</v>
      </c>
      <c r="J193" s="73">
        <v>64447</v>
      </c>
      <c r="K193" s="73">
        <v>13730</v>
      </c>
      <c r="L193" s="73">
        <v>50717</v>
      </c>
      <c r="M193" s="73">
        <v>0</v>
      </c>
      <c r="N193" s="73">
        <v>67336</v>
      </c>
      <c r="O193" s="74">
        <v>6734</v>
      </c>
      <c r="P193" s="68"/>
      <c r="Q193" s="73">
        <v>16619</v>
      </c>
      <c r="R193" s="73">
        <v>0</v>
      </c>
      <c r="S193" s="75">
        <v>16619</v>
      </c>
      <c r="T193" s="76">
        <v>43983</v>
      </c>
      <c r="U193" s="77">
        <v>60602</v>
      </c>
      <c r="V193" s="68"/>
      <c r="W193" s="78">
        <v>0.10000594035879767</v>
      </c>
      <c r="X193" s="78">
        <v>0.89999405964120238</v>
      </c>
    </row>
    <row r="194" spans="1:24" x14ac:dyDescent="0.25">
      <c r="A194" s="11">
        <v>2027</v>
      </c>
      <c r="B194" s="11" t="s">
        <v>12</v>
      </c>
      <c r="C194" s="71" t="s">
        <v>12</v>
      </c>
      <c r="D194" s="11" t="s">
        <v>578</v>
      </c>
      <c r="E194" s="72" t="s">
        <v>801</v>
      </c>
      <c r="F194" s="72" t="s">
        <v>801</v>
      </c>
      <c r="G194" s="11" t="s">
        <v>578</v>
      </c>
      <c r="H194" s="11" t="s">
        <v>253</v>
      </c>
      <c r="I194" s="73">
        <v>232654</v>
      </c>
      <c r="J194" s="73">
        <v>183589</v>
      </c>
      <c r="K194" s="73">
        <v>39113</v>
      </c>
      <c r="L194" s="73">
        <v>144476</v>
      </c>
      <c r="M194" s="73">
        <v>6291</v>
      </c>
      <c r="N194" s="73">
        <v>199832</v>
      </c>
      <c r="O194" s="74">
        <v>19983</v>
      </c>
      <c r="P194" s="68"/>
      <c r="Q194" s="73">
        <v>49065</v>
      </c>
      <c r="R194" s="73">
        <v>6291</v>
      </c>
      <c r="S194" s="75">
        <v>55356</v>
      </c>
      <c r="T194" s="76">
        <v>124493</v>
      </c>
      <c r="U194" s="77">
        <v>179849</v>
      </c>
      <c r="V194" s="68"/>
      <c r="W194" s="78">
        <v>9.9998999159293805E-2</v>
      </c>
      <c r="X194" s="78">
        <v>0.90000100084070622</v>
      </c>
    </row>
    <row r="195" spans="1:24" x14ac:dyDescent="0.25">
      <c r="A195" s="11">
        <v>2027</v>
      </c>
      <c r="B195" s="11" t="s">
        <v>13</v>
      </c>
      <c r="C195" s="71" t="s">
        <v>13</v>
      </c>
      <c r="D195" s="11" t="s">
        <v>579</v>
      </c>
      <c r="E195" s="72" t="s">
        <v>801</v>
      </c>
      <c r="F195" s="72" t="s">
        <v>801</v>
      </c>
      <c r="G195" s="11" t="s">
        <v>579</v>
      </c>
      <c r="H195" s="11" t="s">
        <v>254</v>
      </c>
      <c r="I195" s="73">
        <v>681418</v>
      </c>
      <c r="J195" s="73">
        <v>541726</v>
      </c>
      <c r="K195" s="73">
        <v>115412</v>
      </c>
      <c r="L195" s="73">
        <v>426314</v>
      </c>
      <c r="M195" s="73">
        <v>9907</v>
      </c>
      <c r="N195" s="73">
        <v>575913</v>
      </c>
      <c r="O195" s="74">
        <v>57591</v>
      </c>
      <c r="P195" s="68"/>
      <c r="Q195" s="73">
        <v>139692</v>
      </c>
      <c r="R195" s="73">
        <v>9907</v>
      </c>
      <c r="S195" s="75">
        <v>149599</v>
      </c>
      <c r="T195" s="76">
        <v>368723</v>
      </c>
      <c r="U195" s="77">
        <v>518322</v>
      </c>
      <c r="V195" s="68"/>
      <c r="W195" s="78">
        <v>9.9999479087987245E-2</v>
      </c>
      <c r="X195" s="78">
        <v>0.90000052091201277</v>
      </c>
    </row>
    <row r="196" spans="1:24" x14ac:dyDescent="0.25">
      <c r="A196" s="11">
        <v>2027</v>
      </c>
      <c r="B196" s="11" t="s">
        <v>9</v>
      </c>
      <c r="C196" s="71" t="s">
        <v>9</v>
      </c>
      <c r="D196" s="11" t="s">
        <v>580</v>
      </c>
      <c r="E196" s="72" t="s">
        <v>801</v>
      </c>
      <c r="F196" s="72" t="s">
        <v>801</v>
      </c>
      <c r="G196" s="11" t="s">
        <v>580</v>
      </c>
      <c r="H196" s="11" t="s">
        <v>255</v>
      </c>
      <c r="I196" s="73">
        <v>419974</v>
      </c>
      <c r="J196" s="73">
        <v>332299</v>
      </c>
      <c r="K196" s="73">
        <v>70795</v>
      </c>
      <c r="L196" s="73">
        <v>261504</v>
      </c>
      <c r="M196" s="73">
        <v>0</v>
      </c>
      <c r="N196" s="73">
        <v>349179</v>
      </c>
      <c r="O196" s="74">
        <v>34918</v>
      </c>
      <c r="P196" s="68"/>
      <c r="Q196" s="73">
        <v>87675</v>
      </c>
      <c r="R196" s="73">
        <v>0</v>
      </c>
      <c r="S196" s="75">
        <v>87675</v>
      </c>
      <c r="T196" s="76">
        <v>226586</v>
      </c>
      <c r="U196" s="77">
        <v>314261</v>
      </c>
      <c r="V196" s="68"/>
      <c r="W196" s="78">
        <v>0.1000002863860656</v>
      </c>
      <c r="X196" s="78">
        <v>0.89999971361393438</v>
      </c>
    </row>
    <row r="197" spans="1:24" x14ac:dyDescent="0.25">
      <c r="A197" s="11">
        <v>2027</v>
      </c>
      <c r="B197" s="11" t="s">
        <v>12</v>
      </c>
      <c r="C197" s="71" t="s">
        <v>12</v>
      </c>
      <c r="D197" s="11" t="s">
        <v>581</v>
      </c>
      <c r="E197" s="72" t="s">
        <v>801</v>
      </c>
      <c r="F197" s="72" t="s">
        <v>801</v>
      </c>
      <c r="G197" s="11" t="s">
        <v>581</v>
      </c>
      <c r="H197" s="11" t="s">
        <v>256</v>
      </c>
      <c r="I197" s="73">
        <v>85959</v>
      </c>
      <c r="J197" s="73">
        <v>67831</v>
      </c>
      <c r="K197" s="73">
        <v>14451</v>
      </c>
      <c r="L197" s="73">
        <v>53380</v>
      </c>
      <c r="M197" s="73">
        <v>2539</v>
      </c>
      <c r="N197" s="73">
        <v>74047</v>
      </c>
      <c r="O197" s="74">
        <v>7405</v>
      </c>
      <c r="P197" s="68"/>
      <c r="Q197" s="73">
        <v>18128</v>
      </c>
      <c r="R197" s="73">
        <v>2539</v>
      </c>
      <c r="S197" s="75">
        <v>20667</v>
      </c>
      <c r="T197" s="76">
        <v>45975</v>
      </c>
      <c r="U197" s="77">
        <v>66642</v>
      </c>
      <c r="V197" s="68"/>
      <c r="W197" s="78">
        <v>0.10000405148081624</v>
      </c>
      <c r="X197" s="78">
        <v>0.89999594851918374</v>
      </c>
    </row>
    <row r="198" spans="1:24" x14ac:dyDescent="0.25">
      <c r="A198" s="11">
        <v>2027</v>
      </c>
      <c r="B198" s="11" t="s">
        <v>8</v>
      </c>
      <c r="C198" s="71" t="s">
        <v>8</v>
      </c>
      <c r="D198" s="11" t="s">
        <v>582</v>
      </c>
      <c r="E198" s="72" t="s">
        <v>801</v>
      </c>
      <c r="F198" s="72" t="s">
        <v>801</v>
      </c>
      <c r="G198" s="11" t="s">
        <v>582</v>
      </c>
      <c r="H198" s="11" t="s">
        <v>257</v>
      </c>
      <c r="I198" s="73">
        <v>1762834</v>
      </c>
      <c r="J198" s="73">
        <v>1387319</v>
      </c>
      <c r="K198" s="73">
        <v>295563</v>
      </c>
      <c r="L198" s="73">
        <v>1091756</v>
      </c>
      <c r="M198" s="73">
        <v>0</v>
      </c>
      <c r="N198" s="73">
        <v>1467271</v>
      </c>
      <c r="O198" s="74">
        <v>146727</v>
      </c>
      <c r="P198" s="68"/>
      <c r="Q198" s="73">
        <v>375515</v>
      </c>
      <c r="R198" s="73">
        <v>0</v>
      </c>
      <c r="S198" s="75">
        <v>375515</v>
      </c>
      <c r="T198" s="76">
        <v>945029</v>
      </c>
      <c r="U198" s="77">
        <v>1320544</v>
      </c>
      <c r="V198" s="68"/>
      <c r="W198" s="78">
        <v>9.9999931846264253E-2</v>
      </c>
      <c r="X198" s="78">
        <v>0.90000006815373579</v>
      </c>
    </row>
    <row r="199" spans="1:24" x14ac:dyDescent="0.25">
      <c r="A199" s="11">
        <v>2027</v>
      </c>
      <c r="B199" s="11" t="s">
        <v>7</v>
      </c>
      <c r="C199" s="71" t="s">
        <v>7</v>
      </c>
      <c r="D199" s="11" t="s">
        <v>583</v>
      </c>
      <c r="E199" s="72" t="s">
        <v>801</v>
      </c>
      <c r="F199" s="72" t="s">
        <v>801</v>
      </c>
      <c r="G199" s="11" t="s">
        <v>583</v>
      </c>
      <c r="H199" s="11" t="s">
        <v>258</v>
      </c>
      <c r="I199" s="73">
        <v>236646</v>
      </c>
      <c r="J199" s="73">
        <v>185013</v>
      </c>
      <c r="K199" s="73">
        <v>39416</v>
      </c>
      <c r="L199" s="73">
        <v>145597</v>
      </c>
      <c r="M199" s="73">
        <v>0</v>
      </c>
      <c r="N199" s="73">
        <v>197230</v>
      </c>
      <c r="O199" s="74">
        <v>19723</v>
      </c>
      <c r="P199" s="68"/>
      <c r="Q199" s="73">
        <v>51633</v>
      </c>
      <c r="R199" s="73">
        <v>0</v>
      </c>
      <c r="S199" s="75">
        <v>51633</v>
      </c>
      <c r="T199" s="76">
        <v>125874</v>
      </c>
      <c r="U199" s="77">
        <v>177507</v>
      </c>
      <c r="V199" s="68"/>
      <c r="W199" s="78">
        <v>0.1</v>
      </c>
      <c r="X199" s="78">
        <v>0.9</v>
      </c>
    </row>
    <row r="200" spans="1:24" x14ac:dyDescent="0.25">
      <c r="A200" s="11">
        <v>2027</v>
      </c>
      <c r="B200" s="11" t="s">
        <v>10</v>
      </c>
      <c r="C200" s="71" t="s">
        <v>10</v>
      </c>
      <c r="D200" s="11" t="s">
        <v>584</v>
      </c>
      <c r="E200" s="72" t="s">
        <v>801</v>
      </c>
      <c r="F200" s="72" t="s">
        <v>801</v>
      </c>
      <c r="G200" s="11" t="s">
        <v>584</v>
      </c>
      <c r="H200" s="11" t="s">
        <v>259</v>
      </c>
      <c r="I200" s="73">
        <v>536096</v>
      </c>
      <c r="J200" s="73">
        <v>432833</v>
      </c>
      <c r="K200" s="73">
        <v>92213</v>
      </c>
      <c r="L200" s="73">
        <v>340620</v>
      </c>
      <c r="M200" s="73">
        <v>1800</v>
      </c>
      <c r="N200" s="73">
        <v>445683</v>
      </c>
      <c r="O200" s="74">
        <v>44568</v>
      </c>
      <c r="P200" s="68"/>
      <c r="Q200" s="73">
        <v>103263</v>
      </c>
      <c r="R200" s="73">
        <v>1800</v>
      </c>
      <c r="S200" s="75">
        <v>105063</v>
      </c>
      <c r="T200" s="76">
        <v>296052</v>
      </c>
      <c r="U200" s="77">
        <v>401115</v>
      </c>
      <c r="V200" s="68"/>
      <c r="W200" s="78">
        <v>9.9999326875828784E-2</v>
      </c>
      <c r="X200" s="78">
        <v>0.9000006731241712</v>
      </c>
    </row>
    <row r="201" spans="1:24" x14ac:dyDescent="0.25">
      <c r="A201" s="11">
        <v>2027</v>
      </c>
      <c r="B201" s="11" t="s">
        <v>5</v>
      </c>
      <c r="C201" s="71" t="s">
        <v>5</v>
      </c>
      <c r="D201" s="11" t="s">
        <v>585</v>
      </c>
      <c r="E201" s="72" t="s">
        <v>801</v>
      </c>
      <c r="F201" s="72" t="s">
        <v>801</v>
      </c>
      <c r="G201" s="11" t="s">
        <v>585</v>
      </c>
      <c r="H201" s="11" t="s">
        <v>260</v>
      </c>
      <c r="I201" s="73">
        <v>401127</v>
      </c>
      <c r="J201" s="73">
        <v>304393</v>
      </c>
      <c r="K201" s="73">
        <v>64850</v>
      </c>
      <c r="L201" s="73">
        <v>239543</v>
      </c>
      <c r="M201" s="73">
        <v>0</v>
      </c>
      <c r="N201" s="73">
        <v>336277</v>
      </c>
      <c r="O201" s="74">
        <v>33628</v>
      </c>
      <c r="P201" s="68"/>
      <c r="Q201" s="73">
        <v>96734</v>
      </c>
      <c r="R201" s="73">
        <v>0</v>
      </c>
      <c r="S201" s="75">
        <v>96734</v>
      </c>
      <c r="T201" s="76">
        <v>205915</v>
      </c>
      <c r="U201" s="77">
        <v>302649</v>
      </c>
      <c r="V201" s="68"/>
      <c r="W201" s="78">
        <v>0.1000008921216735</v>
      </c>
      <c r="X201" s="78">
        <v>0.89999910787832649</v>
      </c>
    </row>
    <row r="202" spans="1:24" x14ac:dyDescent="0.25">
      <c r="A202" s="11">
        <v>2027</v>
      </c>
      <c r="B202" s="11" t="s">
        <v>13</v>
      </c>
      <c r="C202" s="71" t="s">
        <v>13</v>
      </c>
      <c r="D202" s="11" t="s">
        <v>586</v>
      </c>
      <c r="E202" s="72" t="s">
        <v>801</v>
      </c>
      <c r="F202" s="72" t="s">
        <v>801</v>
      </c>
      <c r="G202" s="11" t="s">
        <v>586</v>
      </c>
      <c r="H202" s="11" t="s">
        <v>261</v>
      </c>
      <c r="I202" s="73">
        <v>207637</v>
      </c>
      <c r="J202" s="73">
        <v>165071</v>
      </c>
      <c r="K202" s="73">
        <v>35168</v>
      </c>
      <c r="L202" s="73">
        <v>129903</v>
      </c>
      <c r="M202" s="73">
        <v>4679</v>
      </c>
      <c r="N202" s="73">
        <v>177148</v>
      </c>
      <c r="O202" s="74">
        <v>17715</v>
      </c>
      <c r="P202" s="68"/>
      <c r="Q202" s="73">
        <v>42566</v>
      </c>
      <c r="R202" s="73">
        <v>4679</v>
      </c>
      <c r="S202" s="75">
        <v>47245</v>
      </c>
      <c r="T202" s="76">
        <v>112188</v>
      </c>
      <c r="U202" s="77">
        <v>159433</v>
      </c>
      <c r="V202" s="68"/>
      <c r="W202" s="78">
        <v>0.10000112899948066</v>
      </c>
      <c r="X202" s="78">
        <v>0.89999887100051934</v>
      </c>
    </row>
    <row r="203" spans="1:24" x14ac:dyDescent="0.25">
      <c r="A203" s="11">
        <v>2027</v>
      </c>
      <c r="B203" s="11" t="s">
        <v>6</v>
      </c>
      <c r="C203" s="71" t="s">
        <v>6</v>
      </c>
      <c r="D203" s="11" t="s">
        <v>587</v>
      </c>
      <c r="E203" s="72" t="s">
        <v>801</v>
      </c>
      <c r="F203" s="72" t="s">
        <v>801</v>
      </c>
      <c r="G203" s="11" t="s">
        <v>587</v>
      </c>
      <c r="H203" s="11" t="s">
        <v>262</v>
      </c>
      <c r="I203" s="73">
        <v>176539</v>
      </c>
      <c r="J203" s="73">
        <v>135521</v>
      </c>
      <c r="K203" s="73">
        <v>28872</v>
      </c>
      <c r="L203" s="73">
        <v>106649</v>
      </c>
      <c r="M203" s="73">
        <v>11603</v>
      </c>
      <c r="N203" s="73">
        <v>159270</v>
      </c>
      <c r="O203" s="74">
        <v>15927</v>
      </c>
      <c r="P203" s="68"/>
      <c r="Q203" s="73">
        <v>41018</v>
      </c>
      <c r="R203" s="73">
        <v>11603</v>
      </c>
      <c r="S203" s="75">
        <v>52621</v>
      </c>
      <c r="T203" s="76">
        <v>90722</v>
      </c>
      <c r="U203" s="77">
        <v>143343</v>
      </c>
      <c r="V203" s="68"/>
      <c r="W203" s="78">
        <v>0.1</v>
      </c>
      <c r="X203" s="78">
        <v>0.9</v>
      </c>
    </row>
    <row r="204" spans="1:24" x14ac:dyDescent="0.25">
      <c r="A204" s="11">
        <v>2027</v>
      </c>
      <c r="B204" s="11" t="s">
        <v>10</v>
      </c>
      <c r="C204" s="71" t="s">
        <v>10</v>
      </c>
      <c r="D204" s="11" t="s">
        <v>588</v>
      </c>
      <c r="E204" s="72" t="s">
        <v>801</v>
      </c>
      <c r="F204" s="72" t="s">
        <v>801</v>
      </c>
      <c r="G204" s="11" t="s">
        <v>588</v>
      </c>
      <c r="H204" s="11" t="s">
        <v>263</v>
      </c>
      <c r="I204" s="73">
        <v>1165736</v>
      </c>
      <c r="J204" s="73">
        <v>941190</v>
      </c>
      <c r="K204" s="73">
        <v>200517</v>
      </c>
      <c r="L204" s="73">
        <v>740673</v>
      </c>
      <c r="M204" s="73">
        <v>0</v>
      </c>
      <c r="N204" s="73">
        <v>965219</v>
      </c>
      <c r="O204" s="74">
        <v>96522</v>
      </c>
      <c r="P204" s="68"/>
      <c r="Q204" s="73">
        <v>224546</v>
      </c>
      <c r="R204" s="73">
        <v>0</v>
      </c>
      <c r="S204" s="75">
        <v>224546</v>
      </c>
      <c r="T204" s="76">
        <v>644151</v>
      </c>
      <c r="U204" s="77">
        <v>868697</v>
      </c>
      <c r="V204" s="68"/>
      <c r="W204" s="78">
        <v>0.10000010360343094</v>
      </c>
      <c r="X204" s="78">
        <v>0.89999989639656908</v>
      </c>
    </row>
    <row r="205" spans="1:24" x14ac:dyDescent="0.25">
      <c r="A205" s="11">
        <v>2027</v>
      </c>
      <c r="B205" s="11" t="s">
        <v>12</v>
      </c>
      <c r="C205" s="71" t="s">
        <v>12</v>
      </c>
      <c r="D205" s="11" t="s">
        <v>589</v>
      </c>
      <c r="E205" s="72" t="s">
        <v>801</v>
      </c>
      <c r="F205" s="72" t="s">
        <v>801</v>
      </c>
      <c r="G205" s="11" t="s">
        <v>589</v>
      </c>
      <c r="H205" s="11" t="s">
        <v>264</v>
      </c>
      <c r="I205" s="73">
        <v>309935</v>
      </c>
      <c r="J205" s="73">
        <v>244571</v>
      </c>
      <c r="K205" s="73">
        <v>52105</v>
      </c>
      <c r="L205" s="73">
        <v>192466</v>
      </c>
      <c r="M205" s="73">
        <v>0</v>
      </c>
      <c r="N205" s="73">
        <v>257830</v>
      </c>
      <c r="O205" s="74">
        <v>25783</v>
      </c>
      <c r="P205" s="68"/>
      <c r="Q205" s="73">
        <v>65364</v>
      </c>
      <c r="R205" s="73">
        <v>0</v>
      </c>
      <c r="S205" s="75">
        <v>65364</v>
      </c>
      <c r="T205" s="76">
        <v>166683</v>
      </c>
      <c r="U205" s="77">
        <v>232047</v>
      </c>
      <c r="V205" s="68"/>
      <c r="W205" s="78">
        <v>0.1</v>
      </c>
      <c r="X205" s="78">
        <v>0.9</v>
      </c>
    </row>
    <row r="206" spans="1:24" x14ac:dyDescent="0.25">
      <c r="A206" s="11">
        <v>2027</v>
      </c>
      <c r="B206" s="11" t="s">
        <v>7</v>
      </c>
      <c r="C206" s="71" t="s">
        <v>7</v>
      </c>
      <c r="D206" s="11" t="s">
        <v>590</v>
      </c>
      <c r="E206" s="72" t="s">
        <v>801</v>
      </c>
      <c r="F206" s="72" t="s">
        <v>801</v>
      </c>
      <c r="G206" s="11" t="s">
        <v>590</v>
      </c>
      <c r="H206" s="11" t="s">
        <v>265</v>
      </c>
      <c r="I206" s="73">
        <v>208999</v>
      </c>
      <c r="J206" s="73">
        <v>163399</v>
      </c>
      <c r="K206" s="73">
        <v>34811</v>
      </c>
      <c r="L206" s="73">
        <v>128588</v>
      </c>
      <c r="M206" s="73">
        <v>5535</v>
      </c>
      <c r="N206" s="73">
        <v>179723</v>
      </c>
      <c r="O206" s="74">
        <v>17972</v>
      </c>
      <c r="P206" s="68"/>
      <c r="Q206" s="73">
        <v>45600</v>
      </c>
      <c r="R206" s="73">
        <v>5535</v>
      </c>
      <c r="S206" s="75">
        <v>51135</v>
      </c>
      <c r="T206" s="76">
        <v>110616</v>
      </c>
      <c r="U206" s="77">
        <v>161751</v>
      </c>
      <c r="V206" s="68"/>
      <c r="W206" s="78">
        <v>9.9998330764565477E-2</v>
      </c>
      <c r="X206" s="78">
        <v>0.90000166923543456</v>
      </c>
    </row>
    <row r="207" spans="1:24" x14ac:dyDescent="0.25">
      <c r="A207" s="11">
        <v>2027</v>
      </c>
      <c r="B207" s="11" t="s">
        <v>9</v>
      </c>
      <c r="C207" s="71" t="s">
        <v>9</v>
      </c>
      <c r="D207" s="11" t="s">
        <v>591</v>
      </c>
      <c r="E207" s="72" t="s">
        <v>801</v>
      </c>
      <c r="F207" s="72" t="s">
        <v>801</v>
      </c>
      <c r="G207" s="11" t="s">
        <v>591</v>
      </c>
      <c r="H207" s="11" t="s">
        <v>266</v>
      </c>
      <c r="I207" s="73">
        <v>277300</v>
      </c>
      <c r="J207" s="73">
        <v>219410</v>
      </c>
      <c r="K207" s="73">
        <v>46744</v>
      </c>
      <c r="L207" s="73">
        <v>172666</v>
      </c>
      <c r="M207" s="73">
        <v>6854</v>
      </c>
      <c r="N207" s="73">
        <v>237410</v>
      </c>
      <c r="O207" s="74">
        <v>23741</v>
      </c>
      <c r="P207" s="68"/>
      <c r="Q207" s="73">
        <v>57890</v>
      </c>
      <c r="R207" s="73">
        <v>6854</v>
      </c>
      <c r="S207" s="75">
        <v>64744</v>
      </c>
      <c r="T207" s="76">
        <v>148925</v>
      </c>
      <c r="U207" s="77">
        <v>213669</v>
      </c>
      <c r="V207" s="68"/>
      <c r="W207" s="78">
        <v>0.1</v>
      </c>
      <c r="X207" s="78">
        <v>0.9</v>
      </c>
    </row>
    <row r="208" spans="1:24" x14ac:dyDescent="0.25">
      <c r="A208" s="11">
        <v>2027</v>
      </c>
      <c r="B208" s="11" t="s">
        <v>5</v>
      </c>
      <c r="C208" s="71" t="s">
        <v>5</v>
      </c>
      <c r="D208" s="11" t="s">
        <v>592</v>
      </c>
      <c r="E208" s="72" t="s">
        <v>801</v>
      </c>
      <c r="F208" s="72" t="s">
        <v>801</v>
      </c>
      <c r="G208" s="11" t="s">
        <v>592</v>
      </c>
      <c r="H208" s="11" t="s">
        <v>267</v>
      </c>
      <c r="I208" s="73">
        <v>480438</v>
      </c>
      <c r="J208" s="73">
        <v>364578</v>
      </c>
      <c r="K208" s="73">
        <v>77672</v>
      </c>
      <c r="L208" s="73">
        <v>286906</v>
      </c>
      <c r="M208" s="73">
        <v>0</v>
      </c>
      <c r="N208" s="73">
        <v>402766</v>
      </c>
      <c r="O208" s="74">
        <v>40277</v>
      </c>
      <c r="P208" s="68"/>
      <c r="Q208" s="73">
        <v>115860</v>
      </c>
      <c r="R208" s="73">
        <v>0</v>
      </c>
      <c r="S208" s="75">
        <v>115860</v>
      </c>
      <c r="T208" s="76">
        <v>246629</v>
      </c>
      <c r="U208" s="77">
        <v>362489</v>
      </c>
      <c r="V208" s="68"/>
      <c r="W208" s="78">
        <v>0.10000099313248884</v>
      </c>
      <c r="X208" s="78">
        <v>0.89999900686751111</v>
      </c>
    </row>
    <row r="209" spans="1:24" x14ac:dyDescent="0.25">
      <c r="A209" s="11">
        <v>2027</v>
      </c>
      <c r="B209" s="11" t="s">
        <v>7</v>
      </c>
      <c r="C209" s="71" t="s">
        <v>7</v>
      </c>
      <c r="D209" s="11" t="s">
        <v>593</v>
      </c>
      <c r="E209" s="72" t="s">
        <v>801</v>
      </c>
      <c r="F209" s="72" t="s">
        <v>801</v>
      </c>
      <c r="G209" s="11" t="s">
        <v>593</v>
      </c>
      <c r="H209" s="11" t="s">
        <v>268</v>
      </c>
      <c r="I209" s="73">
        <v>183969</v>
      </c>
      <c r="J209" s="73">
        <v>143830</v>
      </c>
      <c r="K209" s="73">
        <v>30642</v>
      </c>
      <c r="L209" s="73">
        <v>113188</v>
      </c>
      <c r="M209" s="73">
        <v>5047</v>
      </c>
      <c r="N209" s="73">
        <v>158374</v>
      </c>
      <c r="O209" s="74">
        <v>15837</v>
      </c>
      <c r="P209" s="68"/>
      <c r="Q209" s="73">
        <v>40139</v>
      </c>
      <c r="R209" s="73">
        <v>5047</v>
      </c>
      <c r="S209" s="75">
        <v>45186</v>
      </c>
      <c r="T209" s="76">
        <v>97351</v>
      </c>
      <c r="U209" s="77">
        <v>142537</v>
      </c>
      <c r="V209" s="68"/>
      <c r="W209" s="78">
        <v>9.9997474332908176E-2</v>
      </c>
      <c r="X209" s="78">
        <v>0.90000252566709182</v>
      </c>
    </row>
    <row r="210" spans="1:24" x14ac:dyDescent="0.25">
      <c r="A210" s="11">
        <v>2027</v>
      </c>
      <c r="B210" s="11" t="s">
        <v>6</v>
      </c>
      <c r="C210" s="71" t="s">
        <v>6</v>
      </c>
      <c r="D210" s="11" t="s">
        <v>594</v>
      </c>
      <c r="E210" s="72" t="s">
        <v>801</v>
      </c>
      <c r="F210" s="72" t="s">
        <v>801</v>
      </c>
      <c r="G210" s="11" t="s">
        <v>594</v>
      </c>
      <c r="H210" s="11" t="s">
        <v>269</v>
      </c>
      <c r="I210" s="73">
        <v>99002</v>
      </c>
      <c r="J210" s="73">
        <v>75999</v>
      </c>
      <c r="K210" s="73">
        <v>16191</v>
      </c>
      <c r="L210" s="73">
        <v>59808</v>
      </c>
      <c r="M210" s="73">
        <v>10019</v>
      </c>
      <c r="N210" s="73">
        <v>92830</v>
      </c>
      <c r="O210" s="74">
        <v>9283</v>
      </c>
      <c r="P210" s="68"/>
      <c r="Q210" s="73">
        <v>23003</v>
      </c>
      <c r="R210" s="73">
        <v>10019</v>
      </c>
      <c r="S210" s="75">
        <v>33022</v>
      </c>
      <c r="T210" s="76">
        <v>50525</v>
      </c>
      <c r="U210" s="77">
        <v>83547</v>
      </c>
      <c r="V210" s="68"/>
      <c r="W210" s="78">
        <v>0.1</v>
      </c>
      <c r="X210" s="78">
        <v>0.9</v>
      </c>
    </row>
    <row r="211" spans="1:24" x14ac:dyDescent="0.25">
      <c r="A211" s="11">
        <v>2027</v>
      </c>
      <c r="B211" s="11" t="s">
        <v>9</v>
      </c>
      <c r="C211" s="71" t="s">
        <v>9</v>
      </c>
      <c r="D211" s="11" t="s">
        <v>595</v>
      </c>
      <c r="E211" s="72" t="s">
        <v>801</v>
      </c>
      <c r="F211" s="72" t="s">
        <v>801</v>
      </c>
      <c r="G211" s="11" t="s">
        <v>595</v>
      </c>
      <c r="H211" s="11" t="s">
        <v>270</v>
      </c>
      <c r="I211" s="73">
        <v>216905</v>
      </c>
      <c r="J211" s="73">
        <v>171624</v>
      </c>
      <c r="K211" s="73">
        <v>36564</v>
      </c>
      <c r="L211" s="73">
        <v>135060</v>
      </c>
      <c r="M211" s="73">
        <v>0</v>
      </c>
      <c r="N211" s="73">
        <v>180341</v>
      </c>
      <c r="O211" s="74">
        <v>18034</v>
      </c>
      <c r="P211" s="68"/>
      <c r="Q211" s="73">
        <v>45281</v>
      </c>
      <c r="R211" s="73">
        <v>0</v>
      </c>
      <c r="S211" s="75">
        <v>45281</v>
      </c>
      <c r="T211" s="76">
        <v>117026</v>
      </c>
      <c r="U211" s="77">
        <v>162307</v>
      </c>
      <c r="V211" s="68"/>
      <c r="W211" s="78">
        <v>9.9999445494923511E-2</v>
      </c>
      <c r="X211" s="78">
        <v>0.90000055450507654</v>
      </c>
    </row>
    <row r="212" spans="1:24" x14ac:dyDescent="0.25">
      <c r="A212" s="11">
        <v>2027</v>
      </c>
      <c r="B212" s="11" t="s">
        <v>13</v>
      </c>
      <c r="C212" s="71" t="s">
        <v>13</v>
      </c>
      <c r="D212" s="11" t="s">
        <v>596</v>
      </c>
      <c r="E212" s="72" t="s">
        <v>801</v>
      </c>
      <c r="F212" s="72" t="s">
        <v>801</v>
      </c>
      <c r="G212" s="11" t="s">
        <v>596</v>
      </c>
      <c r="H212" s="11" t="s">
        <v>271</v>
      </c>
      <c r="I212" s="73">
        <v>175896</v>
      </c>
      <c r="J212" s="73">
        <v>139837</v>
      </c>
      <c r="K212" s="73">
        <v>29792</v>
      </c>
      <c r="L212" s="73">
        <v>110045</v>
      </c>
      <c r="M212" s="73">
        <v>10758</v>
      </c>
      <c r="N212" s="73">
        <v>156862</v>
      </c>
      <c r="O212" s="74">
        <v>15686</v>
      </c>
      <c r="P212" s="68"/>
      <c r="Q212" s="73">
        <v>36059</v>
      </c>
      <c r="R212" s="73">
        <v>10758</v>
      </c>
      <c r="S212" s="75">
        <v>46817</v>
      </c>
      <c r="T212" s="76">
        <v>94359</v>
      </c>
      <c r="U212" s="77">
        <v>141176</v>
      </c>
      <c r="V212" s="68"/>
      <c r="W212" s="78">
        <v>9.9998724993943716E-2</v>
      </c>
      <c r="X212" s="78">
        <v>0.90000127500605631</v>
      </c>
    </row>
    <row r="213" spans="1:24" x14ac:dyDescent="0.25">
      <c r="A213" s="11">
        <v>2027</v>
      </c>
      <c r="B213" s="11" t="s">
        <v>10</v>
      </c>
      <c r="C213" s="71" t="s">
        <v>10</v>
      </c>
      <c r="D213" s="11" t="s">
        <v>597</v>
      </c>
      <c r="E213" s="72" t="s">
        <v>801</v>
      </c>
      <c r="F213" s="72" t="s">
        <v>801</v>
      </c>
      <c r="G213" s="11" t="s">
        <v>597</v>
      </c>
      <c r="H213" s="11" t="s">
        <v>272</v>
      </c>
      <c r="I213" s="73">
        <v>820087</v>
      </c>
      <c r="J213" s="73">
        <v>662120</v>
      </c>
      <c r="K213" s="73">
        <v>141062</v>
      </c>
      <c r="L213" s="73">
        <v>521058</v>
      </c>
      <c r="M213" s="73">
        <v>0</v>
      </c>
      <c r="N213" s="73">
        <v>679025</v>
      </c>
      <c r="O213" s="74">
        <v>67903</v>
      </c>
      <c r="P213" s="68"/>
      <c r="Q213" s="73">
        <v>157967</v>
      </c>
      <c r="R213" s="73">
        <v>0</v>
      </c>
      <c r="S213" s="75">
        <v>157967</v>
      </c>
      <c r="T213" s="76">
        <v>453155</v>
      </c>
      <c r="U213" s="77">
        <v>611122</v>
      </c>
      <c r="V213" s="68"/>
      <c r="W213" s="78">
        <v>0.10000073634991348</v>
      </c>
      <c r="X213" s="78">
        <v>0.89999926365008653</v>
      </c>
    </row>
    <row r="214" spans="1:24" x14ac:dyDescent="0.25">
      <c r="A214" s="11">
        <v>2027</v>
      </c>
      <c r="B214" s="11" t="s">
        <v>8</v>
      </c>
      <c r="C214" s="71" t="s">
        <v>8</v>
      </c>
      <c r="D214" s="11" t="s">
        <v>598</v>
      </c>
      <c r="E214" s="72" t="s">
        <v>801</v>
      </c>
      <c r="F214" s="72" t="s">
        <v>801</v>
      </c>
      <c r="G214" s="11" t="s">
        <v>598</v>
      </c>
      <c r="H214" s="11" t="s">
        <v>273</v>
      </c>
      <c r="I214" s="73">
        <v>1134205</v>
      </c>
      <c r="J214" s="73">
        <v>892599</v>
      </c>
      <c r="K214" s="73">
        <v>190165</v>
      </c>
      <c r="L214" s="73">
        <v>702434</v>
      </c>
      <c r="M214" s="73">
        <v>5543</v>
      </c>
      <c r="N214" s="73">
        <v>949583</v>
      </c>
      <c r="O214" s="74">
        <v>94958</v>
      </c>
      <c r="P214" s="68"/>
      <c r="Q214" s="73">
        <v>241606</v>
      </c>
      <c r="R214" s="73">
        <v>5543</v>
      </c>
      <c r="S214" s="75">
        <v>247149</v>
      </c>
      <c r="T214" s="76">
        <v>607476</v>
      </c>
      <c r="U214" s="77">
        <v>854625</v>
      </c>
      <c r="V214" s="68"/>
      <c r="W214" s="78">
        <v>9.9999684071850489E-2</v>
      </c>
      <c r="X214" s="78">
        <v>0.90000031592814955</v>
      </c>
    </row>
    <row r="215" spans="1:24" x14ac:dyDescent="0.25">
      <c r="A215" s="11">
        <v>2027</v>
      </c>
      <c r="B215" s="11" t="s">
        <v>7</v>
      </c>
      <c r="C215" s="71" t="s">
        <v>7</v>
      </c>
      <c r="D215" s="11" t="s">
        <v>599</v>
      </c>
      <c r="E215" s="72" t="s">
        <v>801</v>
      </c>
      <c r="F215" s="72" t="s">
        <v>801</v>
      </c>
      <c r="G215" s="11" t="s">
        <v>599</v>
      </c>
      <c r="H215" s="11" t="s">
        <v>274</v>
      </c>
      <c r="I215" s="73">
        <v>188537</v>
      </c>
      <c r="J215" s="73">
        <v>147401</v>
      </c>
      <c r="K215" s="73">
        <v>31403</v>
      </c>
      <c r="L215" s="73">
        <v>115998</v>
      </c>
      <c r="M215" s="73">
        <v>0</v>
      </c>
      <c r="N215" s="73">
        <v>157134</v>
      </c>
      <c r="O215" s="74">
        <v>15713</v>
      </c>
      <c r="P215" s="68"/>
      <c r="Q215" s="73">
        <v>41136</v>
      </c>
      <c r="R215" s="73">
        <v>0</v>
      </c>
      <c r="S215" s="75">
        <v>41136</v>
      </c>
      <c r="T215" s="76">
        <v>100285</v>
      </c>
      <c r="U215" s="77">
        <v>141421</v>
      </c>
      <c r="V215" s="68"/>
      <c r="W215" s="78">
        <v>9.9997454401975383E-2</v>
      </c>
      <c r="X215" s="78">
        <v>0.90000254559802462</v>
      </c>
    </row>
    <row r="216" spans="1:24" x14ac:dyDescent="0.25">
      <c r="A216" s="11">
        <v>2027</v>
      </c>
      <c r="B216" s="11" t="s">
        <v>6</v>
      </c>
      <c r="C216" s="71" t="s">
        <v>6</v>
      </c>
      <c r="D216" s="11" t="s">
        <v>600</v>
      </c>
      <c r="E216" s="72" t="s">
        <v>801</v>
      </c>
      <c r="F216" s="72" t="s">
        <v>801</v>
      </c>
      <c r="G216" s="11" t="s">
        <v>600</v>
      </c>
      <c r="H216" s="11" t="s">
        <v>275</v>
      </c>
      <c r="I216" s="73">
        <v>148807</v>
      </c>
      <c r="J216" s="73">
        <v>114232</v>
      </c>
      <c r="K216" s="73">
        <v>24337</v>
      </c>
      <c r="L216" s="73">
        <v>89895</v>
      </c>
      <c r="M216" s="73">
        <v>21428</v>
      </c>
      <c r="N216" s="73">
        <v>145898</v>
      </c>
      <c r="O216" s="74">
        <v>14590</v>
      </c>
      <c r="P216" s="68"/>
      <c r="Q216" s="73">
        <v>34575</v>
      </c>
      <c r="R216" s="73">
        <v>21428</v>
      </c>
      <c r="S216" s="75">
        <v>56003</v>
      </c>
      <c r="T216" s="76">
        <v>75305</v>
      </c>
      <c r="U216" s="77">
        <v>131308</v>
      </c>
      <c r="V216" s="68"/>
      <c r="W216" s="78">
        <v>0.10000137082071035</v>
      </c>
      <c r="X216" s="78">
        <v>0.89999862917928963</v>
      </c>
    </row>
    <row r="217" spans="1:24" x14ac:dyDescent="0.25">
      <c r="A217" s="11">
        <v>2027</v>
      </c>
      <c r="B217" s="11" t="s">
        <v>8</v>
      </c>
      <c r="C217" s="71" t="s">
        <v>8</v>
      </c>
      <c r="D217" s="11" t="s">
        <v>601</v>
      </c>
      <c r="E217" s="72" t="s">
        <v>801</v>
      </c>
      <c r="F217" s="72" t="s">
        <v>801</v>
      </c>
      <c r="G217" s="11" t="s">
        <v>601</v>
      </c>
      <c r="H217" s="11" t="s">
        <v>276</v>
      </c>
      <c r="I217" s="73">
        <v>188717</v>
      </c>
      <c r="J217" s="73">
        <v>148517</v>
      </c>
      <c r="K217" s="73">
        <v>31641</v>
      </c>
      <c r="L217" s="73">
        <v>116876</v>
      </c>
      <c r="M217" s="73">
        <v>9356</v>
      </c>
      <c r="N217" s="73">
        <v>166432</v>
      </c>
      <c r="O217" s="74">
        <v>16643</v>
      </c>
      <c r="P217" s="68"/>
      <c r="Q217" s="73">
        <v>40200</v>
      </c>
      <c r="R217" s="73">
        <v>9356</v>
      </c>
      <c r="S217" s="75">
        <v>49556</v>
      </c>
      <c r="T217" s="76">
        <v>100233</v>
      </c>
      <c r="U217" s="77">
        <v>149789</v>
      </c>
      <c r="V217" s="68"/>
      <c r="W217" s="78">
        <v>9.9998798308017695E-2</v>
      </c>
      <c r="X217" s="78">
        <v>0.90000120169198228</v>
      </c>
    </row>
    <row r="218" spans="1:24" x14ac:dyDescent="0.25">
      <c r="A218" s="11">
        <v>2027</v>
      </c>
      <c r="B218" s="11" t="s">
        <v>7</v>
      </c>
      <c r="C218" s="71" t="s">
        <v>7</v>
      </c>
      <c r="D218" s="11" t="s">
        <v>602</v>
      </c>
      <c r="E218" s="72" t="s">
        <v>801</v>
      </c>
      <c r="F218" s="72" t="s">
        <v>801</v>
      </c>
      <c r="G218" s="11" t="s">
        <v>602</v>
      </c>
      <c r="H218" s="11" t="s">
        <v>277</v>
      </c>
      <c r="I218" s="73">
        <v>207597</v>
      </c>
      <c r="J218" s="73">
        <v>162303</v>
      </c>
      <c r="K218" s="73">
        <v>34578</v>
      </c>
      <c r="L218" s="73">
        <v>127725</v>
      </c>
      <c r="M218" s="73">
        <v>0</v>
      </c>
      <c r="N218" s="73">
        <v>173019</v>
      </c>
      <c r="O218" s="74">
        <v>17302</v>
      </c>
      <c r="P218" s="68"/>
      <c r="Q218" s="73">
        <v>45294</v>
      </c>
      <c r="R218" s="73">
        <v>0</v>
      </c>
      <c r="S218" s="75">
        <v>45294</v>
      </c>
      <c r="T218" s="76">
        <v>110423</v>
      </c>
      <c r="U218" s="77">
        <v>155717</v>
      </c>
      <c r="V218" s="68"/>
      <c r="W218" s="78">
        <v>0.10000057797120547</v>
      </c>
      <c r="X218" s="78">
        <v>0.89999942202879457</v>
      </c>
    </row>
    <row r="219" spans="1:24" x14ac:dyDescent="0.25">
      <c r="A219" s="11">
        <v>2027</v>
      </c>
      <c r="B219" s="11" t="s">
        <v>10</v>
      </c>
      <c r="C219" s="71" t="s">
        <v>10</v>
      </c>
      <c r="D219" s="11" t="s">
        <v>603</v>
      </c>
      <c r="E219" s="72" t="s">
        <v>801</v>
      </c>
      <c r="F219" s="72" t="s">
        <v>801</v>
      </c>
      <c r="G219" s="11" t="s">
        <v>603</v>
      </c>
      <c r="H219" s="11" t="s">
        <v>278</v>
      </c>
      <c r="I219" s="73">
        <v>1352076</v>
      </c>
      <c r="J219" s="73">
        <v>1091637</v>
      </c>
      <c r="K219" s="73">
        <v>232569</v>
      </c>
      <c r="L219" s="73">
        <v>859068</v>
      </c>
      <c r="M219" s="73">
        <v>0</v>
      </c>
      <c r="N219" s="73">
        <v>1119507</v>
      </c>
      <c r="O219" s="74">
        <v>111951</v>
      </c>
      <c r="P219" s="68"/>
      <c r="Q219" s="73">
        <v>260439</v>
      </c>
      <c r="R219" s="73">
        <v>0</v>
      </c>
      <c r="S219" s="75">
        <v>260439</v>
      </c>
      <c r="T219" s="76">
        <v>747117</v>
      </c>
      <c r="U219" s="77">
        <v>1007556</v>
      </c>
      <c r="V219" s="68"/>
      <c r="W219" s="78">
        <v>0.10000026797509975</v>
      </c>
      <c r="X219" s="78">
        <v>0.89999973202490025</v>
      </c>
    </row>
    <row r="220" spans="1:24" x14ac:dyDescent="0.25">
      <c r="A220" s="11">
        <v>2027</v>
      </c>
      <c r="B220" s="11" t="s">
        <v>11</v>
      </c>
      <c r="C220" s="71" t="s">
        <v>11</v>
      </c>
      <c r="D220" s="11" t="s">
        <v>604</v>
      </c>
      <c r="E220" s="72" t="s">
        <v>801</v>
      </c>
      <c r="F220" s="72" t="s">
        <v>801</v>
      </c>
      <c r="G220" s="11" t="s">
        <v>604</v>
      </c>
      <c r="H220" s="11" t="s">
        <v>807</v>
      </c>
      <c r="I220" s="73">
        <v>365948</v>
      </c>
      <c r="J220" s="73">
        <v>283532</v>
      </c>
      <c r="K220" s="73">
        <v>60405</v>
      </c>
      <c r="L220" s="73">
        <v>223127</v>
      </c>
      <c r="M220" s="73">
        <v>5406</v>
      </c>
      <c r="N220" s="73">
        <v>310949</v>
      </c>
      <c r="O220" s="74">
        <v>31095</v>
      </c>
      <c r="P220" s="68"/>
      <c r="Q220" s="73">
        <v>82416</v>
      </c>
      <c r="R220" s="73">
        <v>5406</v>
      </c>
      <c r="S220" s="75">
        <v>87822</v>
      </c>
      <c r="T220" s="76">
        <v>192032</v>
      </c>
      <c r="U220" s="77">
        <v>279854</v>
      </c>
      <c r="V220" s="68"/>
      <c r="W220" s="78">
        <v>0.100000321596146</v>
      </c>
      <c r="X220" s="78">
        <v>0.89999967840385398</v>
      </c>
    </row>
    <row r="221" spans="1:24" x14ac:dyDescent="0.25">
      <c r="A221" s="11">
        <v>2027</v>
      </c>
      <c r="B221" s="11" t="s">
        <v>5</v>
      </c>
      <c r="C221" s="71" t="s">
        <v>5</v>
      </c>
      <c r="D221" s="11" t="s">
        <v>605</v>
      </c>
      <c r="E221" s="72" t="s">
        <v>801</v>
      </c>
      <c r="F221" s="72" t="s">
        <v>801</v>
      </c>
      <c r="G221" s="11" t="s">
        <v>605</v>
      </c>
      <c r="H221" s="11" t="s">
        <v>280</v>
      </c>
      <c r="I221" s="73">
        <v>547633</v>
      </c>
      <c r="J221" s="73">
        <v>415568</v>
      </c>
      <c r="K221" s="73">
        <v>88535</v>
      </c>
      <c r="L221" s="73">
        <v>327033</v>
      </c>
      <c r="M221" s="73">
        <v>18300</v>
      </c>
      <c r="N221" s="73">
        <v>477398</v>
      </c>
      <c r="O221" s="74">
        <v>47740</v>
      </c>
      <c r="P221" s="68"/>
      <c r="Q221" s="73">
        <v>132065</v>
      </c>
      <c r="R221" s="73">
        <v>18300</v>
      </c>
      <c r="S221" s="75">
        <v>150365</v>
      </c>
      <c r="T221" s="76">
        <v>279293</v>
      </c>
      <c r="U221" s="77">
        <v>429658</v>
      </c>
      <c r="V221" s="68"/>
      <c r="W221" s="78">
        <v>0.10000041893765789</v>
      </c>
      <c r="X221" s="78">
        <v>0.89999958106234212</v>
      </c>
    </row>
    <row r="222" spans="1:24" x14ac:dyDescent="0.25">
      <c r="A222" s="11">
        <v>2027</v>
      </c>
      <c r="B222" s="11" t="s">
        <v>10</v>
      </c>
      <c r="C222" s="71" t="s">
        <v>10</v>
      </c>
      <c r="D222" s="11" t="s">
        <v>606</v>
      </c>
      <c r="E222" s="72" t="s">
        <v>801</v>
      </c>
      <c r="F222" s="72" t="s">
        <v>801</v>
      </c>
      <c r="G222" s="11" t="s">
        <v>606</v>
      </c>
      <c r="H222" s="11" t="s">
        <v>281</v>
      </c>
      <c r="I222" s="73">
        <v>196402</v>
      </c>
      <c r="J222" s="73">
        <v>158571</v>
      </c>
      <c r="K222" s="73">
        <v>33783</v>
      </c>
      <c r="L222" s="73">
        <v>124788</v>
      </c>
      <c r="M222" s="73">
        <v>14106</v>
      </c>
      <c r="N222" s="73">
        <v>176725</v>
      </c>
      <c r="O222" s="74">
        <v>17673</v>
      </c>
      <c r="P222" s="68"/>
      <c r="Q222" s="73">
        <v>37831</v>
      </c>
      <c r="R222" s="73">
        <v>14106</v>
      </c>
      <c r="S222" s="75">
        <v>51937</v>
      </c>
      <c r="T222" s="76">
        <v>107115</v>
      </c>
      <c r="U222" s="77">
        <v>159052</v>
      </c>
      <c r="V222" s="68"/>
      <c r="W222" s="78">
        <v>0.10000282925449144</v>
      </c>
      <c r="X222" s="78">
        <v>0.89999717074550856</v>
      </c>
    </row>
    <row r="223" spans="1:24" x14ac:dyDescent="0.25">
      <c r="A223" s="11">
        <v>2027</v>
      </c>
      <c r="B223" s="11" t="s">
        <v>6</v>
      </c>
      <c r="C223" s="71" t="s">
        <v>6</v>
      </c>
      <c r="D223" s="11" t="s">
        <v>607</v>
      </c>
      <c r="E223" s="72" t="s">
        <v>801</v>
      </c>
      <c r="F223" s="72" t="s">
        <v>801</v>
      </c>
      <c r="G223" s="11" t="s">
        <v>607</v>
      </c>
      <c r="H223" s="11" t="s">
        <v>282</v>
      </c>
      <c r="I223" s="73">
        <v>401447</v>
      </c>
      <c r="J223" s="73">
        <v>308173</v>
      </c>
      <c r="K223" s="73">
        <v>65655</v>
      </c>
      <c r="L223" s="73">
        <v>242518</v>
      </c>
      <c r="M223" s="73">
        <v>10647</v>
      </c>
      <c r="N223" s="73">
        <v>346439</v>
      </c>
      <c r="O223" s="74">
        <v>34644</v>
      </c>
      <c r="P223" s="68"/>
      <c r="Q223" s="73">
        <v>93274</v>
      </c>
      <c r="R223" s="73">
        <v>10647</v>
      </c>
      <c r="S223" s="75">
        <v>103921</v>
      </c>
      <c r="T223" s="76">
        <v>207874</v>
      </c>
      <c r="U223" s="77">
        <v>311795</v>
      </c>
      <c r="V223" s="68"/>
      <c r="W223" s="78">
        <v>0.10000028865110452</v>
      </c>
      <c r="X223" s="78">
        <v>0.89999971134889545</v>
      </c>
    </row>
    <row r="224" spans="1:24" x14ac:dyDescent="0.25">
      <c r="A224" s="11">
        <v>2027</v>
      </c>
      <c r="B224" s="11" t="s">
        <v>9</v>
      </c>
      <c r="C224" s="71" t="s">
        <v>9</v>
      </c>
      <c r="D224" s="11" t="s">
        <v>608</v>
      </c>
      <c r="E224" s="72" t="s">
        <v>801</v>
      </c>
      <c r="F224" s="72" t="s">
        <v>801</v>
      </c>
      <c r="G224" s="11" t="s">
        <v>608</v>
      </c>
      <c r="H224" s="11" t="s">
        <v>283</v>
      </c>
      <c r="I224" s="73">
        <v>73063</v>
      </c>
      <c r="J224" s="73">
        <v>57810</v>
      </c>
      <c r="K224" s="73">
        <v>12316</v>
      </c>
      <c r="L224" s="73">
        <v>45494</v>
      </c>
      <c r="M224" s="73">
        <v>6216</v>
      </c>
      <c r="N224" s="73">
        <v>66963</v>
      </c>
      <c r="O224" s="74">
        <v>6696</v>
      </c>
      <c r="P224" s="68"/>
      <c r="Q224" s="73">
        <v>15253</v>
      </c>
      <c r="R224" s="73">
        <v>6216</v>
      </c>
      <c r="S224" s="75">
        <v>21469</v>
      </c>
      <c r="T224" s="76">
        <v>38798</v>
      </c>
      <c r="U224" s="77">
        <v>60267</v>
      </c>
      <c r="V224" s="68"/>
      <c r="W224" s="78">
        <v>9.9995519913982353E-2</v>
      </c>
      <c r="X224" s="78">
        <v>0.90000448008601763</v>
      </c>
    </row>
    <row r="225" spans="1:24" x14ac:dyDescent="0.25">
      <c r="A225" s="11">
        <v>2027</v>
      </c>
      <c r="B225" s="11" t="s">
        <v>7</v>
      </c>
      <c r="C225" s="71" t="s">
        <v>7</v>
      </c>
      <c r="D225" s="11" t="s">
        <v>610</v>
      </c>
      <c r="E225" s="72" t="s">
        <v>801</v>
      </c>
      <c r="F225" s="72" t="s">
        <v>801</v>
      </c>
      <c r="G225" s="11" t="s">
        <v>610</v>
      </c>
      <c r="H225" s="11" t="s">
        <v>285</v>
      </c>
      <c r="I225" s="73">
        <v>343609</v>
      </c>
      <c r="J225" s="73">
        <v>268639</v>
      </c>
      <c r="K225" s="73">
        <v>57232</v>
      </c>
      <c r="L225" s="73">
        <v>211407</v>
      </c>
      <c r="M225" s="73">
        <v>0</v>
      </c>
      <c r="N225" s="73">
        <v>286377</v>
      </c>
      <c r="O225" s="74">
        <v>28638</v>
      </c>
      <c r="P225" s="68"/>
      <c r="Q225" s="73">
        <v>74970</v>
      </c>
      <c r="R225" s="73">
        <v>0</v>
      </c>
      <c r="S225" s="75">
        <v>74970</v>
      </c>
      <c r="T225" s="76">
        <v>182769</v>
      </c>
      <c r="U225" s="77">
        <v>257739</v>
      </c>
      <c r="V225" s="68"/>
      <c r="W225" s="78">
        <v>0.10000104757016101</v>
      </c>
      <c r="X225" s="78">
        <v>0.89999895242983896</v>
      </c>
    </row>
    <row r="226" spans="1:24" x14ac:dyDescent="0.25">
      <c r="A226" s="11">
        <v>2027</v>
      </c>
      <c r="B226" s="11" t="s">
        <v>13</v>
      </c>
      <c r="C226" s="71" t="s">
        <v>13</v>
      </c>
      <c r="D226" s="11" t="s">
        <v>611</v>
      </c>
      <c r="E226" s="72" t="s">
        <v>801</v>
      </c>
      <c r="F226" s="72" t="s">
        <v>801</v>
      </c>
      <c r="G226" s="11" t="s">
        <v>611</v>
      </c>
      <c r="H226" s="11" t="s">
        <v>286</v>
      </c>
      <c r="I226" s="73">
        <v>869215</v>
      </c>
      <c r="J226" s="73">
        <v>691024</v>
      </c>
      <c r="K226" s="73">
        <v>147220</v>
      </c>
      <c r="L226" s="73">
        <v>543804</v>
      </c>
      <c r="M226" s="73">
        <v>0</v>
      </c>
      <c r="N226" s="73">
        <v>721995</v>
      </c>
      <c r="O226" s="74">
        <v>72200</v>
      </c>
      <c r="P226" s="68"/>
      <c r="Q226" s="73">
        <v>178191</v>
      </c>
      <c r="R226" s="73">
        <v>0</v>
      </c>
      <c r="S226" s="75">
        <v>178191</v>
      </c>
      <c r="T226" s="76">
        <v>471604</v>
      </c>
      <c r="U226" s="77">
        <v>649795</v>
      </c>
      <c r="V226" s="68"/>
      <c r="W226" s="78">
        <v>0.10000069252557151</v>
      </c>
      <c r="X226" s="78">
        <v>0.89999930747442847</v>
      </c>
    </row>
    <row r="227" spans="1:24" x14ac:dyDescent="0.25">
      <c r="A227" s="11">
        <v>2027</v>
      </c>
      <c r="B227" s="11" t="s">
        <v>13</v>
      </c>
      <c r="C227" s="71" t="s">
        <v>13</v>
      </c>
      <c r="D227" s="11" t="s">
        <v>612</v>
      </c>
      <c r="E227" s="72" t="s">
        <v>801</v>
      </c>
      <c r="F227" s="72" t="s">
        <v>801</v>
      </c>
      <c r="G227" s="11" t="s">
        <v>612</v>
      </c>
      <c r="H227" s="11" t="s">
        <v>287</v>
      </c>
      <c r="I227" s="73">
        <v>2040843</v>
      </c>
      <c r="J227" s="73">
        <v>1622466</v>
      </c>
      <c r="K227" s="73">
        <v>345660</v>
      </c>
      <c r="L227" s="73">
        <v>1276806</v>
      </c>
      <c r="M227" s="73">
        <v>0</v>
      </c>
      <c r="N227" s="73">
        <v>1695183</v>
      </c>
      <c r="O227" s="74">
        <v>169518</v>
      </c>
      <c r="P227" s="68"/>
      <c r="Q227" s="73">
        <v>418377</v>
      </c>
      <c r="R227" s="73">
        <v>0</v>
      </c>
      <c r="S227" s="75">
        <v>418377</v>
      </c>
      <c r="T227" s="76">
        <v>1107288</v>
      </c>
      <c r="U227" s="77">
        <v>1525665</v>
      </c>
      <c r="V227" s="68"/>
      <c r="W227" s="78">
        <v>9.9999823027956278E-2</v>
      </c>
      <c r="X227" s="78">
        <v>0.90000017697204371</v>
      </c>
    </row>
    <row r="228" spans="1:24" x14ac:dyDescent="0.25">
      <c r="A228" s="11">
        <v>2027</v>
      </c>
      <c r="B228" s="11" t="s">
        <v>10</v>
      </c>
      <c r="C228" s="71" t="s">
        <v>10</v>
      </c>
      <c r="D228" s="11" t="s">
        <v>613</v>
      </c>
      <c r="E228" s="72" t="s">
        <v>801</v>
      </c>
      <c r="F228" s="72" t="s">
        <v>801</v>
      </c>
      <c r="G228" s="11" t="s">
        <v>613</v>
      </c>
      <c r="H228" s="11" t="s">
        <v>288</v>
      </c>
      <c r="I228" s="73">
        <v>253467</v>
      </c>
      <c r="J228" s="73">
        <v>204644</v>
      </c>
      <c r="K228" s="73">
        <v>43599</v>
      </c>
      <c r="L228" s="73">
        <v>161045</v>
      </c>
      <c r="M228" s="73">
        <v>0</v>
      </c>
      <c r="N228" s="73">
        <v>209868</v>
      </c>
      <c r="O228" s="74">
        <v>20987</v>
      </c>
      <c r="P228" s="68"/>
      <c r="Q228" s="73">
        <v>48823</v>
      </c>
      <c r="R228" s="73">
        <v>0</v>
      </c>
      <c r="S228" s="75">
        <v>48823</v>
      </c>
      <c r="T228" s="76">
        <v>140058</v>
      </c>
      <c r="U228" s="77">
        <v>188881</v>
      </c>
      <c r="V228" s="68"/>
      <c r="W228" s="78">
        <v>0.10000095297996836</v>
      </c>
      <c r="X228" s="78">
        <v>0.89999904702003164</v>
      </c>
    </row>
    <row r="229" spans="1:24" x14ac:dyDescent="0.25">
      <c r="A229" s="11">
        <v>2027</v>
      </c>
      <c r="B229" s="11" t="s">
        <v>6</v>
      </c>
      <c r="C229" s="71" t="s">
        <v>6</v>
      </c>
      <c r="D229" s="11" t="s">
        <v>614</v>
      </c>
      <c r="E229" s="72" t="s">
        <v>801</v>
      </c>
      <c r="F229" s="72" t="s">
        <v>801</v>
      </c>
      <c r="G229" s="11" t="s">
        <v>614</v>
      </c>
      <c r="H229" s="11" t="s">
        <v>289</v>
      </c>
      <c r="I229" s="73">
        <v>71486</v>
      </c>
      <c r="J229" s="73">
        <v>54876</v>
      </c>
      <c r="K229" s="73">
        <v>11691</v>
      </c>
      <c r="L229" s="73">
        <v>43185</v>
      </c>
      <c r="M229" s="73">
        <v>1294</v>
      </c>
      <c r="N229" s="73">
        <v>61089</v>
      </c>
      <c r="O229" s="74">
        <v>6109</v>
      </c>
      <c r="P229" s="68"/>
      <c r="Q229" s="73">
        <v>16610</v>
      </c>
      <c r="R229" s="73">
        <v>1294</v>
      </c>
      <c r="S229" s="75">
        <v>17904</v>
      </c>
      <c r="T229" s="76">
        <v>37076</v>
      </c>
      <c r="U229" s="77">
        <v>54980</v>
      </c>
      <c r="V229" s="68"/>
      <c r="W229" s="78">
        <v>0.10000163695591678</v>
      </c>
      <c r="X229" s="78">
        <v>0.8999983630440832</v>
      </c>
    </row>
    <row r="230" spans="1:24" x14ac:dyDescent="0.25">
      <c r="A230" s="11">
        <v>2027</v>
      </c>
      <c r="B230" s="11" t="s">
        <v>10</v>
      </c>
      <c r="C230" s="71" t="s">
        <v>10</v>
      </c>
      <c r="D230" s="11" t="s">
        <v>615</v>
      </c>
      <c r="E230" s="72" t="s">
        <v>801</v>
      </c>
      <c r="F230" s="72" t="s">
        <v>801</v>
      </c>
      <c r="G230" s="11" t="s">
        <v>808</v>
      </c>
      <c r="H230" s="11" t="s">
        <v>290</v>
      </c>
      <c r="I230" s="73">
        <v>362090</v>
      </c>
      <c r="J230" s="73">
        <v>292344</v>
      </c>
      <c r="K230" s="73">
        <v>62283</v>
      </c>
      <c r="L230" s="73">
        <v>230061</v>
      </c>
      <c r="M230" s="73">
        <v>11258</v>
      </c>
      <c r="N230" s="73">
        <v>311065</v>
      </c>
      <c r="O230" s="74">
        <v>31107</v>
      </c>
      <c r="P230" s="68"/>
      <c r="Q230" s="73">
        <v>69746</v>
      </c>
      <c r="R230" s="73">
        <v>11258</v>
      </c>
      <c r="S230" s="75">
        <v>81004</v>
      </c>
      <c r="T230" s="76">
        <v>198954</v>
      </c>
      <c r="U230" s="77">
        <v>279958</v>
      </c>
      <c r="V230" s="68"/>
      <c r="W230" s="78">
        <v>0.10000160738109398</v>
      </c>
      <c r="X230" s="78">
        <v>0.89999839261890602</v>
      </c>
    </row>
    <row r="231" spans="1:24" x14ac:dyDescent="0.25">
      <c r="A231" s="11">
        <v>2027</v>
      </c>
      <c r="B231" s="11" t="s">
        <v>13</v>
      </c>
      <c r="C231" s="71" t="s">
        <v>13</v>
      </c>
      <c r="D231" s="11" t="s">
        <v>616</v>
      </c>
      <c r="E231" s="72" t="s">
        <v>801</v>
      </c>
      <c r="F231" s="72" t="s">
        <v>801</v>
      </c>
      <c r="G231" s="11" t="s">
        <v>616</v>
      </c>
      <c r="H231" s="11" t="s">
        <v>291</v>
      </c>
      <c r="I231" s="73">
        <v>208467</v>
      </c>
      <c r="J231" s="73">
        <v>165731</v>
      </c>
      <c r="K231" s="73">
        <v>35308</v>
      </c>
      <c r="L231" s="73">
        <v>130423</v>
      </c>
      <c r="M231" s="73">
        <v>1263</v>
      </c>
      <c r="N231" s="73">
        <v>174422</v>
      </c>
      <c r="O231" s="74">
        <v>17442</v>
      </c>
      <c r="P231" s="68"/>
      <c r="Q231" s="73">
        <v>42736</v>
      </c>
      <c r="R231" s="73">
        <v>1263</v>
      </c>
      <c r="S231" s="75">
        <v>43999</v>
      </c>
      <c r="T231" s="76">
        <v>112981</v>
      </c>
      <c r="U231" s="77">
        <v>156980</v>
      </c>
      <c r="V231" s="68"/>
      <c r="W231" s="78">
        <v>9.9998853355654671E-2</v>
      </c>
      <c r="X231" s="78">
        <v>0.90000114664434527</v>
      </c>
    </row>
    <row r="232" spans="1:24" x14ac:dyDescent="0.25">
      <c r="A232" s="11">
        <v>2027</v>
      </c>
      <c r="B232" s="11" t="s">
        <v>10</v>
      </c>
      <c r="C232" s="71" t="s">
        <v>10</v>
      </c>
      <c r="D232" s="11" t="s">
        <v>617</v>
      </c>
      <c r="E232" s="72" t="s">
        <v>801</v>
      </c>
      <c r="F232" s="72" t="s">
        <v>801</v>
      </c>
      <c r="G232" s="11" t="s">
        <v>617</v>
      </c>
      <c r="H232" s="11" t="s">
        <v>292</v>
      </c>
      <c r="I232" s="73">
        <v>817522</v>
      </c>
      <c r="J232" s="73">
        <v>660049</v>
      </c>
      <c r="K232" s="73">
        <v>140621</v>
      </c>
      <c r="L232" s="73">
        <v>519428</v>
      </c>
      <c r="M232" s="73">
        <v>1015</v>
      </c>
      <c r="N232" s="73">
        <v>677916</v>
      </c>
      <c r="O232" s="74">
        <v>67792</v>
      </c>
      <c r="P232" s="68"/>
      <c r="Q232" s="73">
        <v>157473</v>
      </c>
      <c r="R232" s="73">
        <v>1015</v>
      </c>
      <c r="S232" s="75">
        <v>158488</v>
      </c>
      <c r="T232" s="76">
        <v>451636</v>
      </c>
      <c r="U232" s="77">
        <v>610124</v>
      </c>
      <c r="V232" s="68"/>
      <c r="W232" s="78">
        <v>0.10000059004360422</v>
      </c>
      <c r="X232" s="78">
        <v>0.89999940995639582</v>
      </c>
    </row>
    <row r="233" spans="1:24" x14ac:dyDescent="0.25">
      <c r="A233" s="11">
        <v>2027</v>
      </c>
      <c r="B233" s="11" t="s">
        <v>10</v>
      </c>
      <c r="C233" s="71" t="s">
        <v>10</v>
      </c>
      <c r="D233" s="11" t="s">
        <v>618</v>
      </c>
      <c r="E233" s="72" t="s">
        <v>801</v>
      </c>
      <c r="F233" s="72" t="s">
        <v>801</v>
      </c>
      <c r="G233" s="11" t="s">
        <v>618</v>
      </c>
      <c r="H233" s="11" t="s">
        <v>293</v>
      </c>
      <c r="I233" s="73">
        <v>720881</v>
      </c>
      <c r="J233" s="73">
        <v>582024</v>
      </c>
      <c r="K233" s="73">
        <v>123998</v>
      </c>
      <c r="L233" s="73">
        <v>458026</v>
      </c>
      <c r="M233" s="73">
        <v>12765</v>
      </c>
      <c r="N233" s="73">
        <v>609648</v>
      </c>
      <c r="O233" s="74">
        <v>60965</v>
      </c>
      <c r="P233" s="68"/>
      <c r="Q233" s="73">
        <v>138857</v>
      </c>
      <c r="R233" s="73">
        <v>12765</v>
      </c>
      <c r="S233" s="75">
        <v>151622</v>
      </c>
      <c r="T233" s="76">
        <v>397061</v>
      </c>
      <c r="U233" s="77">
        <v>548683</v>
      </c>
      <c r="V233" s="68"/>
      <c r="W233" s="78">
        <v>0.10000032805815814</v>
      </c>
      <c r="X233" s="78">
        <v>0.89999967194184183</v>
      </c>
    </row>
    <row r="234" spans="1:24" x14ac:dyDescent="0.25">
      <c r="A234" s="11">
        <v>2027</v>
      </c>
      <c r="B234" s="11" t="s">
        <v>8</v>
      </c>
      <c r="C234" s="71" t="s">
        <v>8</v>
      </c>
      <c r="D234" s="11" t="s">
        <v>619</v>
      </c>
      <c r="E234" s="72" t="s">
        <v>801</v>
      </c>
      <c r="F234" s="72" t="s">
        <v>801</v>
      </c>
      <c r="G234" s="11" t="s">
        <v>619</v>
      </c>
      <c r="H234" s="11" t="s">
        <v>294</v>
      </c>
      <c r="I234" s="73">
        <v>2107375</v>
      </c>
      <c r="J234" s="73">
        <v>1658468</v>
      </c>
      <c r="K234" s="73">
        <v>353330</v>
      </c>
      <c r="L234" s="73">
        <v>1305138</v>
      </c>
      <c r="M234" s="73">
        <v>0</v>
      </c>
      <c r="N234" s="73">
        <v>1754045</v>
      </c>
      <c r="O234" s="74">
        <v>175405</v>
      </c>
      <c r="P234" s="68"/>
      <c r="Q234" s="73">
        <v>448907</v>
      </c>
      <c r="R234" s="73">
        <v>0</v>
      </c>
      <c r="S234" s="75">
        <v>448907</v>
      </c>
      <c r="T234" s="76">
        <v>1129733</v>
      </c>
      <c r="U234" s="77">
        <v>1578640</v>
      </c>
      <c r="V234" s="68"/>
      <c r="W234" s="78">
        <v>0.10000028505540051</v>
      </c>
      <c r="X234" s="78">
        <v>0.89999971494459952</v>
      </c>
    </row>
    <row r="235" spans="1:24" x14ac:dyDescent="0.25">
      <c r="A235" s="11">
        <v>2027</v>
      </c>
      <c r="B235" s="11" t="s">
        <v>10</v>
      </c>
      <c r="C235" s="71" t="s">
        <v>10</v>
      </c>
      <c r="D235" s="11" t="s">
        <v>620</v>
      </c>
      <c r="E235" s="72" t="s">
        <v>801</v>
      </c>
      <c r="F235" s="72" t="s">
        <v>801</v>
      </c>
      <c r="G235" s="11" t="s">
        <v>620</v>
      </c>
      <c r="H235" s="11" t="s">
        <v>295</v>
      </c>
      <c r="I235" s="73">
        <v>268558</v>
      </c>
      <c r="J235" s="73">
        <v>216828</v>
      </c>
      <c r="K235" s="73">
        <v>46194</v>
      </c>
      <c r="L235" s="73">
        <v>170634</v>
      </c>
      <c r="M235" s="73">
        <v>1780</v>
      </c>
      <c r="N235" s="73">
        <v>224144</v>
      </c>
      <c r="O235" s="74">
        <v>22414</v>
      </c>
      <c r="P235" s="68"/>
      <c r="Q235" s="73">
        <v>51730</v>
      </c>
      <c r="R235" s="73">
        <v>1780</v>
      </c>
      <c r="S235" s="75">
        <v>53510</v>
      </c>
      <c r="T235" s="76">
        <v>148220</v>
      </c>
      <c r="U235" s="77">
        <v>201730</v>
      </c>
      <c r="V235" s="68"/>
      <c r="W235" s="78">
        <v>9.9998215432935966E-2</v>
      </c>
      <c r="X235" s="78">
        <v>0.90000178456706403</v>
      </c>
    </row>
    <row r="236" spans="1:24" x14ac:dyDescent="0.25">
      <c r="A236" s="11">
        <v>2027</v>
      </c>
      <c r="B236" s="11" t="s">
        <v>6</v>
      </c>
      <c r="C236" s="71" t="s">
        <v>6</v>
      </c>
      <c r="D236" s="11" t="s">
        <v>621</v>
      </c>
      <c r="E236" s="72" t="s">
        <v>801</v>
      </c>
      <c r="F236" s="72" t="s">
        <v>801</v>
      </c>
      <c r="G236" s="11" t="s">
        <v>621</v>
      </c>
      <c r="H236" s="11" t="s">
        <v>296</v>
      </c>
      <c r="I236" s="73">
        <v>271441</v>
      </c>
      <c r="J236" s="73">
        <v>208373</v>
      </c>
      <c r="K236" s="73">
        <v>44393</v>
      </c>
      <c r="L236" s="73">
        <v>163980</v>
      </c>
      <c r="M236" s="73">
        <v>0</v>
      </c>
      <c r="N236" s="73">
        <v>227048</v>
      </c>
      <c r="O236" s="74">
        <v>22705</v>
      </c>
      <c r="P236" s="68"/>
      <c r="Q236" s="73">
        <v>63068</v>
      </c>
      <c r="R236" s="73">
        <v>0</v>
      </c>
      <c r="S236" s="75">
        <v>63068</v>
      </c>
      <c r="T236" s="76">
        <v>141275</v>
      </c>
      <c r="U236" s="77">
        <v>204343</v>
      </c>
      <c r="V236" s="68"/>
      <c r="W236" s="78">
        <v>0.10000088087100525</v>
      </c>
      <c r="X236" s="78">
        <v>0.89999911912899477</v>
      </c>
    </row>
    <row r="237" spans="1:24" x14ac:dyDescent="0.25">
      <c r="A237" s="11">
        <v>2027</v>
      </c>
      <c r="B237" s="11" t="s">
        <v>5</v>
      </c>
      <c r="C237" s="71" t="s">
        <v>5</v>
      </c>
      <c r="D237" s="11" t="s">
        <v>622</v>
      </c>
      <c r="E237" s="72" t="s">
        <v>801</v>
      </c>
      <c r="F237" s="72" t="s">
        <v>801</v>
      </c>
      <c r="G237" s="11" t="s">
        <v>622</v>
      </c>
      <c r="H237" s="11" t="s">
        <v>297</v>
      </c>
      <c r="I237" s="73">
        <v>290341</v>
      </c>
      <c r="J237" s="73">
        <v>220324</v>
      </c>
      <c r="K237" s="73">
        <v>46939</v>
      </c>
      <c r="L237" s="73">
        <v>173385</v>
      </c>
      <c r="M237" s="73">
        <v>15736</v>
      </c>
      <c r="N237" s="73">
        <v>259138</v>
      </c>
      <c r="O237" s="74">
        <v>25914</v>
      </c>
      <c r="P237" s="68"/>
      <c r="Q237" s="73">
        <v>70017</v>
      </c>
      <c r="R237" s="73">
        <v>15736</v>
      </c>
      <c r="S237" s="75">
        <v>85753</v>
      </c>
      <c r="T237" s="76">
        <v>147471</v>
      </c>
      <c r="U237" s="77">
        <v>233224</v>
      </c>
      <c r="V237" s="68"/>
      <c r="W237" s="78">
        <v>0.10000077178954843</v>
      </c>
      <c r="X237" s="78">
        <v>0.89999922821045153</v>
      </c>
    </row>
    <row r="238" spans="1:24" x14ac:dyDescent="0.25">
      <c r="A238" s="11">
        <v>2027</v>
      </c>
      <c r="B238" s="11" t="s">
        <v>12</v>
      </c>
      <c r="C238" s="71" t="s">
        <v>12</v>
      </c>
      <c r="D238" s="11" t="s">
        <v>623</v>
      </c>
      <c r="E238" s="72" t="s">
        <v>801</v>
      </c>
      <c r="F238" s="72" t="s">
        <v>801</v>
      </c>
      <c r="G238" s="11" t="s">
        <v>623</v>
      </c>
      <c r="H238" s="11" t="s">
        <v>298</v>
      </c>
      <c r="I238" s="73">
        <v>383872</v>
      </c>
      <c r="J238" s="73">
        <v>302915</v>
      </c>
      <c r="K238" s="73">
        <v>64535</v>
      </c>
      <c r="L238" s="73">
        <v>238380</v>
      </c>
      <c r="M238" s="73">
        <v>22651</v>
      </c>
      <c r="N238" s="73">
        <v>341988</v>
      </c>
      <c r="O238" s="74">
        <v>34199</v>
      </c>
      <c r="P238" s="68"/>
      <c r="Q238" s="73">
        <v>80957</v>
      </c>
      <c r="R238" s="73">
        <v>22651</v>
      </c>
      <c r="S238" s="75">
        <v>103608</v>
      </c>
      <c r="T238" s="76">
        <v>204181</v>
      </c>
      <c r="U238" s="77">
        <v>307789</v>
      </c>
      <c r="V238" s="68"/>
      <c r="W238" s="78">
        <v>0.1000005848158415</v>
      </c>
      <c r="X238" s="78">
        <v>0.89999941518415849</v>
      </c>
    </row>
    <row r="239" spans="1:24" x14ac:dyDescent="0.25">
      <c r="A239" s="11">
        <v>2027</v>
      </c>
      <c r="B239" s="11" t="s">
        <v>11</v>
      </c>
      <c r="C239" s="71" t="s">
        <v>11</v>
      </c>
      <c r="D239" s="11" t="s">
        <v>624</v>
      </c>
      <c r="E239" s="72" t="s">
        <v>801</v>
      </c>
      <c r="F239" s="72" t="s">
        <v>801</v>
      </c>
      <c r="G239" s="11" t="s">
        <v>624</v>
      </c>
      <c r="H239" s="11" t="s">
        <v>299</v>
      </c>
      <c r="I239" s="73">
        <v>137477</v>
      </c>
      <c r="J239" s="73">
        <v>106516</v>
      </c>
      <c r="K239" s="73">
        <v>22693</v>
      </c>
      <c r="L239" s="73">
        <v>83823</v>
      </c>
      <c r="M239" s="73">
        <v>6311</v>
      </c>
      <c r="N239" s="73">
        <v>121095</v>
      </c>
      <c r="O239" s="74">
        <v>12110</v>
      </c>
      <c r="P239" s="68"/>
      <c r="Q239" s="73">
        <v>30961</v>
      </c>
      <c r="R239" s="73">
        <v>6311</v>
      </c>
      <c r="S239" s="75">
        <v>37272</v>
      </c>
      <c r="T239" s="76">
        <v>71713</v>
      </c>
      <c r="U239" s="77">
        <v>108985</v>
      </c>
      <c r="V239" s="68"/>
      <c r="W239" s="78">
        <v>0.10000412898963623</v>
      </c>
      <c r="X239" s="78">
        <v>0.89999587101036371</v>
      </c>
    </row>
    <row r="240" spans="1:24" x14ac:dyDescent="0.25">
      <c r="A240" s="11">
        <v>2027</v>
      </c>
      <c r="B240" s="11" t="s">
        <v>5</v>
      </c>
      <c r="C240" s="71" t="s">
        <v>5</v>
      </c>
      <c r="D240" s="11" t="s">
        <v>625</v>
      </c>
      <c r="E240" s="72" t="s">
        <v>801</v>
      </c>
      <c r="F240" s="72" t="s">
        <v>801</v>
      </c>
      <c r="G240" s="11" t="s">
        <v>625</v>
      </c>
      <c r="H240" s="11" t="s">
        <v>300</v>
      </c>
      <c r="I240" s="73">
        <v>147665</v>
      </c>
      <c r="J240" s="73">
        <v>112054</v>
      </c>
      <c r="K240" s="73">
        <v>23873</v>
      </c>
      <c r="L240" s="73">
        <v>88181</v>
      </c>
      <c r="M240" s="73">
        <v>0</v>
      </c>
      <c r="N240" s="73">
        <v>123792</v>
      </c>
      <c r="O240" s="74">
        <v>12379</v>
      </c>
      <c r="P240" s="68"/>
      <c r="Q240" s="73">
        <v>35611</v>
      </c>
      <c r="R240" s="73">
        <v>0</v>
      </c>
      <c r="S240" s="75">
        <v>35611</v>
      </c>
      <c r="T240" s="76">
        <v>75802</v>
      </c>
      <c r="U240" s="77">
        <v>111413</v>
      </c>
      <c r="V240" s="68"/>
      <c r="W240" s="78">
        <v>9.9998384386713199E-2</v>
      </c>
      <c r="X240" s="78">
        <v>0.90000161561328684</v>
      </c>
    </row>
    <row r="241" spans="1:24" x14ac:dyDescent="0.25">
      <c r="A241" s="11">
        <v>2027</v>
      </c>
      <c r="B241" s="11" t="s">
        <v>11</v>
      </c>
      <c r="C241" s="71" t="s">
        <v>11</v>
      </c>
      <c r="D241" s="11" t="s">
        <v>626</v>
      </c>
      <c r="E241" s="72" t="s">
        <v>801</v>
      </c>
      <c r="F241" s="72" t="s">
        <v>801</v>
      </c>
      <c r="G241" s="11" t="s">
        <v>626</v>
      </c>
      <c r="H241" s="11" t="s">
        <v>301</v>
      </c>
      <c r="I241" s="73">
        <v>143182</v>
      </c>
      <c r="J241" s="73">
        <v>110936</v>
      </c>
      <c r="K241" s="73">
        <v>23634</v>
      </c>
      <c r="L241" s="73">
        <v>87302</v>
      </c>
      <c r="M241" s="73">
        <v>12622</v>
      </c>
      <c r="N241" s="73">
        <v>132170</v>
      </c>
      <c r="O241" s="74">
        <v>13217</v>
      </c>
      <c r="P241" s="68"/>
      <c r="Q241" s="73">
        <v>32246</v>
      </c>
      <c r="R241" s="73">
        <v>12622</v>
      </c>
      <c r="S241" s="75">
        <v>44868</v>
      </c>
      <c r="T241" s="76">
        <v>74085</v>
      </c>
      <c r="U241" s="77">
        <v>118953</v>
      </c>
      <c r="V241" s="68"/>
      <c r="W241" s="78">
        <v>0.1</v>
      </c>
      <c r="X241" s="78">
        <v>0.9</v>
      </c>
    </row>
    <row r="242" spans="1:24" x14ac:dyDescent="0.25">
      <c r="A242" s="11">
        <v>2027</v>
      </c>
      <c r="B242" s="11" t="s">
        <v>12</v>
      </c>
      <c r="C242" s="71" t="s">
        <v>12</v>
      </c>
      <c r="D242" s="11" t="s">
        <v>627</v>
      </c>
      <c r="E242" s="72" t="s">
        <v>801</v>
      </c>
      <c r="F242" s="72" t="s">
        <v>801</v>
      </c>
      <c r="G242" s="11" t="s">
        <v>809</v>
      </c>
      <c r="H242" s="11" t="s">
        <v>302</v>
      </c>
      <c r="I242" s="73">
        <v>296186</v>
      </c>
      <c r="J242" s="73">
        <v>233722</v>
      </c>
      <c r="K242" s="73">
        <v>49793</v>
      </c>
      <c r="L242" s="73">
        <v>183929</v>
      </c>
      <c r="M242" s="73">
        <v>0</v>
      </c>
      <c r="N242" s="73">
        <v>246393</v>
      </c>
      <c r="O242" s="74">
        <v>24639</v>
      </c>
      <c r="P242" s="68"/>
      <c r="Q242" s="73">
        <v>62464</v>
      </c>
      <c r="R242" s="73">
        <v>0</v>
      </c>
      <c r="S242" s="75">
        <v>62464</v>
      </c>
      <c r="T242" s="76">
        <v>159290</v>
      </c>
      <c r="U242" s="77">
        <v>221754</v>
      </c>
      <c r="V242" s="68"/>
      <c r="W242" s="78">
        <v>9.9998782432942496E-2</v>
      </c>
      <c r="X242" s="78">
        <v>0.90000121756705753</v>
      </c>
    </row>
    <row r="243" spans="1:24" x14ac:dyDescent="0.25">
      <c r="A243" s="11">
        <v>2027</v>
      </c>
      <c r="B243" s="11" t="s">
        <v>11</v>
      </c>
      <c r="C243" s="71" t="s">
        <v>11</v>
      </c>
      <c r="D243" s="11" t="s">
        <v>628</v>
      </c>
      <c r="E243" s="72" t="s">
        <v>801</v>
      </c>
      <c r="F243" s="72" t="s">
        <v>801</v>
      </c>
      <c r="G243" s="11" t="s">
        <v>628</v>
      </c>
      <c r="H243" s="11" t="s">
        <v>303</v>
      </c>
      <c r="I243" s="73">
        <v>309025</v>
      </c>
      <c r="J243" s="73">
        <v>239429</v>
      </c>
      <c r="K243" s="73">
        <v>51009</v>
      </c>
      <c r="L243" s="73">
        <v>188420</v>
      </c>
      <c r="M243" s="73">
        <v>7546</v>
      </c>
      <c r="N243" s="73">
        <v>265562</v>
      </c>
      <c r="O243" s="74">
        <v>26556</v>
      </c>
      <c r="P243" s="68"/>
      <c r="Q243" s="73">
        <v>69596</v>
      </c>
      <c r="R243" s="73">
        <v>7546</v>
      </c>
      <c r="S243" s="75">
        <v>77142</v>
      </c>
      <c r="T243" s="76">
        <v>161864</v>
      </c>
      <c r="U243" s="77">
        <v>239006</v>
      </c>
      <c r="V243" s="68"/>
      <c r="W243" s="78">
        <v>9.9999246880201231E-2</v>
      </c>
      <c r="X243" s="78">
        <v>0.90000075311979877</v>
      </c>
    </row>
    <row r="244" spans="1:24" x14ac:dyDescent="0.25">
      <c r="A244" s="11">
        <v>2027</v>
      </c>
      <c r="B244" s="11" t="s">
        <v>10</v>
      </c>
      <c r="C244" s="71" t="s">
        <v>10</v>
      </c>
      <c r="D244" s="11" t="s">
        <v>629</v>
      </c>
      <c r="E244" s="72" t="s">
        <v>801</v>
      </c>
      <c r="F244" s="72" t="s">
        <v>801</v>
      </c>
      <c r="G244" s="11" t="s">
        <v>629</v>
      </c>
      <c r="H244" s="11" t="s">
        <v>304</v>
      </c>
      <c r="I244" s="73">
        <v>389398</v>
      </c>
      <c r="J244" s="73">
        <v>314391</v>
      </c>
      <c r="K244" s="73">
        <v>66980</v>
      </c>
      <c r="L244" s="73">
        <v>247411</v>
      </c>
      <c r="M244" s="73">
        <v>0</v>
      </c>
      <c r="N244" s="73">
        <v>322418</v>
      </c>
      <c r="O244" s="74">
        <v>32242</v>
      </c>
      <c r="P244" s="68"/>
      <c r="Q244" s="73">
        <v>75007</v>
      </c>
      <c r="R244" s="73">
        <v>0</v>
      </c>
      <c r="S244" s="75">
        <v>75007</v>
      </c>
      <c r="T244" s="76">
        <v>215169</v>
      </c>
      <c r="U244" s="77">
        <v>290176</v>
      </c>
      <c r="V244" s="68"/>
      <c r="W244" s="78">
        <v>0.10000062031276169</v>
      </c>
      <c r="X244" s="78">
        <v>0.89999937968723831</v>
      </c>
    </row>
    <row r="245" spans="1:24" x14ac:dyDescent="0.25">
      <c r="A245" s="11">
        <v>2027</v>
      </c>
      <c r="B245" s="11" t="s">
        <v>7</v>
      </c>
      <c r="C245" s="71" t="s">
        <v>7</v>
      </c>
      <c r="D245" s="11" t="s">
        <v>630</v>
      </c>
      <c r="E245" s="72" t="s">
        <v>801</v>
      </c>
      <c r="F245" s="72" t="s">
        <v>801</v>
      </c>
      <c r="G245" s="11" t="s">
        <v>630</v>
      </c>
      <c r="H245" s="11" t="s">
        <v>305</v>
      </c>
      <c r="I245" s="73">
        <v>159198</v>
      </c>
      <c r="J245" s="73">
        <v>124463</v>
      </c>
      <c r="K245" s="73">
        <v>26516</v>
      </c>
      <c r="L245" s="73">
        <v>97947</v>
      </c>
      <c r="M245" s="73">
        <v>10409</v>
      </c>
      <c r="N245" s="73">
        <v>143091</v>
      </c>
      <c r="O245" s="74">
        <v>14309</v>
      </c>
      <c r="P245" s="68"/>
      <c r="Q245" s="73">
        <v>34735</v>
      </c>
      <c r="R245" s="73">
        <v>10409</v>
      </c>
      <c r="S245" s="75">
        <v>45144</v>
      </c>
      <c r="T245" s="76">
        <v>83638</v>
      </c>
      <c r="U245" s="77">
        <v>128782</v>
      </c>
      <c r="V245" s="68"/>
      <c r="W245" s="78">
        <v>9.9999301144027233E-2</v>
      </c>
      <c r="X245" s="78">
        <v>0.90000069885597278</v>
      </c>
    </row>
    <row r="246" spans="1:24" x14ac:dyDescent="0.25">
      <c r="A246" s="11">
        <v>2027</v>
      </c>
      <c r="B246" s="11" t="s">
        <v>6</v>
      </c>
      <c r="C246" s="71" t="s">
        <v>6</v>
      </c>
      <c r="D246" s="11" t="s">
        <v>631</v>
      </c>
      <c r="E246" s="72" t="s">
        <v>801</v>
      </c>
      <c r="F246" s="72" t="s">
        <v>801</v>
      </c>
      <c r="G246" s="11" t="s">
        <v>631</v>
      </c>
      <c r="H246" s="11" t="s">
        <v>306</v>
      </c>
      <c r="I246" s="73">
        <v>80216</v>
      </c>
      <c r="J246" s="73">
        <v>61578</v>
      </c>
      <c r="K246" s="73">
        <v>13119</v>
      </c>
      <c r="L246" s="73">
        <v>48459</v>
      </c>
      <c r="M246" s="73">
        <v>6259</v>
      </c>
      <c r="N246" s="73">
        <v>73356</v>
      </c>
      <c r="O246" s="74">
        <v>7336</v>
      </c>
      <c r="P246" s="68"/>
      <c r="Q246" s="73">
        <v>18638</v>
      </c>
      <c r="R246" s="73">
        <v>6259</v>
      </c>
      <c r="S246" s="75">
        <v>24897</v>
      </c>
      <c r="T246" s="76">
        <v>41123</v>
      </c>
      <c r="U246" s="77">
        <v>66020</v>
      </c>
      <c r="V246" s="68"/>
      <c r="W246" s="78">
        <v>0.10000545286002509</v>
      </c>
      <c r="X246" s="78">
        <v>0.89999454713997495</v>
      </c>
    </row>
    <row r="247" spans="1:24" x14ac:dyDescent="0.25">
      <c r="A247" s="11">
        <v>2027</v>
      </c>
      <c r="B247" s="11" t="s">
        <v>10</v>
      </c>
      <c r="C247" s="71" t="s">
        <v>10</v>
      </c>
      <c r="D247" s="11" t="s">
        <v>632</v>
      </c>
      <c r="E247" s="72" t="s">
        <v>801</v>
      </c>
      <c r="F247" s="72" t="s">
        <v>801</v>
      </c>
      <c r="G247" s="11" t="s">
        <v>632</v>
      </c>
      <c r="H247" s="11" t="s">
        <v>307</v>
      </c>
      <c r="I247" s="73">
        <v>398760</v>
      </c>
      <c r="J247" s="73">
        <v>321950</v>
      </c>
      <c r="K247" s="73">
        <v>68590</v>
      </c>
      <c r="L247" s="73">
        <v>253360</v>
      </c>
      <c r="M247" s="73">
        <v>0</v>
      </c>
      <c r="N247" s="73">
        <v>330170</v>
      </c>
      <c r="O247" s="74">
        <v>33017</v>
      </c>
      <c r="P247" s="68"/>
      <c r="Q247" s="73">
        <v>76810</v>
      </c>
      <c r="R247" s="73">
        <v>0</v>
      </c>
      <c r="S247" s="75">
        <v>76810</v>
      </c>
      <c r="T247" s="76">
        <v>220343</v>
      </c>
      <c r="U247" s="77">
        <v>297153</v>
      </c>
      <c r="V247" s="68"/>
      <c r="W247" s="78">
        <v>0.1</v>
      </c>
      <c r="X247" s="78">
        <v>0.9</v>
      </c>
    </row>
    <row r="248" spans="1:24" x14ac:dyDescent="0.25">
      <c r="A248" s="11">
        <v>2027</v>
      </c>
      <c r="B248" s="11" t="s">
        <v>6</v>
      </c>
      <c r="C248" s="71" t="s">
        <v>6</v>
      </c>
      <c r="D248" s="11" t="s">
        <v>633</v>
      </c>
      <c r="E248" s="72" t="s">
        <v>801</v>
      </c>
      <c r="F248" s="72" t="s">
        <v>801</v>
      </c>
      <c r="G248" s="11" t="s">
        <v>633</v>
      </c>
      <c r="H248" s="11" t="s">
        <v>308</v>
      </c>
      <c r="I248" s="73">
        <v>153075</v>
      </c>
      <c r="J248" s="73">
        <v>117509</v>
      </c>
      <c r="K248" s="73">
        <v>25035</v>
      </c>
      <c r="L248" s="73">
        <v>92474</v>
      </c>
      <c r="M248" s="73">
        <v>0</v>
      </c>
      <c r="N248" s="73">
        <v>128040</v>
      </c>
      <c r="O248" s="74">
        <v>12804</v>
      </c>
      <c r="P248" s="68"/>
      <c r="Q248" s="73">
        <v>35566</v>
      </c>
      <c r="R248" s="73">
        <v>0</v>
      </c>
      <c r="S248" s="75">
        <v>35566</v>
      </c>
      <c r="T248" s="76">
        <v>79670</v>
      </c>
      <c r="U248" s="77">
        <v>115236</v>
      </c>
      <c r="V248" s="68"/>
      <c r="W248" s="78">
        <v>0.1</v>
      </c>
      <c r="X248" s="78">
        <v>0.9</v>
      </c>
    </row>
    <row r="249" spans="1:24" x14ac:dyDescent="0.25">
      <c r="A249" s="11">
        <v>2027</v>
      </c>
      <c r="B249" s="11" t="s">
        <v>11</v>
      </c>
      <c r="C249" s="71" t="s">
        <v>11</v>
      </c>
      <c r="D249" s="11" t="s">
        <v>634</v>
      </c>
      <c r="E249" s="72" t="s">
        <v>801</v>
      </c>
      <c r="F249" s="72" t="s">
        <v>801</v>
      </c>
      <c r="G249" s="11" t="s">
        <v>634</v>
      </c>
      <c r="H249" s="11" t="s">
        <v>309</v>
      </c>
      <c r="I249" s="73">
        <v>96839</v>
      </c>
      <c r="J249" s="73">
        <v>75030</v>
      </c>
      <c r="K249" s="73">
        <v>15985</v>
      </c>
      <c r="L249" s="73">
        <v>59045</v>
      </c>
      <c r="M249" s="73">
        <v>8120</v>
      </c>
      <c r="N249" s="73">
        <v>88974</v>
      </c>
      <c r="O249" s="74">
        <v>8897</v>
      </c>
      <c r="P249" s="68"/>
      <c r="Q249" s="73">
        <v>21809</v>
      </c>
      <c r="R249" s="73">
        <v>8120</v>
      </c>
      <c r="S249" s="75">
        <v>29929</v>
      </c>
      <c r="T249" s="76">
        <v>50148</v>
      </c>
      <c r="U249" s="77">
        <v>80077</v>
      </c>
      <c r="V249" s="68"/>
      <c r="W249" s="78">
        <v>9.9995504304628322E-2</v>
      </c>
      <c r="X249" s="78">
        <v>0.90000449569537166</v>
      </c>
    </row>
    <row r="250" spans="1:24" x14ac:dyDescent="0.25">
      <c r="A250" s="11">
        <v>2027</v>
      </c>
      <c r="B250" s="11" t="s">
        <v>11</v>
      </c>
      <c r="C250" s="71" t="s">
        <v>11</v>
      </c>
      <c r="D250" s="11" t="s">
        <v>635</v>
      </c>
      <c r="E250" s="72" t="s">
        <v>801</v>
      </c>
      <c r="F250" s="72" t="s">
        <v>801</v>
      </c>
      <c r="G250" s="11" t="s">
        <v>635</v>
      </c>
      <c r="H250" s="11" t="s">
        <v>310</v>
      </c>
      <c r="I250" s="73">
        <v>564544</v>
      </c>
      <c r="J250" s="73">
        <v>437402</v>
      </c>
      <c r="K250" s="73">
        <v>93187</v>
      </c>
      <c r="L250" s="73">
        <v>344215</v>
      </c>
      <c r="M250" s="73">
        <v>9559</v>
      </c>
      <c r="N250" s="73">
        <v>480916</v>
      </c>
      <c r="O250" s="74">
        <v>48092</v>
      </c>
      <c r="P250" s="68"/>
      <c r="Q250" s="73">
        <v>127142</v>
      </c>
      <c r="R250" s="73">
        <v>9559</v>
      </c>
      <c r="S250" s="75">
        <v>136701</v>
      </c>
      <c r="T250" s="76">
        <v>296123</v>
      </c>
      <c r="U250" s="77">
        <v>432824</v>
      </c>
      <c r="V250" s="68"/>
      <c r="W250" s="78">
        <v>0.10000083174608455</v>
      </c>
      <c r="X250" s="78">
        <v>0.89999916825391546</v>
      </c>
    </row>
    <row r="251" spans="1:24" x14ac:dyDescent="0.25">
      <c r="A251" s="11">
        <v>2027</v>
      </c>
      <c r="B251" s="11" t="s">
        <v>13</v>
      </c>
      <c r="C251" s="71" t="s">
        <v>13</v>
      </c>
      <c r="D251" s="11" t="s">
        <v>636</v>
      </c>
      <c r="E251" s="72" t="s">
        <v>801</v>
      </c>
      <c r="F251" s="72" t="s">
        <v>801</v>
      </c>
      <c r="G251" s="11" t="s">
        <v>636</v>
      </c>
      <c r="H251" s="11" t="s">
        <v>311</v>
      </c>
      <c r="I251" s="73">
        <v>85343</v>
      </c>
      <c r="J251" s="73">
        <v>67847</v>
      </c>
      <c r="K251" s="73">
        <v>14455</v>
      </c>
      <c r="L251" s="73">
        <v>53392</v>
      </c>
      <c r="M251" s="73">
        <v>7556</v>
      </c>
      <c r="N251" s="73">
        <v>78444</v>
      </c>
      <c r="O251" s="74">
        <v>7844</v>
      </c>
      <c r="P251" s="68"/>
      <c r="Q251" s="73">
        <v>17496</v>
      </c>
      <c r="R251" s="73">
        <v>7556</v>
      </c>
      <c r="S251" s="75">
        <v>25052</v>
      </c>
      <c r="T251" s="76">
        <v>45548</v>
      </c>
      <c r="U251" s="77">
        <v>70600</v>
      </c>
      <c r="V251" s="68"/>
      <c r="W251" s="78">
        <v>9.9994900820967819E-2</v>
      </c>
      <c r="X251" s="78">
        <v>0.90000509917903215</v>
      </c>
    </row>
    <row r="252" spans="1:24" x14ac:dyDescent="0.25">
      <c r="A252" s="11">
        <v>2027</v>
      </c>
      <c r="B252" s="11" t="s">
        <v>11</v>
      </c>
      <c r="C252" s="71" t="s">
        <v>11</v>
      </c>
      <c r="D252" s="11" t="s">
        <v>637</v>
      </c>
      <c r="E252" s="72" t="s">
        <v>801</v>
      </c>
      <c r="F252" s="72" t="s">
        <v>801</v>
      </c>
      <c r="G252" s="11" t="s">
        <v>637</v>
      </c>
      <c r="H252" s="11" t="s">
        <v>312</v>
      </c>
      <c r="I252" s="73">
        <v>462344</v>
      </c>
      <c r="J252" s="73">
        <v>358219</v>
      </c>
      <c r="K252" s="73">
        <v>76317</v>
      </c>
      <c r="L252" s="73">
        <v>281902</v>
      </c>
      <c r="M252" s="73">
        <v>0</v>
      </c>
      <c r="N252" s="73">
        <v>386027</v>
      </c>
      <c r="O252" s="74">
        <v>38603</v>
      </c>
      <c r="P252" s="68"/>
      <c r="Q252" s="73">
        <v>104125</v>
      </c>
      <c r="R252" s="73">
        <v>0</v>
      </c>
      <c r="S252" s="75">
        <v>104125</v>
      </c>
      <c r="T252" s="76">
        <v>243299</v>
      </c>
      <c r="U252" s="77">
        <v>347424</v>
      </c>
      <c r="V252" s="68"/>
      <c r="W252" s="78">
        <v>0.10000077714771247</v>
      </c>
      <c r="X252" s="78">
        <v>0.89999922285228751</v>
      </c>
    </row>
    <row r="253" spans="1:24" x14ac:dyDescent="0.25">
      <c r="A253" s="11">
        <v>2027</v>
      </c>
      <c r="B253" s="11" t="s">
        <v>12</v>
      </c>
      <c r="C253" s="71" t="s">
        <v>12</v>
      </c>
      <c r="D253" s="11" t="s">
        <v>638</v>
      </c>
      <c r="E253" s="72" t="s">
        <v>801</v>
      </c>
      <c r="F253" s="72" t="s">
        <v>801</v>
      </c>
      <c r="G253" s="11" t="s">
        <v>638</v>
      </c>
      <c r="H253" s="11" t="s">
        <v>313</v>
      </c>
      <c r="I253" s="73">
        <v>425251</v>
      </c>
      <c r="J253" s="73">
        <v>335567</v>
      </c>
      <c r="K253" s="73">
        <v>71491</v>
      </c>
      <c r="L253" s="73">
        <v>264076</v>
      </c>
      <c r="M253" s="73">
        <v>0</v>
      </c>
      <c r="N253" s="73">
        <v>353760</v>
      </c>
      <c r="O253" s="74">
        <v>35376</v>
      </c>
      <c r="P253" s="68"/>
      <c r="Q253" s="73">
        <v>89684</v>
      </c>
      <c r="R253" s="73">
        <v>0</v>
      </c>
      <c r="S253" s="75">
        <v>89684</v>
      </c>
      <c r="T253" s="76">
        <v>228700</v>
      </c>
      <c r="U253" s="77">
        <v>318384</v>
      </c>
      <c r="V253" s="68"/>
      <c r="W253" s="78">
        <v>0.1</v>
      </c>
      <c r="X253" s="78">
        <v>0.9</v>
      </c>
    </row>
    <row r="254" spans="1:24" x14ac:dyDescent="0.25">
      <c r="A254" s="11">
        <v>2027</v>
      </c>
      <c r="B254" s="11" t="s">
        <v>11</v>
      </c>
      <c r="C254" s="71" t="s">
        <v>11</v>
      </c>
      <c r="D254" s="11" t="s">
        <v>639</v>
      </c>
      <c r="E254" s="72" t="s">
        <v>801</v>
      </c>
      <c r="F254" s="72" t="s">
        <v>801</v>
      </c>
      <c r="G254" s="11" t="s">
        <v>639</v>
      </c>
      <c r="H254" s="11" t="s">
        <v>314</v>
      </c>
      <c r="I254" s="73">
        <v>258837</v>
      </c>
      <c r="J254" s="73">
        <v>200544</v>
      </c>
      <c r="K254" s="73">
        <v>42725</v>
      </c>
      <c r="L254" s="73">
        <v>157819</v>
      </c>
      <c r="M254" s="73">
        <v>8987</v>
      </c>
      <c r="N254" s="73">
        <v>225099</v>
      </c>
      <c r="O254" s="74">
        <v>22510</v>
      </c>
      <c r="P254" s="68"/>
      <c r="Q254" s="73">
        <v>58293</v>
      </c>
      <c r="R254" s="73">
        <v>8987</v>
      </c>
      <c r="S254" s="75">
        <v>67280</v>
      </c>
      <c r="T254" s="76">
        <v>135309</v>
      </c>
      <c r="U254" s="77">
        <v>202589</v>
      </c>
      <c r="V254" s="68"/>
      <c r="W254" s="78">
        <v>0.10000044424897489</v>
      </c>
      <c r="X254" s="78">
        <v>0.89999955575102508</v>
      </c>
    </row>
    <row r="255" spans="1:24" x14ac:dyDescent="0.25">
      <c r="A255" s="11">
        <v>2027</v>
      </c>
      <c r="B255" s="11" t="s">
        <v>12</v>
      </c>
      <c r="C255" s="71" t="s">
        <v>12</v>
      </c>
      <c r="D255" s="11" t="s">
        <v>640</v>
      </c>
      <c r="E255" s="72" t="s">
        <v>801</v>
      </c>
      <c r="F255" s="72" t="s">
        <v>801</v>
      </c>
      <c r="G255" s="11" t="s">
        <v>640</v>
      </c>
      <c r="H255" s="11" t="s">
        <v>315</v>
      </c>
      <c r="I255" s="73">
        <v>135350</v>
      </c>
      <c r="J255" s="73">
        <v>106805</v>
      </c>
      <c r="K255" s="73">
        <v>22754</v>
      </c>
      <c r="L255" s="73">
        <v>84051</v>
      </c>
      <c r="M255" s="73">
        <v>14757</v>
      </c>
      <c r="N255" s="73">
        <v>127353</v>
      </c>
      <c r="O255" s="74">
        <v>12735</v>
      </c>
      <c r="P255" s="68"/>
      <c r="Q255" s="73">
        <v>28545</v>
      </c>
      <c r="R255" s="73">
        <v>14757</v>
      </c>
      <c r="S255" s="75">
        <v>43302</v>
      </c>
      <c r="T255" s="76">
        <v>71316</v>
      </c>
      <c r="U255" s="77">
        <v>114618</v>
      </c>
      <c r="V255" s="68"/>
      <c r="W255" s="78">
        <v>9.999764434288945E-2</v>
      </c>
      <c r="X255" s="78">
        <v>0.90000235565711051</v>
      </c>
    </row>
    <row r="256" spans="1:24" x14ac:dyDescent="0.25">
      <c r="A256" s="11">
        <v>2027</v>
      </c>
      <c r="B256" s="11" t="s">
        <v>13</v>
      </c>
      <c r="C256" s="71" t="s">
        <v>13</v>
      </c>
      <c r="D256" s="11" t="s">
        <v>641</v>
      </c>
      <c r="E256" s="72" t="s">
        <v>801</v>
      </c>
      <c r="F256" s="72" t="s">
        <v>801</v>
      </c>
      <c r="G256" s="11" t="s">
        <v>641</v>
      </c>
      <c r="H256" s="11" t="s">
        <v>316</v>
      </c>
      <c r="I256" s="73">
        <v>214395</v>
      </c>
      <c r="J256" s="73">
        <v>170443</v>
      </c>
      <c r="K256" s="73">
        <v>36312</v>
      </c>
      <c r="L256" s="73">
        <v>134131</v>
      </c>
      <c r="M256" s="73">
        <v>0</v>
      </c>
      <c r="N256" s="73">
        <v>178083</v>
      </c>
      <c r="O256" s="74">
        <v>17808</v>
      </c>
      <c r="P256" s="68"/>
      <c r="Q256" s="73">
        <v>43952</v>
      </c>
      <c r="R256" s="73">
        <v>0</v>
      </c>
      <c r="S256" s="75">
        <v>43952</v>
      </c>
      <c r="T256" s="76">
        <v>116323</v>
      </c>
      <c r="U256" s="77">
        <v>160275</v>
      </c>
      <c r="V256" s="68"/>
      <c r="W256" s="78">
        <v>9.9998315392260909E-2</v>
      </c>
      <c r="X256" s="78">
        <v>0.90000168460773911</v>
      </c>
    </row>
    <row r="257" spans="1:24" x14ac:dyDescent="0.25">
      <c r="A257" s="11">
        <v>2027</v>
      </c>
      <c r="B257" s="11" t="s">
        <v>11</v>
      </c>
      <c r="C257" s="71" t="s">
        <v>11</v>
      </c>
      <c r="D257" s="11" t="s">
        <v>642</v>
      </c>
      <c r="E257" s="72" t="s">
        <v>801</v>
      </c>
      <c r="F257" s="72" t="s">
        <v>801</v>
      </c>
      <c r="G257" s="11" t="s">
        <v>642</v>
      </c>
      <c r="H257" s="11" t="s">
        <v>317</v>
      </c>
      <c r="I257" s="73">
        <v>619914</v>
      </c>
      <c r="J257" s="73">
        <v>480302</v>
      </c>
      <c r="K257" s="73">
        <v>102326</v>
      </c>
      <c r="L257" s="73">
        <v>377976</v>
      </c>
      <c r="M257" s="73">
        <v>3269</v>
      </c>
      <c r="N257" s="73">
        <v>520857</v>
      </c>
      <c r="O257" s="74">
        <v>52086</v>
      </c>
      <c r="P257" s="68"/>
      <c r="Q257" s="73">
        <v>139612</v>
      </c>
      <c r="R257" s="73">
        <v>3269</v>
      </c>
      <c r="S257" s="75">
        <v>142881</v>
      </c>
      <c r="T257" s="76">
        <v>325890</v>
      </c>
      <c r="U257" s="77">
        <v>468771</v>
      </c>
      <c r="V257" s="68"/>
      <c r="W257" s="78">
        <v>0.10000057597382775</v>
      </c>
      <c r="X257" s="78">
        <v>0.89999942402617228</v>
      </c>
    </row>
    <row r="258" spans="1:24" x14ac:dyDescent="0.25">
      <c r="A258" s="11">
        <v>2027</v>
      </c>
      <c r="B258" s="11" t="s">
        <v>6</v>
      </c>
      <c r="C258" s="71" t="s">
        <v>6</v>
      </c>
      <c r="D258" s="11" t="s">
        <v>643</v>
      </c>
      <c r="E258" s="72" t="s">
        <v>801</v>
      </c>
      <c r="F258" s="72" t="s">
        <v>801</v>
      </c>
      <c r="G258" s="11" t="s">
        <v>810</v>
      </c>
      <c r="H258" s="11" t="s">
        <v>318</v>
      </c>
      <c r="I258" s="73">
        <v>186598</v>
      </c>
      <c r="J258" s="73">
        <v>143243</v>
      </c>
      <c r="K258" s="73">
        <v>30517</v>
      </c>
      <c r="L258" s="73">
        <v>112726</v>
      </c>
      <c r="M258" s="73">
        <v>0</v>
      </c>
      <c r="N258" s="73">
        <v>156081</v>
      </c>
      <c r="O258" s="74">
        <v>15608</v>
      </c>
      <c r="P258" s="68"/>
      <c r="Q258" s="73">
        <v>43355</v>
      </c>
      <c r="R258" s="73">
        <v>0</v>
      </c>
      <c r="S258" s="75">
        <v>43355</v>
      </c>
      <c r="T258" s="76">
        <v>97118</v>
      </c>
      <c r="U258" s="77">
        <v>140473</v>
      </c>
      <c r="V258" s="68"/>
      <c r="W258" s="78">
        <v>9.9999359307026484E-2</v>
      </c>
      <c r="X258" s="78">
        <v>0.90000064069297347</v>
      </c>
    </row>
    <row r="259" spans="1:24" x14ac:dyDescent="0.25">
      <c r="A259" s="11">
        <v>2027</v>
      </c>
      <c r="B259" s="11" t="s">
        <v>11</v>
      </c>
      <c r="C259" s="71" t="s">
        <v>11</v>
      </c>
      <c r="D259" s="11" t="s">
        <v>644</v>
      </c>
      <c r="E259" s="72" t="s">
        <v>801</v>
      </c>
      <c r="F259" s="72" t="s">
        <v>801</v>
      </c>
      <c r="G259" s="11" t="s">
        <v>644</v>
      </c>
      <c r="H259" s="11" t="s">
        <v>319</v>
      </c>
      <c r="I259" s="73">
        <v>6013909</v>
      </c>
      <c r="J259" s="73">
        <v>4659503</v>
      </c>
      <c r="K259" s="73">
        <v>992688</v>
      </c>
      <c r="L259" s="73">
        <v>3666815</v>
      </c>
      <c r="M259" s="73">
        <v>117</v>
      </c>
      <c r="N259" s="73">
        <v>5021338</v>
      </c>
      <c r="O259" s="74">
        <v>502134</v>
      </c>
      <c r="P259" s="68"/>
      <c r="Q259" s="73">
        <v>1354406</v>
      </c>
      <c r="R259" s="73">
        <v>117</v>
      </c>
      <c r="S259" s="75">
        <v>1354523</v>
      </c>
      <c r="T259" s="76">
        <v>3164681</v>
      </c>
      <c r="U259" s="77">
        <v>4519204</v>
      </c>
      <c r="V259" s="68"/>
      <c r="W259" s="78">
        <v>0.1000000398300214</v>
      </c>
      <c r="X259" s="78">
        <v>0.89999996016997863</v>
      </c>
    </row>
    <row r="260" spans="1:24" x14ac:dyDescent="0.25">
      <c r="A260" s="11">
        <v>2027</v>
      </c>
      <c r="B260" s="11" t="s">
        <v>9</v>
      </c>
      <c r="C260" s="71" t="s">
        <v>9</v>
      </c>
      <c r="D260" s="11" t="s">
        <v>645</v>
      </c>
      <c r="E260" s="72" t="s">
        <v>801</v>
      </c>
      <c r="F260" s="72" t="s">
        <v>801</v>
      </c>
      <c r="G260" s="11" t="s">
        <v>645</v>
      </c>
      <c r="H260" s="11" t="s">
        <v>320</v>
      </c>
      <c r="I260" s="73">
        <v>563252</v>
      </c>
      <c r="J260" s="73">
        <v>445666</v>
      </c>
      <c r="K260" s="73">
        <v>94947</v>
      </c>
      <c r="L260" s="73">
        <v>350719</v>
      </c>
      <c r="M260" s="73">
        <v>0</v>
      </c>
      <c r="N260" s="73">
        <v>468305</v>
      </c>
      <c r="O260" s="74">
        <v>46831</v>
      </c>
      <c r="P260" s="68"/>
      <c r="Q260" s="73">
        <v>117586</v>
      </c>
      <c r="R260" s="73">
        <v>0</v>
      </c>
      <c r="S260" s="75">
        <v>117586</v>
      </c>
      <c r="T260" s="76">
        <v>303888</v>
      </c>
      <c r="U260" s="77">
        <v>421474</v>
      </c>
      <c r="V260" s="68"/>
      <c r="W260" s="78">
        <v>0.10000106768025112</v>
      </c>
      <c r="X260" s="78">
        <v>0.89999893231974892</v>
      </c>
    </row>
    <row r="261" spans="1:24" x14ac:dyDescent="0.25">
      <c r="A261" s="11">
        <v>2027</v>
      </c>
      <c r="B261" s="11" t="s">
        <v>6</v>
      </c>
      <c r="C261" s="71" t="s">
        <v>6</v>
      </c>
      <c r="D261" s="11" t="s">
        <v>646</v>
      </c>
      <c r="E261" s="72" t="s">
        <v>801</v>
      </c>
      <c r="F261" s="72" t="s">
        <v>801</v>
      </c>
      <c r="G261" s="11" t="s">
        <v>646</v>
      </c>
      <c r="H261" s="11" t="s">
        <v>321</v>
      </c>
      <c r="I261" s="73">
        <v>384477</v>
      </c>
      <c r="J261" s="73">
        <v>295146</v>
      </c>
      <c r="K261" s="73">
        <v>62880</v>
      </c>
      <c r="L261" s="73">
        <v>232266</v>
      </c>
      <c r="M261" s="73">
        <v>0</v>
      </c>
      <c r="N261" s="73">
        <v>321597</v>
      </c>
      <c r="O261" s="74">
        <v>32160</v>
      </c>
      <c r="P261" s="68"/>
      <c r="Q261" s="73">
        <v>89331</v>
      </c>
      <c r="R261" s="73">
        <v>0</v>
      </c>
      <c r="S261" s="75">
        <v>89331</v>
      </c>
      <c r="T261" s="76">
        <v>200106</v>
      </c>
      <c r="U261" s="77">
        <v>289437</v>
      </c>
      <c r="V261" s="68"/>
      <c r="W261" s="78">
        <v>0.1000009328445228</v>
      </c>
      <c r="X261" s="78">
        <v>0.89999906715547717</v>
      </c>
    </row>
    <row r="262" spans="1:24" x14ac:dyDescent="0.25">
      <c r="A262" s="11">
        <v>2027</v>
      </c>
      <c r="B262" s="11" t="s">
        <v>6</v>
      </c>
      <c r="C262" s="71" t="s">
        <v>6</v>
      </c>
      <c r="D262" s="11" t="s">
        <v>647</v>
      </c>
      <c r="E262" s="72" t="s">
        <v>801</v>
      </c>
      <c r="F262" s="72" t="s">
        <v>801</v>
      </c>
      <c r="G262" s="11" t="s">
        <v>647</v>
      </c>
      <c r="H262" s="11" t="s">
        <v>322</v>
      </c>
      <c r="I262" s="73">
        <v>252348</v>
      </c>
      <c r="J262" s="73">
        <v>193716</v>
      </c>
      <c r="K262" s="73">
        <v>41270</v>
      </c>
      <c r="L262" s="73">
        <v>152446</v>
      </c>
      <c r="M262" s="73">
        <v>0</v>
      </c>
      <c r="N262" s="73">
        <v>211078</v>
      </c>
      <c r="O262" s="74">
        <v>21108</v>
      </c>
      <c r="P262" s="68"/>
      <c r="Q262" s="73">
        <v>58632</v>
      </c>
      <c r="R262" s="73">
        <v>0</v>
      </c>
      <c r="S262" s="75">
        <v>58632</v>
      </c>
      <c r="T262" s="76">
        <v>131338</v>
      </c>
      <c r="U262" s="77">
        <v>189970</v>
      </c>
      <c r="V262" s="68"/>
      <c r="W262" s="78">
        <v>0.10000094751703162</v>
      </c>
      <c r="X262" s="78">
        <v>0.89999905248296841</v>
      </c>
    </row>
    <row r="263" spans="1:24" x14ac:dyDescent="0.25">
      <c r="A263" s="11">
        <v>2027</v>
      </c>
      <c r="B263" s="11" t="s">
        <v>11</v>
      </c>
      <c r="C263" s="71" t="s">
        <v>11</v>
      </c>
      <c r="D263" s="11" t="s">
        <v>648</v>
      </c>
      <c r="E263" s="72" t="s">
        <v>801</v>
      </c>
      <c r="F263" s="72" t="s">
        <v>801</v>
      </c>
      <c r="G263" s="11" t="s">
        <v>811</v>
      </c>
      <c r="H263" s="11" t="s">
        <v>323</v>
      </c>
      <c r="I263" s="73">
        <v>250837</v>
      </c>
      <c r="J263" s="73">
        <v>194345</v>
      </c>
      <c r="K263" s="73">
        <v>41404</v>
      </c>
      <c r="L263" s="73">
        <v>152941</v>
      </c>
      <c r="M263" s="73">
        <v>0</v>
      </c>
      <c r="N263" s="73">
        <v>209433</v>
      </c>
      <c r="O263" s="74">
        <v>20943</v>
      </c>
      <c r="P263" s="68"/>
      <c r="Q263" s="73">
        <v>56492</v>
      </c>
      <c r="R263" s="73">
        <v>0</v>
      </c>
      <c r="S263" s="75">
        <v>56492</v>
      </c>
      <c r="T263" s="76">
        <v>131998</v>
      </c>
      <c r="U263" s="77">
        <v>188490</v>
      </c>
      <c r="V263" s="68"/>
      <c r="W263" s="78">
        <v>9.9998567560986087E-2</v>
      </c>
      <c r="X263" s="78">
        <v>0.90000143243901387</v>
      </c>
    </row>
    <row r="264" spans="1:24" x14ac:dyDescent="0.25">
      <c r="A264" s="11">
        <v>2027</v>
      </c>
      <c r="B264" s="11" t="s">
        <v>12</v>
      </c>
      <c r="C264" s="71" t="s">
        <v>12</v>
      </c>
      <c r="D264" s="11" t="s">
        <v>649</v>
      </c>
      <c r="E264" s="72" t="s">
        <v>801</v>
      </c>
      <c r="F264" s="72" t="s">
        <v>801</v>
      </c>
      <c r="G264" s="11" t="s">
        <v>649</v>
      </c>
      <c r="H264" s="11" t="s">
        <v>324</v>
      </c>
      <c r="I264" s="73">
        <v>66242</v>
      </c>
      <c r="J264" s="73">
        <v>52272</v>
      </c>
      <c r="K264" s="73">
        <v>11136</v>
      </c>
      <c r="L264" s="73">
        <v>41136</v>
      </c>
      <c r="M264" s="73">
        <v>13534</v>
      </c>
      <c r="N264" s="73">
        <v>68640</v>
      </c>
      <c r="O264" s="74">
        <v>6864</v>
      </c>
      <c r="P264" s="68"/>
      <c r="Q264" s="73">
        <v>13970</v>
      </c>
      <c r="R264" s="73">
        <v>13534</v>
      </c>
      <c r="S264" s="75">
        <v>27504</v>
      </c>
      <c r="T264" s="76">
        <v>34272</v>
      </c>
      <c r="U264" s="77">
        <v>61776</v>
      </c>
      <c r="V264" s="68"/>
      <c r="W264" s="78">
        <v>0.1</v>
      </c>
      <c r="X264" s="78">
        <v>0.9</v>
      </c>
    </row>
    <row r="265" spans="1:24" x14ac:dyDescent="0.25">
      <c r="A265" s="11">
        <v>2027</v>
      </c>
      <c r="B265" s="11" t="s">
        <v>7</v>
      </c>
      <c r="C265" s="71" t="s">
        <v>7</v>
      </c>
      <c r="D265" s="11" t="s">
        <v>650</v>
      </c>
      <c r="E265" s="72" t="s">
        <v>801</v>
      </c>
      <c r="F265" s="72" t="s">
        <v>801</v>
      </c>
      <c r="G265" s="11" t="s">
        <v>650</v>
      </c>
      <c r="H265" s="11" t="s">
        <v>325</v>
      </c>
      <c r="I265" s="73">
        <v>553521</v>
      </c>
      <c r="J265" s="73">
        <v>432751</v>
      </c>
      <c r="K265" s="73">
        <v>92196</v>
      </c>
      <c r="L265" s="73">
        <v>340555</v>
      </c>
      <c r="M265" s="73">
        <v>12675</v>
      </c>
      <c r="N265" s="73">
        <v>474000</v>
      </c>
      <c r="O265" s="74">
        <v>47400</v>
      </c>
      <c r="P265" s="68"/>
      <c r="Q265" s="73">
        <v>120770</v>
      </c>
      <c r="R265" s="73">
        <v>12675</v>
      </c>
      <c r="S265" s="75">
        <v>133445</v>
      </c>
      <c r="T265" s="76">
        <v>293155</v>
      </c>
      <c r="U265" s="77">
        <v>426600</v>
      </c>
      <c r="V265" s="68"/>
      <c r="W265" s="78">
        <v>0.1</v>
      </c>
      <c r="X265" s="78">
        <v>0.9</v>
      </c>
    </row>
    <row r="266" spans="1:24" x14ac:dyDescent="0.25">
      <c r="A266" s="11">
        <v>2027</v>
      </c>
      <c r="B266" s="11" t="s">
        <v>5</v>
      </c>
      <c r="C266" s="71" t="s">
        <v>5</v>
      </c>
      <c r="D266" s="11" t="s">
        <v>651</v>
      </c>
      <c r="E266" s="72" t="s">
        <v>801</v>
      </c>
      <c r="F266" s="72" t="s">
        <v>801</v>
      </c>
      <c r="G266" s="11" t="s">
        <v>651</v>
      </c>
      <c r="H266" s="11" t="s">
        <v>326</v>
      </c>
      <c r="I266" s="73">
        <v>222884</v>
      </c>
      <c r="J266" s="73">
        <v>169134</v>
      </c>
      <c r="K266" s="73">
        <v>36033</v>
      </c>
      <c r="L266" s="73">
        <v>133101</v>
      </c>
      <c r="M266" s="73">
        <v>9419</v>
      </c>
      <c r="N266" s="73">
        <v>196270</v>
      </c>
      <c r="O266" s="74">
        <v>19627</v>
      </c>
      <c r="P266" s="68"/>
      <c r="Q266" s="73">
        <v>53750</v>
      </c>
      <c r="R266" s="73">
        <v>9419</v>
      </c>
      <c r="S266" s="75">
        <v>63169</v>
      </c>
      <c r="T266" s="76">
        <v>113474</v>
      </c>
      <c r="U266" s="77">
        <v>176643</v>
      </c>
      <c r="V266" s="68"/>
      <c r="W266" s="78">
        <v>0.1</v>
      </c>
      <c r="X266" s="78">
        <v>0.9</v>
      </c>
    </row>
    <row r="267" spans="1:24" x14ac:dyDescent="0.25">
      <c r="A267" s="11">
        <v>2027</v>
      </c>
      <c r="B267" s="11" t="s">
        <v>10</v>
      </c>
      <c r="C267" s="71" t="s">
        <v>10</v>
      </c>
      <c r="D267" s="11" t="s">
        <v>652</v>
      </c>
      <c r="E267" s="72" t="s">
        <v>801</v>
      </c>
      <c r="F267" s="72" t="s">
        <v>801</v>
      </c>
      <c r="G267" s="11" t="s">
        <v>652</v>
      </c>
      <c r="H267" s="11" t="s">
        <v>327</v>
      </c>
      <c r="I267" s="73">
        <v>2925621</v>
      </c>
      <c r="J267" s="73">
        <v>2362083</v>
      </c>
      <c r="K267" s="73">
        <v>503232</v>
      </c>
      <c r="L267" s="73">
        <v>1858851</v>
      </c>
      <c r="M267" s="73">
        <v>0</v>
      </c>
      <c r="N267" s="73">
        <v>2422389</v>
      </c>
      <c r="O267" s="74">
        <v>242239</v>
      </c>
      <c r="P267" s="68"/>
      <c r="Q267" s="73">
        <v>563538</v>
      </c>
      <c r="R267" s="73">
        <v>0</v>
      </c>
      <c r="S267" s="75">
        <v>563538</v>
      </c>
      <c r="T267" s="76">
        <v>1616612</v>
      </c>
      <c r="U267" s="77">
        <v>2180150</v>
      </c>
      <c r="V267" s="68"/>
      <c r="W267" s="78">
        <v>0.1000000412815613</v>
      </c>
      <c r="X267" s="78">
        <v>0.89999995871843874</v>
      </c>
    </row>
    <row r="268" spans="1:24" x14ac:dyDescent="0.25">
      <c r="A268" s="11">
        <v>2027</v>
      </c>
      <c r="B268" s="11" t="s">
        <v>10</v>
      </c>
      <c r="C268" s="71" t="s">
        <v>10</v>
      </c>
      <c r="D268" s="11" t="s">
        <v>654</v>
      </c>
      <c r="E268" s="72" t="s">
        <v>801</v>
      </c>
      <c r="F268" s="72" t="s">
        <v>801</v>
      </c>
      <c r="G268" s="11" t="s">
        <v>654</v>
      </c>
      <c r="H268" s="11" t="s">
        <v>329</v>
      </c>
      <c r="I268" s="73">
        <v>185902</v>
      </c>
      <c r="J268" s="73">
        <v>150093</v>
      </c>
      <c r="K268" s="73">
        <v>31977</v>
      </c>
      <c r="L268" s="73">
        <v>118116</v>
      </c>
      <c r="M268" s="73">
        <v>4654</v>
      </c>
      <c r="N268" s="73">
        <v>158579</v>
      </c>
      <c r="O268" s="74">
        <v>15858</v>
      </c>
      <c r="P268" s="68"/>
      <c r="Q268" s="73">
        <v>35809</v>
      </c>
      <c r="R268" s="73">
        <v>4654</v>
      </c>
      <c r="S268" s="75">
        <v>40463</v>
      </c>
      <c r="T268" s="76">
        <v>102258</v>
      </c>
      <c r="U268" s="77">
        <v>142721</v>
      </c>
      <c r="V268" s="68"/>
      <c r="W268" s="78">
        <v>0.10000063060052088</v>
      </c>
      <c r="X268" s="78">
        <v>0.89999936939947911</v>
      </c>
    </row>
    <row r="269" spans="1:24" x14ac:dyDescent="0.25">
      <c r="A269" s="11">
        <v>2027</v>
      </c>
      <c r="B269" s="11" t="s">
        <v>6</v>
      </c>
      <c r="C269" s="71" t="s">
        <v>6</v>
      </c>
      <c r="D269" s="11" t="s">
        <v>653</v>
      </c>
      <c r="E269" s="72" t="s">
        <v>801</v>
      </c>
      <c r="F269" s="72" t="s">
        <v>801</v>
      </c>
      <c r="G269" s="11" t="s">
        <v>653</v>
      </c>
      <c r="H269" s="11" t="s">
        <v>328</v>
      </c>
      <c r="I269" s="73">
        <v>422513</v>
      </c>
      <c r="J269" s="73">
        <v>324344</v>
      </c>
      <c r="K269" s="73">
        <v>69100</v>
      </c>
      <c r="L269" s="73">
        <v>255244</v>
      </c>
      <c r="M269" s="73">
        <v>18587</v>
      </c>
      <c r="N269" s="73">
        <v>372000</v>
      </c>
      <c r="O269" s="74">
        <v>37200</v>
      </c>
      <c r="P269" s="68"/>
      <c r="Q269" s="73">
        <v>98169</v>
      </c>
      <c r="R269" s="73">
        <v>18587</v>
      </c>
      <c r="S269" s="75">
        <v>116756</v>
      </c>
      <c r="T269" s="76">
        <v>218044</v>
      </c>
      <c r="U269" s="77">
        <v>334800</v>
      </c>
      <c r="V269" s="68"/>
      <c r="W269" s="78">
        <v>0.1</v>
      </c>
      <c r="X269" s="78">
        <v>0.9</v>
      </c>
    </row>
    <row r="270" spans="1:24" x14ac:dyDescent="0.25">
      <c r="A270" s="11">
        <v>2027</v>
      </c>
      <c r="B270" s="11" t="s">
        <v>6</v>
      </c>
      <c r="C270" s="71" t="s">
        <v>6</v>
      </c>
      <c r="D270" s="11" t="s">
        <v>655</v>
      </c>
      <c r="E270" s="72" t="s">
        <v>812</v>
      </c>
      <c r="F270" s="72" t="s">
        <v>801</v>
      </c>
      <c r="G270" s="11" t="s">
        <v>655</v>
      </c>
      <c r="H270" s="11" t="s">
        <v>330</v>
      </c>
      <c r="I270" s="73">
        <v>798879</v>
      </c>
      <c r="J270" s="73">
        <v>613263</v>
      </c>
      <c r="K270" s="73">
        <v>130653</v>
      </c>
      <c r="L270" s="73">
        <v>482610</v>
      </c>
      <c r="M270" s="73">
        <v>39541</v>
      </c>
      <c r="N270" s="73">
        <v>707767</v>
      </c>
      <c r="O270" s="74">
        <v>70777</v>
      </c>
      <c r="P270" s="68"/>
      <c r="Q270" s="73">
        <v>185616</v>
      </c>
      <c r="R270" s="73">
        <v>39541</v>
      </c>
      <c r="S270" s="75">
        <v>225157</v>
      </c>
      <c r="T270" s="76">
        <v>411833</v>
      </c>
      <c r="U270" s="77">
        <v>636990</v>
      </c>
      <c r="V270" s="68"/>
      <c r="W270" s="78">
        <v>0.10000042386830695</v>
      </c>
      <c r="X270" s="78">
        <v>0.89999957613169301</v>
      </c>
    </row>
    <row r="271" spans="1:24" x14ac:dyDescent="0.25">
      <c r="A271" s="11">
        <v>2027</v>
      </c>
      <c r="B271" s="11" t="s">
        <v>6</v>
      </c>
      <c r="C271" s="71" t="s">
        <v>6</v>
      </c>
      <c r="D271" s="11" t="s">
        <v>656</v>
      </c>
      <c r="E271" s="72" t="s">
        <v>801</v>
      </c>
      <c r="F271" s="72" t="s">
        <v>801</v>
      </c>
      <c r="G271" s="11" t="s">
        <v>656</v>
      </c>
      <c r="H271" s="11" t="s">
        <v>331</v>
      </c>
      <c r="I271" s="73">
        <v>460191</v>
      </c>
      <c r="J271" s="73">
        <v>353268</v>
      </c>
      <c r="K271" s="73">
        <v>75262</v>
      </c>
      <c r="L271" s="73">
        <v>278006</v>
      </c>
      <c r="M271" s="73">
        <v>0</v>
      </c>
      <c r="N271" s="73">
        <v>384929</v>
      </c>
      <c r="O271" s="74">
        <v>38493</v>
      </c>
      <c r="P271" s="68"/>
      <c r="Q271" s="73">
        <v>106923</v>
      </c>
      <c r="R271" s="73">
        <v>0</v>
      </c>
      <c r="S271" s="75">
        <v>106923</v>
      </c>
      <c r="T271" s="76">
        <v>239513</v>
      </c>
      <c r="U271" s="77">
        <v>346436</v>
      </c>
      <c r="V271" s="68"/>
      <c r="W271" s="78">
        <v>0.10000025978816873</v>
      </c>
      <c r="X271" s="78">
        <v>0.89999974021183127</v>
      </c>
    </row>
    <row r="272" spans="1:24" x14ac:dyDescent="0.25">
      <c r="A272" s="11">
        <v>2027</v>
      </c>
      <c r="B272" s="11" t="s">
        <v>9</v>
      </c>
      <c r="C272" s="71" t="s">
        <v>9</v>
      </c>
      <c r="D272" s="11" t="s">
        <v>657</v>
      </c>
      <c r="E272" s="72" t="s">
        <v>801</v>
      </c>
      <c r="F272" s="72" t="s">
        <v>801</v>
      </c>
      <c r="G272" s="11" t="s">
        <v>657</v>
      </c>
      <c r="H272" s="11" t="s">
        <v>332</v>
      </c>
      <c r="I272" s="73">
        <v>155473</v>
      </c>
      <c r="J272" s="73">
        <v>123016</v>
      </c>
      <c r="K272" s="73">
        <v>26208</v>
      </c>
      <c r="L272" s="73">
        <v>96808</v>
      </c>
      <c r="M272" s="73">
        <v>0</v>
      </c>
      <c r="N272" s="73">
        <v>129265</v>
      </c>
      <c r="O272" s="74">
        <v>12927</v>
      </c>
      <c r="P272" s="68"/>
      <c r="Q272" s="73">
        <v>32457</v>
      </c>
      <c r="R272" s="73">
        <v>0</v>
      </c>
      <c r="S272" s="75">
        <v>32457</v>
      </c>
      <c r="T272" s="76">
        <v>83881</v>
      </c>
      <c r="U272" s="77">
        <v>116338</v>
      </c>
      <c r="V272" s="68"/>
      <c r="W272" s="78">
        <v>0.10000386802305342</v>
      </c>
      <c r="X272" s="78">
        <v>0.89999613197694661</v>
      </c>
    </row>
    <row r="273" spans="1:24" x14ac:dyDescent="0.25">
      <c r="A273" s="11">
        <v>2027</v>
      </c>
      <c r="B273" s="11" t="s">
        <v>7</v>
      </c>
      <c r="C273" s="71" t="s">
        <v>7</v>
      </c>
      <c r="D273" s="11" t="s">
        <v>658</v>
      </c>
      <c r="E273" s="72" t="s">
        <v>801</v>
      </c>
      <c r="F273" s="72" t="s">
        <v>801</v>
      </c>
      <c r="G273" s="11" t="s">
        <v>658</v>
      </c>
      <c r="H273" s="11" t="s">
        <v>333</v>
      </c>
      <c r="I273" s="73">
        <v>241620</v>
      </c>
      <c r="J273" s="73">
        <v>188902</v>
      </c>
      <c r="K273" s="73">
        <v>40245</v>
      </c>
      <c r="L273" s="73">
        <v>148657</v>
      </c>
      <c r="M273" s="73">
        <v>0</v>
      </c>
      <c r="N273" s="73">
        <v>201375</v>
      </c>
      <c r="O273" s="74">
        <v>20138</v>
      </c>
      <c r="P273" s="68"/>
      <c r="Q273" s="73">
        <v>52718</v>
      </c>
      <c r="R273" s="73">
        <v>0</v>
      </c>
      <c r="S273" s="75">
        <v>52718</v>
      </c>
      <c r="T273" s="76">
        <v>128519</v>
      </c>
      <c r="U273" s="77">
        <v>181237</v>
      </c>
      <c r="V273" s="68"/>
      <c r="W273" s="78">
        <v>0.10000248292985724</v>
      </c>
      <c r="X273" s="78">
        <v>0.89999751707014275</v>
      </c>
    </row>
    <row r="274" spans="1:24" x14ac:dyDescent="0.25">
      <c r="A274" s="11">
        <v>2027</v>
      </c>
      <c r="B274" s="11" t="s">
        <v>12</v>
      </c>
      <c r="C274" s="71" t="s">
        <v>12</v>
      </c>
      <c r="D274" s="11" t="s">
        <v>659</v>
      </c>
      <c r="E274" s="72" t="s">
        <v>801</v>
      </c>
      <c r="F274" s="72" t="s">
        <v>801</v>
      </c>
      <c r="G274" s="11" t="s">
        <v>659</v>
      </c>
      <c r="H274" s="11" t="s">
        <v>334</v>
      </c>
      <c r="I274" s="73">
        <v>75465</v>
      </c>
      <c r="J274" s="73">
        <v>59550</v>
      </c>
      <c r="K274" s="73">
        <v>12687</v>
      </c>
      <c r="L274" s="73">
        <v>46863</v>
      </c>
      <c r="M274" s="73">
        <v>3111</v>
      </c>
      <c r="N274" s="73">
        <v>65889</v>
      </c>
      <c r="O274" s="74">
        <v>6589</v>
      </c>
      <c r="P274" s="68"/>
      <c r="Q274" s="73">
        <v>15915</v>
      </c>
      <c r="R274" s="73">
        <v>3111</v>
      </c>
      <c r="S274" s="75">
        <v>19026</v>
      </c>
      <c r="T274" s="76">
        <v>40274</v>
      </c>
      <c r="U274" s="77">
        <v>59300</v>
      </c>
      <c r="V274" s="68"/>
      <c r="W274" s="78">
        <v>0.10000151770401736</v>
      </c>
      <c r="X274" s="78">
        <v>0.89999848229598267</v>
      </c>
    </row>
    <row r="275" spans="1:24" x14ac:dyDescent="0.25">
      <c r="A275" s="11">
        <v>2027</v>
      </c>
      <c r="B275" s="11" t="s">
        <v>5</v>
      </c>
      <c r="C275" s="71" t="s">
        <v>5</v>
      </c>
      <c r="D275" s="11" t="s">
        <v>660</v>
      </c>
      <c r="E275" s="72" t="s">
        <v>801</v>
      </c>
      <c r="F275" s="72" t="s">
        <v>801</v>
      </c>
      <c r="G275" s="11" t="s">
        <v>660</v>
      </c>
      <c r="H275" s="11" t="s">
        <v>335</v>
      </c>
      <c r="I275" s="73">
        <v>234300</v>
      </c>
      <c r="J275" s="73">
        <v>177797</v>
      </c>
      <c r="K275" s="73">
        <v>37879</v>
      </c>
      <c r="L275" s="73">
        <v>139918</v>
      </c>
      <c r="M275" s="73">
        <v>7636</v>
      </c>
      <c r="N275" s="73">
        <v>204057</v>
      </c>
      <c r="O275" s="74">
        <v>20406</v>
      </c>
      <c r="P275" s="68"/>
      <c r="Q275" s="73">
        <v>56503</v>
      </c>
      <c r="R275" s="73">
        <v>7636</v>
      </c>
      <c r="S275" s="75">
        <v>64139</v>
      </c>
      <c r="T275" s="76">
        <v>119512</v>
      </c>
      <c r="U275" s="77">
        <v>183651</v>
      </c>
      <c r="V275" s="68"/>
      <c r="W275" s="78">
        <v>0.10000147017745042</v>
      </c>
      <c r="X275" s="78">
        <v>0.89999852982254958</v>
      </c>
    </row>
    <row r="276" spans="1:24" x14ac:dyDescent="0.25">
      <c r="A276" s="11">
        <v>2027</v>
      </c>
      <c r="B276" s="11" t="s">
        <v>6</v>
      </c>
      <c r="C276" s="71" t="s">
        <v>6</v>
      </c>
      <c r="D276" s="11" t="s">
        <v>661</v>
      </c>
      <c r="E276" s="72" t="s">
        <v>801</v>
      </c>
      <c r="F276" s="72" t="s">
        <v>801</v>
      </c>
      <c r="G276" s="11" t="s">
        <v>661</v>
      </c>
      <c r="H276" s="11" t="s">
        <v>336</v>
      </c>
      <c r="I276" s="73">
        <v>1126665</v>
      </c>
      <c r="J276" s="73">
        <v>864890</v>
      </c>
      <c r="K276" s="73">
        <v>184261</v>
      </c>
      <c r="L276" s="73">
        <v>680629</v>
      </c>
      <c r="M276" s="73">
        <v>0</v>
      </c>
      <c r="N276" s="73">
        <v>942404</v>
      </c>
      <c r="O276" s="74">
        <v>94240</v>
      </c>
      <c r="P276" s="68"/>
      <c r="Q276" s="73">
        <v>261775</v>
      </c>
      <c r="R276" s="73">
        <v>0</v>
      </c>
      <c r="S276" s="75">
        <v>261775</v>
      </c>
      <c r="T276" s="76">
        <v>586389</v>
      </c>
      <c r="U276" s="77">
        <v>848164</v>
      </c>
      <c r="V276" s="68"/>
      <c r="W276" s="78">
        <v>9.9999575553584241E-2</v>
      </c>
      <c r="X276" s="78">
        <v>0.90000042444641581</v>
      </c>
    </row>
    <row r="277" spans="1:24" x14ac:dyDescent="0.25">
      <c r="A277" s="11">
        <v>2027</v>
      </c>
      <c r="B277" s="11" t="s">
        <v>6</v>
      </c>
      <c r="C277" s="71" t="s">
        <v>6</v>
      </c>
      <c r="D277" s="11" t="s">
        <v>662</v>
      </c>
      <c r="E277" s="72" t="s">
        <v>801</v>
      </c>
      <c r="F277" s="72" t="s">
        <v>801</v>
      </c>
      <c r="G277" s="11" t="s">
        <v>662</v>
      </c>
      <c r="H277" s="11" t="s">
        <v>337</v>
      </c>
      <c r="I277" s="73">
        <v>59304</v>
      </c>
      <c r="J277" s="73">
        <v>45525</v>
      </c>
      <c r="K277" s="73">
        <v>9699</v>
      </c>
      <c r="L277" s="73">
        <v>35826</v>
      </c>
      <c r="M277" s="73">
        <v>4207</v>
      </c>
      <c r="N277" s="73">
        <v>53812</v>
      </c>
      <c r="O277" s="74">
        <v>5381</v>
      </c>
      <c r="P277" s="68"/>
      <c r="Q277" s="73">
        <v>13779</v>
      </c>
      <c r="R277" s="73">
        <v>4207</v>
      </c>
      <c r="S277" s="75">
        <v>17986</v>
      </c>
      <c r="T277" s="76">
        <v>30445</v>
      </c>
      <c r="U277" s="77">
        <v>48431</v>
      </c>
      <c r="V277" s="68"/>
      <c r="W277" s="78">
        <v>9.9996283356872079E-2</v>
      </c>
      <c r="X277" s="78">
        <v>0.90000371664312795</v>
      </c>
    </row>
    <row r="278" spans="1:24" x14ac:dyDescent="0.25">
      <c r="A278" s="11">
        <v>2027</v>
      </c>
      <c r="B278" s="11" t="s">
        <v>7</v>
      </c>
      <c r="C278" s="71" t="s">
        <v>7</v>
      </c>
      <c r="D278" s="11" t="s">
        <v>663</v>
      </c>
      <c r="E278" s="72" t="s">
        <v>801</v>
      </c>
      <c r="F278" s="72" t="s">
        <v>801</v>
      </c>
      <c r="G278" s="11" t="s">
        <v>663</v>
      </c>
      <c r="H278" s="11" t="s">
        <v>338</v>
      </c>
      <c r="I278" s="73">
        <v>311128</v>
      </c>
      <c r="J278" s="73">
        <v>243245</v>
      </c>
      <c r="K278" s="73">
        <v>51822</v>
      </c>
      <c r="L278" s="73">
        <v>191423</v>
      </c>
      <c r="M278" s="73">
        <v>3596</v>
      </c>
      <c r="N278" s="73">
        <v>262902</v>
      </c>
      <c r="O278" s="74">
        <v>26290</v>
      </c>
      <c r="P278" s="68"/>
      <c r="Q278" s="73">
        <v>67883</v>
      </c>
      <c r="R278" s="73">
        <v>3596</v>
      </c>
      <c r="S278" s="75">
        <v>71479</v>
      </c>
      <c r="T278" s="76">
        <v>165133</v>
      </c>
      <c r="U278" s="77">
        <v>236612</v>
      </c>
      <c r="V278" s="68"/>
      <c r="W278" s="78">
        <v>9.9999239260256667E-2</v>
      </c>
      <c r="X278" s="78">
        <v>0.90000076073974333</v>
      </c>
    </row>
    <row r="279" spans="1:24" x14ac:dyDescent="0.25">
      <c r="A279" s="11">
        <v>2027</v>
      </c>
      <c r="B279" s="11" t="s">
        <v>9</v>
      </c>
      <c r="C279" s="71" t="s">
        <v>9</v>
      </c>
      <c r="D279" s="11" t="s">
        <v>664</v>
      </c>
      <c r="E279" s="72" t="s">
        <v>801</v>
      </c>
      <c r="F279" s="72" t="s">
        <v>801</v>
      </c>
      <c r="G279" s="11" t="s">
        <v>664</v>
      </c>
      <c r="H279" s="11" t="s">
        <v>339</v>
      </c>
      <c r="I279" s="73">
        <v>308226</v>
      </c>
      <c r="J279" s="73">
        <v>243880</v>
      </c>
      <c r="K279" s="73">
        <v>51958</v>
      </c>
      <c r="L279" s="73">
        <v>191922</v>
      </c>
      <c r="M279" s="73">
        <v>11808</v>
      </c>
      <c r="N279" s="73">
        <v>268076</v>
      </c>
      <c r="O279" s="74">
        <v>26808</v>
      </c>
      <c r="P279" s="68"/>
      <c r="Q279" s="73">
        <v>64346</v>
      </c>
      <c r="R279" s="73">
        <v>11808</v>
      </c>
      <c r="S279" s="75">
        <v>76154</v>
      </c>
      <c r="T279" s="76">
        <v>165114</v>
      </c>
      <c r="U279" s="77">
        <v>241268</v>
      </c>
      <c r="V279" s="68"/>
      <c r="W279" s="78">
        <v>0.10000149211417658</v>
      </c>
      <c r="X279" s="78">
        <v>0.89999850788582347</v>
      </c>
    </row>
    <row r="280" spans="1:24" x14ac:dyDescent="0.25">
      <c r="A280" s="11">
        <v>2027</v>
      </c>
      <c r="B280" s="11" t="s">
        <v>12</v>
      </c>
      <c r="C280" s="71" t="s">
        <v>12</v>
      </c>
      <c r="D280" s="11" t="s">
        <v>665</v>
      </c>
      <c r="E280" s="72" t="s">
        <v>801</v>
      </c>
      <c r="F280" s="72" t="s">
        <v>801</v>
      </c>
      <c r="G280" s="11" t="s">
        <v>665</v>
      </c>
      <c r="H280" s="11" t="s">
        <v>340</v>
      </c>
      <c r="I280" s="73">
        <v>224535</v>
      </c>
      <c r="J280" s="73">
        <v>177182</v>
      </c>
      <c r="K280" s="73">
        <v>37748</v>
      </c>
      <c r="L280" s="73">
        <v>139434</v>
      </c>
      <c r="M280" s="73">
        <v>0</v>
      </c>
      <c r="N280" s="73">
        <v>186787</v>
      </c>
      <c r="O280" s="74">
        <v>18679</v>
      </c>
      <c r="P280" s="68"/>
      <c r="Q280" s="73">
        <v>47353</v>
      </c>
      <c r="R280" s="73">
        <v>0</v>
      </c>
      <c r="S280" s="75">
        <v>47353</v>
      </c>
      <c r="T280" s="76">
        <v>120755</v>
      </c>
      <c r="U280" s="77">
        <v>168108</v>
      </c>
      <c r="V280" s="68"/>
      <c r="W280" s="78">
        <v>0.10000160610749143</v>
      </c>
      <c r="X280" s="78">
        <v>0.89999839389250857</v>
      </c>
    </row>
    <row r="281" spans="1:24" x14ac:dyDescent="0.25">
      <c r="A281" s="11">
        <v>2027</v>
      </c>
      <c r="B281" s="11" t="s">
        <v>12</v>
      </c>
      <c r="C281" s="71" t="s">
        <v>12</v>
      </c>
      <c r="D281" s="11" t="s">
        <v>666</v>
      </c>
      <c r="E281" s="72" t="s">
        <v>801</v>
      </c>
      <c r="F281" s="72" t="s">
        <v>801</v>
      </c>
      <c r="G281" s="11" t="s">
        <v>666</v>
      </c>
      <c r="H281" s="11" t="s">
        <v>341</v>
      </c>
      <c r="I281" s="73">
        <v>258749</v>
      </c>
      <c r="J281" s="73">
        <v>204180</v>
      </c>
      <c r="K281" s="73">
        <v>43500</v>
      </c>
      <c r="L281" s="73">
        <v>160680</v>
      </c>
      <c r="M281" s="73">
        <v>0</v>
      </c>
      <c r="N281" s="73">
        <v>215249</v>
      </c>
      <c r="O281" s="74">
        <v>21525</v>
      </c>
      <c r="P281" s="68"/>
      <c r="Q281" s="73">
        <v>54569</v>
      </c>
      <c r="R281" s="73">
        <v>0</v>
      </c>
      <c r="S281" s="75">
        <v>54569</v>
      </c>
      <c r="T281" s="76">
        <v>139155</v>
      </c>
      <c r="U281" s="77">
        <v>193724</v>
      </c>
      <c r="V281" s="68"/>
      <c r="W281" s="78">
        <v>0.10000046457823265</v>
      </c>
      <c r="X281" s="78">
        <v>0.89999953542176736</v>
      </c>
    </row>
    <row r="282" spans="1:24" x14ac:dyDescent="0.25">
      <c r="A282" s="11">
        <v>2027</v>
      </c>
      <c r="B282" s="11" t="s">
        <v>13</v>
      </c>
      <c r="C282" s="71" t="s">
        <v>13</v>
      </c>
      <c r="D282" s="11" t="s">
        <v>667</v>
      </c>
      <c r="E282" s="72" t="s">
        <v>801</v>
      </c>
      <c r="F282" s="72" t="s">
        <v>801</v>
      </c>
      <c r="G282" s="11" t="s">
        <v>667</v>
      </c>
      <c r="H282" s="11" t="s">
        <v>342</v>
      </c>
      <c r="I282" s="73">
        <v>88103</v>
      </c>
      <c r="J282" s="73">
        <v>70042</v>
      </c>
      <c r="K282" s="73">
        <v>14922</v>
      </c>
      <c r="L282" s="73">
        <v>55120</v>
      </c>
      <c r="M282" s="73">
        <v>10424</v>
      </c>
      <c r="N282" s="73">
        <v>83605</v>
      </c>
      <c r="O282" s="74">
        <v>8361</v>
      </c>
      <c r="P282" s="68"/>
      <c r="Q282" s="73">
        <v>18061</v>
      </c>
      <c r="R282" s="73">
        <v>10424</v>
      </c>
      <c r="S282" s="75">
        <v>28485</v>
      </c>
      <c r="T282" s="76">
        <v>46759</v>
      </c>
      <c r="U282" s="77">
        <v>75244</v>
      </c>
      <c r="V282" s="68"/>
      <c r="W282" s="78">
        <v>0.1000059805035584</v>
      </c>
      <c r="X282" s="78">
        <v>0.89999401949644164</v>
      </c>
    </row>
    <row r="283" spans="1:24" x14ac:dyDescent="0.25">
      <c r="A283" s="11">
        <v>2027</v>
      </c>
      <c r="B283" s="11" t="s">
        <v>7</v>
      </c>
      <c r="C283" s="71" t="s">
        <v>7</v>
      </c>
      <c r="D283" s="11" t="s">
        <v>668</v>
      </c>
      <c r="E283" s="72" t="s">
        <v>801</v>
      </c>
      <c r="F283" s="72" t="s">
        <v>801</v>
      </c>
      <c r="G283" s="11" t="s">
        <v>668</v>
      </c>
      <c r="H283" s="11" t="s">
        <v>343</v>
      </c>
      <c r="I283" s="73">
        <v>155845</v>
      </c>
      <c r="J283" s="73">
        <v>121842</v>
      </c>
      <c r="K283" s="73">
        <v>25958</v>
      </c>
      <c r="L283" s="73">
        <v>95884</v>
      </c>
      <c r="M283" s="73">
        <v>772</v>
      </c>
      <c r="N283" s="73">
        <v>130659</v>
      </c>
      <c r="O283" s="74">
        <v>13066</v>
      </c>
      <c r="P283" s="68"/>
      <c r="Q283" s="73">
        <v>34003</v>
      </c>
      <c r="R283" s="73">
        <v>772</v>
      </c>
      <c r="S283" s="75">
        <v>34775</v>
      </c>
      <c r="T283" s="76">
        <v>82818</v>
      </c>
      <c r="U283" s="77">
        <v>117593</v>
      </c>
      <c r="V283" s="68"/>
      <c r="W283" s="78">
        <v>0.10000076535102825</v>
      </c>
      <c r="X283" s="78">
        <v>0.8999992346489718</v>
      </c>
    </row>
    <row r="284" spans="1:24" x14ac:dyDescent="0.25">
      <c r="A284" s="11">
        <v>2027</v>
      </c>
      <c r="B284" s="11" t="s">
        <v>5</v>
      </c>
      <c r="C284" s="71" t="s">
        <v>5</v>
      </c>
      <c r="D284" s="11" t="s">
        <v>669</v>
      </c>
      <c r="E284" s="72" t="s">
        <v>801</v>
      </c>
      <c r="F284" s="72" t="s">
        <v>801</v>
      </c>
      <c r="G284" s="11" t="s">
        <v>669</v>
      </c>
      <c r="H284" s="11" t="s">
        <v>344</v>
      </c>
      <c r="I284" s="73">
        <v>154767</v>
      </c>
      <c r="J284" s="73">
        <v>117444</v>
      </c>
      <c r="K284" s="73">
        <v>25021</v>
      </c>
      <c r="L284" s="73">
        <v>92423</v>
      </c>
      <c r="M284" s="73">
        <v>0</v>
      </c>
      <c r="N284" s="73">
        <v>129746</v>
      </c>
      <c r="O284" s="74">
        <v>12975</v>
      </c>
      <c r="P284" s="68"/>
      <c r="Q284" s="73">
        <v>37323</v>
      </c>
      <c r="R284" s="73">
        <v>0</v>
      </c>
      <c r="S284" s="75">
        <v>37323</v>
      </c>
      <c r="T284" s="76">
        <v>79448</v>
      </c>
      <c r="U284" s="77">
        <v>116771</v>
      </c>
      <c r="V284" s="68"/>
      <c r="W284" s="78">
        <v>0.10000308294668044</v>
      </c>
      <c r="X284" s="78">
        <v>0.89999691705331952</v>
      </c>
    </row>
    <row r="285" spans="1:24" x14ac:dyDescent="0.25">
      <c r="A285" s="11">
        <v>2027</v>
      </c>
      <c r="B285" s="11" t="s">
        <v>10</v>
      </c>
      <c r="C285" s="71" t="s">
        <v>10</v>
      </c>
      <c r="D285" s="11" t="s">
        <v>670</v>
      </c>
      <c r="E285" s="72" t="s">
        <v>801</v>
      </c>
      <c r="F285" s="72" t="s">
        <v>801</v>
      </c>
      <c r="G285" s="11" t="s">
        <v>670</v>
      </c>
      <c r="H285" s="11" t="s">
        <v>345</v>
      </c>
      <c r="I285" s="73">
        <v>108543</v>
      </c>
      <c r="J285" s="73">
        <v>87635</v>
      </c>
      <c r="K285" s="73">
        <v>18670</v>
      </c>
      <c r="L285" s="73">
        <v>68965</v>
      </c>
      <c r="M285" s="73">
        <v>19691</v>
      </c>
      <c r="N285" s="73">
        <v>109564</v>
      </c>
      <c r="O285" s="74">
        <v>10956</v>
      </c>
      <c r="P285" s="68"/>
      <c r="Q285" s="73">
        <v>20908</v>
      </c>
      <c r="R285" s="73">
        <v>19691</v>
      </c>
      <c r="S285" s="75">
        <v>40599</v>
      </c>
      <c r="T285" s="76">
        <v>58009</v>
      </c>
      <c r="U285" s="77">
        <v>98608</v>
      </c>
      <c r="V285" s="68"/>
      <c r="W285" s="78">
        <v>9.9996349165784384E-2</v>
      </c>
      <c r="X285" s="78">
        <v>0.90000365083421563</v>
      </c>
    </row>
    <row r="286" spans="1:24" x14ac:dyDescent="0.25">
      <c r="A286" s="11">
        <v>2027</v>
      </c>
      <c r="B286" s="11" t="s">
        <v>6</v>
      </c>
      <c r="C286" s="71" t="s">
        <v>6</v>
      </c>
      <c r="D286" s="11" t="s">
        <v>671</v>
      </c>
      <c r="E286" s="72" t="s">
        <v>801</v>
      </c>
      <c r="F286" s="72" t="s">
        <v>801</v>
      </c>
      <c r="G286" s="11" t="s">
        <v>671</v>
      </c>
      <c r="H286" s="11" t="s">
        <v>346</v>
      </c>
      <c r="I286" s="73">
        <v>65109</v>
      </c>
      <c r="J286" s="73">
        <v>49981</v>
      </c>
      <c r="K286" s="73">
        <v>10648</v>
      </c>
      <c r="L286" s="73">
        <v>39333</v>
      </c>
      <c r="M286" s="73">
        <v>2525</v>
      </c>
      <c r="N286" s="73">
        <v>56986</v>
      </c>
      <c r="O286" s="74">
        <v>5699</v>
      </c>
      <c r="P286" s="68"/>
      <c r="Q286" s="73">
        <v>15128</v>
      </c>
      <c r="R286" s="73">
        <v>2525</v>
      </c>
      <c r="S286" s="75">
        <v>17653</v>
      </c>
      <c r="T286" s="76">
        <v>33634</v>
      </c>
      <c r="U286" s="77">
        <v>51287</v>
      </c>
      <c r="V286" s="68"/>
      <c r="W286" s="78">
        <v>0.10000701926789037</v>
      </c>
      <c r="X286" s="78">
        <v>0.89999298073210965</v>
      </c>
    </row>
    <row r="287" spans="1:24" x14ac:dyDescent="0.25">
      <c r="A287" s="11">
        <v>2027</v>
      </c>
      <c r="B287" s="11" t="s">
        <v>12</v>
      </c>
      <c r="C287" s="71" t="s">
        <v>12</v>
      </c>
      <c r="D287" s="11" t="s">
        <v>672</v>
      </c>
      <c r="E287" s="72" t="s">
        <v>801</v>
      </c>
      <c r="F287" s="72" t="s">
        <v>801</v>
      </c>
      <c r="G287" s="11" t="s">
        <v>672</v>
      </c>
      <c r="H287" s="11" t="s">
        <v>347</v>
      </c>
      <c r="I287" s="73">
        <v>276640</v>
      </c>
      <c r="J287" s="73">
        <v>218298</v>
      </c>
      <c r="K287" s="73">
        <v>46507</v>
      </c>
      <c r="L287" s="73">
        <v>171791</v>
      </c>
      <c r="M287" s="73">
        <v>4810</v>
      </c>
      <c r="N287" s="73">
        <v>234943</v>
      </c>
      <c r="O287" s="74">
        <v>23494</v>
      </c>
      <c r="P287" s="68"/>
      <c r="Q287" s="73">
        <v>58342</v>
      </c>
      <c r="R287" s="73">
        <v>4810</v>
      </c>
      <c r="S287" s="75">
        <v>63152</v>
      </c>
      <c r="T287" s="76">
        <v>148297</v>
      </c>
      <c r="U287" s="77">
        <v>211449</v>
      </c>
      <c r="V287" s="68"/>
      <c r="W287" s="78">
        <v>9.999872309453782E-2</v>
      </c>
      <c r="X287" s="78">
        <v>0.90000127690546217</v>
      </c>
    </row>
    <row r="288" spans="1:24" x14ac:dyDescent="0.25">
      <c r="A288" s="11">
        <v>2027</v>
      </c>
      <c r="B288" s="11" t="s">
        <v>7</v>
      </c>
      <c r="C288" s="71" t="s">
        <v>7</v>
      </c>
      <c r="D288" s="11" t="s">
        <v>673</v>
      </c>
      <c r="E288" s="72" t="s">
        <v>801</v>
      </c>
      <c r="F288" s="72" t="s">
        <v>801</v>
      </c>
      <c r="G288" s="11" t="s">
        <v>813</v>
      </c>
      <c r="H288" s="11" t="s">
        <v>348</v>
      </c>
      <c r="I288" s="73">
        <v>378487</v>
      </c>
      <c r="J288" s="73">
        <v>295907</v>
      </c>
      <c r="K288" s="73">
        <v>63042</v>
      </c>
      <c r="L288" s="73">
        <v>232865</v>
      </c>
      <c r="M288" s="73">
        <v>11383</v>
      </c>
      <c r="N288" s="73">
        <v>326828</v>
      </c>
      <c r="O288" s="74">
        <v>32683</v>
      </c>
      <c r="P288" s="68"/>
      <c r="Q288" s="73">
        <v>82580</v>
      </c>
      <c r="R288" s="73">
        <v>11383</v>
      </c>
      <c r="S288" s="75">
        <v>93963</v>
      </c>
      <c r="T288" s="76">
        <v>200182</v>
      </c>
      <c r="U288" s="77">
        <v>294145</v>
      </c>
      <c r="V288" s="68"/>
      <c r="W288" s="78">
        <v>0.10000061194267321</v>
      </c>
      <c r="X288" s="78">
        <v>0.89999938805732682</v>
      </c>
    </row>
    <row r="289" spans="1:24" x14ac:dyDescent="0.25">
      <c r="A289" s="11">
        <v>2027</v>
      </c>
      <c r="B289" s="11" t="s">
        <v>10</v>
      </c>
      <c r="C289" s="71" t="s">
        <v>10</v>
      </c>
      <c r="D289" s="11" t="s">
        <v>674</v>
      </c>
      <c r="E289" s="72" t="s">
        <v>801</v>
      </c>
      <c r="F289" s="72" t="s">
        <v>801</v>
      </c>
      <c r="G289" s="11" t="s">
        <v>674</v>
      </c>
      <c r="H289" s="11" t="s">
        <v>349</v>
      </c>
      <c r="I289" s="73">
        <v>118737</v>
      </c>
      <c r="J289" s="73">
        <v>95866</v>
      </c>
      <c r="K289" s="73">
        <v>20424</v>
      </c>
      <c r="L289" s="73">
        <v>75442</v>
      </c>
      <c r="M289" s="73">
        <v>19511</v>
      </c>
      <c r="N289" s="73">
        <v>117824</v>
      </c>
      <c r="O289" s="74">
        <v>11782</v>
      </c>
      <c r="P289" s="68"/>
      <c r="Q289" s="73">
        <v>22871</v>
      </c>
      <c r="R289" s="73">
        <v>19511</v>
      </c>
      <c r="S289" s="75">
        <v>42382</v>
      </c>
      <c r="T289" s="76">
        <v>63660</v>
      </c>
      <c r="U289" s="77">
        <v>106042</v>
      </c>
      <c r="V289" s="68"/>
      <c r="W289" s="78">
        <v>9.9996605105920691E-2</v>
      </c>
      <c r="X289" s="78">
        <v>0.90000339489407932</v>
      </c>
    </row>
    <row r="290" spans="1:24" x14ac:dyDescent="0.25">
      <c r="A290" s="11">
        <v>2027</v>
      </c>
      <c r="B290" s="11" t="s">
        <v>10</v>
      </c>
      <c r="C290" s="71" t="s">
        <v>10</v>
      </c>
      <c r="D290" s="11" t="s">
        <v>675</v>
      </c>
      <c r="E290" s="72" t="s">
        <v>801</v>
      </c>
      <c r="F290" s="72" t="s">
        <v>801</v>
      </c>
      <c r="G290" s="11" t="s">
        <v>675</v>
      </c>
      <c r="H290" s="11" t="s">
        <v>350</v>
      </c>
      <c r="I290" s="73">
        <v>1336933</v>
      </c>
      <c r="J290" s="73">
        <v>1079411</v>
      </c>
      <c r="K290" s="73">
        <v>229964</v>
      </c>
      <c r="L290" s="73">
        <v>849447</v>
      </c>
      <c r="M290" s="73">
        <v>11093</v>
      </c>
      <c r="N290" s="73">
        <v>1118062</v>
      </c>
      <c r="O290" s="74">
        <v>111806</v>
      </c>
      <c r="P290" s="68"/>
      <c r="Q290" s="73">
        <v>257522</v>
      </c>
      <c r="R290" s="73">
        <v>11093</v>
      </c>
      <c r="S290" s="75">
        <v>268615</v>
      </c>
      <c r="T290" s="76">
        <v>737641</v>
      </c>
      <c r="U290" s="77">
        <v>1006256</v>
      </c>
      <c r="V290" s="68"/>
      <c r="W290" s="78">
        <v>9.9999821119043486E-2</v>
      </c>
      <c r="X290" s="78">
        <v>0.90000017888095651</v>
      </c>
    </row>
    <row r="291" spans="1:24" x14ac:dyDescent="0.25">
      <c r="A291" s="11">
        <v>2027</v>
      </c>
      <c r="B291" s="11" t="s">
        <v>13</v>
      </c>
      <c r="C291" s="71" t="s">
        <v>13</v>
      </c>
      <c r="D291" s="11" t="s">
        <v>676</v>
      </c>
      <c r="E291" s="72" t="s">
        <v>801</v>
      </c>
      <c r="F291" s="72" t="s">
        <v>801</v>
      </c>
      <c r="G291" s="11" t="s">
        <v>676</v>
      </c>
      <c r="H291" s="11" t="s">
        <v>351</v>
      </c>
      <c r="I291" s="73">
        <v>383999</v>
      </c>
      <c r="J291" s="73">
        <v>305278</v>
      </c>
      <c r="K291" s="73">
        <v>65038</v>
      </c>
      <c r="L291" s="73">
        <v>240240</v>
      </c>
      <c r="M291" s="73">
        <v>0</v>
      </c>
      <c r="N291" s="73">
        <v>318961</v>
      </c>
      <c r="O291" s="74">
        <v>31896</v>
      </c>
      <c r="P291" s="68"/>
      <c r="Q291" s="73">
        <v>78721</v>
      </c>
      <c r="R291" s="73">
        <v>0</v>
      </c>
      <c r="S291" s="75">
        <v>78721</v>
      </c>
      <c r="T291" s="76">
        <v>208344</v>
      </c>
      <c r="U291" s="77">
        <v>287065</v>
      </c>
      <c r="V291" s="68"/>
      <c r="W291" s="78">
        <v>9.9999686482046393E-2</v>
      </c>
      <c r="X291" s="78">
        <v>0.90000031351795362</v>
      </c>
    </row>
    <row r="292" spans="1:24" x14ac:dyDescent="0.25">
      <c r="A292" s="11">
        <v>2027</v>
      </c>
      <c r="B292" s="11" t="s">
        <v>10</v>
      </c>
      <c r="C292" s="71" t="s">
        <v>10</v>
      </c>
      <c r="D292" s="11" t="s">
        <v>677</v>
      </c>
      <c r="E292" s="72" t="s">
        <v>801</v>
      </c>
      <c r="F292" s="72" t="s">
        <v>801</v>
      </c>
      <c r="G292" s="11" t="s">
        <v>677</v>
      </c>
      <c r="H292" s="11" t="s">
        <v>352</v>
      </c>
      <c r="I292" s="73">
        <v>369298</v>
      </c>
      <c r="J292" s="73">
        <v>298163</v>
      </c>
      <c r="K292" s="73">
        <v>63522</v>
      </c>
      <c r="L292" s="73">
        <v>234641</v>
      </c>
      <c r="M292" s="73">
        <v>0</v>
      </c>
      <c r="N292" s="73">
        <v>305776</v>
      </c>
      <c r="O292" s="74">
        <v>30578</v>
      </c>
      <c r="P292" s="68"/>
      <c r="Q292" s="73">
        <v>71135</v>
      </c>
      <c r="R292" s="73">
        <v>0</v>
      </c>
      <c r="S292" s="75">
        <v>71135</v>
      </c>
      <c r="T292" s="76">
        <v>204063</v>
      </c>
      <c r="U292" s="77">
        <v>275198</v>
      </c>
      <c r="V292" s="68"/>
      <c r="W292" s="78">
        <v>0.10000130814714039</v>
      </c>
      <c r="X292" s="78">
        <v>0.89999869185285963</v>
      </c>
    </row>
    <row r="293" spans="1:24" x14ac:dyDescent="0.25">
      <c r="A293" s="11">
        <v>2027</v>
      </c>
      <c r="B293" s="11" t="s">
        <v>12</v>
      </c>
      <c r="C293" s="71" t="s">
        <v>12</v>
      </c>
      <c r="D293" s="11" t="s">
        <v>678</v>
      </c>
      <c r="E293" s="72" t="s">
        <v>801</v>
      </c>
      <c r="F293" s="72" t="s">
        <v>801</v>
      </c>
      <c r="G293" s="11" t="s">
        <v>678</v>
      </c>
      <c r="H293" s="11" t="s">
        <v>353</v>
      </c>
      <c r="I293" s="73">
        <v>113706</v>
      </c>
      <c r="J293" s="73">
        <v>89726</v>
      </c>
      <c r="K293" s="73">
        <v>19116</v>
      </c>
      <c r="L293" s="73">
        <v>70610</v>
      </c>
      <c r="M293" s="73">
        <v>3397</v>
      </c>
      <c r="N293" s="73">
        <v>97987</v>
      </c>
      <c r="O293" s="74">
        <v>9799</v>
      </c>
      <c r="P293" s="68"/>
      <c r="Q293" s="73">
        <v>23980</v>
      </c>
      <c r="R293" s="73">
        <v>3397</v>
      </c>
      <c r="S293" s="75">
        <v>27377</v>
      </c>
      <c r="T293" s="76">
        <v>60811</v>
      </c>
      <c r="U293" s="77">
        <v>88188</v>
      </c>
      <c r="V293" s="68"/>
      <c r="W293" s="78">
        <v>0.10000306163062447</v>
      </c>
      <c r="X293" s="78">
        <v>0.89999693836937555</v>
      </c>
    </row>
    <row r="294" spans="1:24" x14ac:dyDescent="0.25">
      <c r="A294" s="11">
        <v>2027</v>
      </c>
      <c r="B294" s="11" t="s">
        <v>9</v>
      </c>
      <c r="C294" s="71" t="s">
        <v>9</v>
      </c>
      <c r="D294" s="11" t="s">
        <v>679</v>
      </c>
      <c r="E294" s="72" t="s">
        <v>801</v>
      </c>
      <c r="F294" s="72" t="s">
        <v>801</v>
      </c>
      <c r="G294" s="11" t="s">
        <v>679</v>
      </c>
      <c r="H294" s="11" t="s">
        <v>354</v>
      </c>
      <c r="I294" s="73">
        <v>647701</v>
      </c>
      <c r="J294" s="73">
        <v>512485</v>
      </c>
      <c r="K294" s="73">
        <v>109183</v>
      </c>
      <c r="L294" s="73">
        <v>403302</v>
      </c>
      <c r="M294" s="73">
        <v>0</v>
      </c>
      <c r="N294" s="73">
        <v>538518</v>
      </c>
      <c r="O294" s="74">
        <v>53852</v>
      </c>
      <c r="P294" s="68"/>
      <c r="Q294" s="73">
        <v>135216</v>
      </c>
      <c r="R294" s="73">
        <v>0</v>
      </c>
      <c r="S294" s="75">
        <v>135216</v>
      </c>
      <c r="T294" s="76">
        <v>349450</v>
      </c>
      <c r="U294" s="77">
        <v>484666</v>
      </c>
      <c r="V294" s="68"/>
      <c r="W294" s="78">
        <v>0.10000037138962857</v>
      </c>
      <c r="X294" s="78">
        <v>0.89999962861037142</v>
      </c>
    </row>
    <row r="295" spans="1:24" x14ac:dyDescent="0.25">
      <c r="A295" s="11">
        <v>2027</v>
      </c>
      <c r="B295" s="11" t="s">
        <v>13</v>
      </c>
      <c r="C295" s="71" t="s">
        <v>13</v>
      </c>
      <c r="D295" s="11" t="s">
        <v>680</v>
      </c>
      <c r="E295" s="72" t="s">
        <v>801</v>
      </c>
      <c r="F295" s="72" t="s">
        <v>801</v>
      </c>
      <c r="G295" s="11" t="s">
        <v>680</v>
      </c>
      <c r="H295" s="11" t="s">
        <v>355</v>
      </c>
      <c r="I295" s="73">
        <v>197393</v>
      </c>
      <c r="J295" s="73">
        <v>156927</v>
      </c>
      <c r="K295" s="73">
        <v>33433</v>
      </c>
      <c r="L295" s="73">
        <v>123494</v>
      </c>
      <c r="M295" s="73">
        <v>0</v>
      </c>
      <c r="N295" s="73">
        <v>163960</v>
      </c>
      <c r="O295" s="74">
        <v>16396</v>
      </c>
      <c r="P295" s="68"/>
      <c r="Q295" s="73">
        <v>40466</v>
      </c>
      <c r="R295" s="73">
        <v>0</v>
      </c>
      <c r="S295" s="75">
        <v>40466</v>
      </c>
      <c r="T295" s="76">
        <v>107098</v>
      </c>
      <c r="U295" s="77">
        <v>147564</v>
      </c>
      <c r="V295" s="68"/>
      <c r="W295" s="78">
        <v>0.1</v>
      </c>
      <c r="X295" s="78">
        <v>0.9</v>
      </c>
    </row>
    <row r="296" spans="1:24" x14ac:dyDescent="0.25">
      <c r="A296" s="11">
        <v>2027</v>
      </c>
      <c r="B296" s="11" t="s">
        <v>13</v>
      </c>
      <c r="C296" s="71" t="s">
        <v>13</v>
      </c>
      <c r="D296" s="11" t="s">
        <v>681</v>
      </c>
      <c r="E296" s="72" t="s">
        <v>801</v>
      </c>
      <c r="F296" s="72" t="s">
        <v>801</v>
      </c>
      <c r="G296" s="11" t="s">
        <v>681</v>
      </c>
      <c r="H296" s="11" t="s">
        <v>356</v>
      </c>
      <c r="I296" s="73">
        <v>208474</v>
      </c>
      <c r="J296" s="73">
        <v>165737</v>
      </c>
      <c r="K296" s="73">
        <v>35309</v>
      </c>
      <c r="L296" s="73">
        <v>130428</v>
      </c>
      <c r="M296" s="73">
        <v>20532</v>
      </c>
      <c r="N296" s="73">
        <v>193697</v>
      </c>
      <c r="O296" s="74">
        <v>19370</v>
      </c>
      <c r="P296" s="68"/>
      <c r="Q296" s="73">
        <v>42737</v>
      </c>
      <c r="R296" s="73">
        <v>20532</v>
      </c>
      <c r="S296" s="75">
        <v>63269</v>
      </c>
      <c r="T296" s="76">
        <v>111058</v>
      </c>
      <c r="U296" s="77">
        <v>174327</v>
      </c>
      <c r="V296" s="68"/>
      <c r="W296" s="78">
        <v>0.10000154881077146</v>
      </c>
      <c r="X296" s="78">
        <v>0.8999984511892285</v>
      </c>
    </row>
    <row r="297" spans="1:24" x14ac:dyDescent="0.25">
      <c r="A297" s="11">
        <v>2027</v>
      </c>
      <c r="B297" s="11" t="s">
        <v>7</v>
      </c>
      <c r="C297" s="71" t="s">
        <v>7</v>
      </c>
      <c r="D297" s="11" t="s">
        <v>682</v>
      </c>
      <c r="E297" s="72" t="s">
        <v>801</v>
      </c>
      <c r="F297" s="72" t="s">
        <v>801</v>
      </c>
      <c r="G297" s="11" t="s">
        <v>682</v>
      </c>
      <c r="H297" s="11" t="s">
        <v>357</v>
      </c>
      <c r="I297" s="73">
        <v>247554</v>
      </c>
      <c r="J297" s="73">
        <v>193542</v>
      </c>
      <c r="K297" s="73">
        <v>41233</v>
      </c>
      <c r="L297" s="73">
        <v>152309</v>
      </c>
      <c r="M297" s="73">
        <v>2450</v>
      </c>
      <c r="N297" s="73">
        <v>208771</v>
      </c>
      <c r="O297" s="74">
        <v>20877</v>
      </c>
      <c r="P297" s="68"/>
      <c r="Q297" s="73">
        <v>54012</v>
      </c>
      <c r="R297" s="73">
        <v>2450</v>
      </c>
      <c r="S297" s="75">
        <v>56462</v>
      </c>
      <c r="T297" s="76">
        <v>131432</v>
      </c>
      <c r="U297" s="77">
        <v>187894</v>
      </c>
      <c r="V297" s="68"/>
      <c r="W297" s="78">
        <v>9.9999521006270034E-2</v>
      </c>
      <c r="X297" s="78">
        <v>0.90000047899372992</v>
      </c>
    </row>
    <row r="298" spans="1:24" x14ac:dyDescent="0.25">
      <c r="A298" s="11">
        <v>2027</v>
      </c>
      <c r="B298" s="11" t="s">
        <v>9</v>
      </c>
      <c r="C298" s="71" t="s">
        <v>9</v>
      </c>
      <c r="D298" s="11" t="s">
        <v>683</v>
      </c>
      <c r="E298" s="72" t="s">
        <v>801</v>
      </c>
      <c r="F298" s="72" t="s">
        <v>801</v>
      </c>
      <c r="G298" s="11" t="s">
        <v>683</v>
      </c>
      <c r="H298" s="11" t="s">
        <v>358</v>
      </c>
      <c r="I298" s="73">
        <v>645197</v>
      </c>
      <c r="J298" s="73">
        <v>510504</v>
      </c>
      <c r="K298" s="73">
        <v>108761</v>
      </c>
      <c r="L298" s="73">
        <v>401743</v>
      </c>
      <c r="M298" s="73">
        <v>0</v>
      </c>
      <c r="N298" s="73">
        <v>536436</v>
      </c>
      <c r="O298" s="74">
        <v>53644</v>
      </c>
      <c r="P298" s="68"/>
      <c r="Q298" s="73">
        <v>134693</v>
      </c>
      <c r="R298" s="73">
        <v>0</v>
      </c>
      <c r="S298" s="75">
        <v>134693</v>
      </c>
      <c r="T298" s="76">
        <v>348099</v>
      </c>
      <c r="U298" s="77">
        <v>482792</v>
      </c>
      <c r="V298" s="68"/>
      <c r="W298" s="78">
        <v>0.10000074566211067</v>
      </c>
      <c r="X298" s="78">
        <v>0.8999992543378893</v>
      </c>
    </row>
    <row r="299" spans="1:24" x14ac:dyDescent="0.25">
      <c r="A299" s="11">
        <v>2027</v>
      </c>
      <c r="B299" s="11" t="s">
        <v>7</v>
      </c>
      <c r="C299" s="71" t="s">
        <v>7</v>
      </c>
      <c r="D299" s="11" t="s">
        <v>684</v>
      </c>
      <c r="E299" s="72" t="s">
        <v>801</v>
      </c>
      <c r="F299" s="72" t="s">
        <v>801</v>
      </c>
      <c r="G299" s="11" t="s">
        <v>684</v>
      </c>
      <c r="H299" s="11" t="s">
        <v>359</v>
      </c>
      <c r="I299" s="73">
        <v>4644691</v>
      </c>
      <c r="J299" s="73">
        <v>3631290</v>
      </c>
      <c r="K299" s="73">
        <v>773631</v>
      </c>
      <c r="L299" s="73">
        <v>2857659</v>
      </c>
      <c r="M299" s="73">
        <v>7355</v>
      </c>
      <c r="N299" s="73">
        <v>3878415</v>
      </c>
      <c r="O299" s="74">
        <v>387842</v>
      </c>
      <c r="P299" s="68"/>
      <c r="Q299" s="73">
        <v>1013401</v>
      </c>
      <c r="R299" s="73">
        <v>7355</v>
      </c>
      <c r="S299" s="75">
        <v>1020756</v>
      </c>
      <c r="T299" s="76">
        <v>2469817</v>
      </c>
      <c r="U299" s="77">
        <v>3490573</v>
      </c>
      <c r="V299" s="68"/>
      <c r="W299" s="78">
        <v>0.10000012891864331</v>
      </c>
      <c r="X299" s="78">
        <v>0.89999987108135671</v>
      </c>
    </row>
    <row r="300" spans="1:24" x14ac:dyDescent="0.25">
      <c r="A300" s="11">
        <v>2027</v>
      </c>
      <c r="B300" s="11" t="s">
        <v>10</v>
      </c>
      <c r="C300" s="71" t="s">
        <v>10</v>
      </c>
      <c r="D300" s="11" t="s">
        <v>685</v>
      </c>
      <c r="E300" s="72" t="s">
        <v>801</v>
      </c>
      <c r="F300" s="72" t="s">
        <v>801</v>
      </c>
      <c r="G300" s="11" t="s">
        <v>685</v>
      </c>
      <c r="H300" s="11" t="s">
        <v>360</v>
      </c>
      <c r="I300" s="73">
        <v>5607680</v>
      </c>
      <c r="J300" s="73">
        <v>4527520</v>
      </c>
      <c r="K300" s="73">
        <v>964569</v>
      </c>
      <c r="L300" s="73">
        <v>3562951</v>
      </c>
      <c r="M300" s="73">
        <v>0</v>
      </c>
      <c r="N300" s="73">
        <v>4643111</v>
      </c>
      <c r="O300" s="74">
        <v>464311</v>
      </c>
      <c r="P300" s="68"/>
      <c r="Q300" s="73">
        <v>1080160</v>
      </c>
      <c r="R300" s="73">
        <v>0</v>
      </c>
      <c r="S300" s="75">
        <v>1080160</v>
      </c>
      <c r="T300" s="76">
        <v>3098640</v>
      </c>
      <c r="U300" s="77">
        <v>4178800</v>
      </c>
      <c r="V300" s="68"/>
      <c r="W300" s="78">
        <v>9.9999978462716049E-2</v>
      </c>
      <c r="X300" s="78">
        <v>0.90000002153728398</v>
      </c>
    </row>
    <row r="301" spans="1:24" x14ac:dyDescent="0.25">
      <c r="A301" s="11">
        <v>2027</v>
      </c>
      <c r="B301" s="11" t="s">
        <v>7</v>
      </c>
      <c r="C301" s="71" t="s">
        <v>7</v>
      </c>
      <c r="D301" s="11" t="s">
        <v>686</v>
      </c>
      <c r="E301" s="72" t="s">
        <v>801</v>
      </c>
      <c r="F301" s="72" t="s">
        <v>801</v>
      </c>
      <c r="G301" s="11" t="s">
        <v>686</v>
      </c>
      <c r="H301" s="11" t="s">
        <v>361</v>
      </c>
      <c r="I301" s="73">
        <v>826091</v>
      </c>
      <c r="J301" s="73">
        <v>645850</v>
      </c>
      <c r="K301" s="73">
        <v>137596</v>
      </c>
      <c r="L301" s="73">
        <v>508254</v>
      </c>
      <c r="M301" s="73">
        <v>32400</v>
      </c>
      <c r="N301" s="73">
        <v>720895</v>
      </c>
      <c r="O301" s="74">
        <v>72090</v>
      </c>
      <c r="P301" s="68"/>
      <c r="Q301" s="73">
        <v>180241</v>
      </c>
      <c r="R301" s="73">
        <v>32400</v>
      </c>
      <c r="S301" s="75">
        <v>212641</v>
      </c>
      <c r="T301" s="76">
        <v>436164</v>
      </c>
      <c r="U301" s="77">
        <v>648805</v>
      </c>
      <c r="V301" s="68"/>
      <c r="W301" s="78">
        <v>0.10000069358228314</v>
      </c>
      <c r="X301" s="78">
        <v>0.89999930641771686</v>
      </c>
    </row>
    <row r="302" spans="1:24" x14ac:dyDescent="0.25">
      <c r="A302" s="11">
        <v>2027</v>
      </c>
      <c r="B302" s="11" t="s">
        <v>13</v>
      </c>
      <c r="C302" s="71" t="s">
        <v>13</v>
      </c>
      <c r="D302" s="11" t="s">
        <v>687</v>
      </c>
      <c r="E302" s="72" t="s">
        <v>801</v>
      </c>
      <c r="F302" s="72" t="s">
        <v>801</v>
      </c>
      <c r="G302" s="11" t="s">
        <v>687</v>
      </c>
      <c r="H302" s="11" t="s">
        <v>362</v>
      </c>
      <c r="I302" s="73">
        <v>238872</v>
      </c>
      <c r="J302" s="73">
        <v>189903</v>
      </c>
      <c r="K302" s="73">
        <v>40458</v>
      </c>
      <c r="L302" s="73">
        <v>149445</v>
      </c>
      <c r="M302" s="73">
        <v>0</v>
      </c>
      <c r="N302" s="73">
        <v>198414</v>
      </c>
      <c r="O302" s="74">
        <v>19841</v>
      </c>
      <c r="P302" s="68"/>
      <c r="Q302" s="73">
        <v>48969</v>
      </c>
      <c r="R302" s="73">
        <v>0</v>
      </c>
      <c r="S302" s="75">
        <v>48969</v>
      </c>
      <c r="T302" s="76">
        <v>129604</v>
      </c>
      <c r="U302" s="77">
        <v>178573</v>
      </c>
      <c r="V302" s="68"/>
      <c r="W302" s="78">
        <v>9.9997984013224878E-2</v>
      </c>
      <c r="X302" s="78">
        <v>0.90000201598677509</v>
      </c>
    </row>
    <row r="303" spans="1:24" x14ac:dyDescent="0.25">
      <c r="A303" s="11">
        <v>2027</v>
      </c>
      <c r="B303" s="11" t="s">
        <v>6</v>
      </c>
      <c r="C303" s="71" t="s">
        <v>6</v>
      </c>
      <c r="D303" s="11" t="s">
        <v>688</v>
      </c>
      <c r="E303" s="72" t="s">
        <v>801</v>
      </c>
      <c r="F303" s="72" t="s">
        <v>801</v>
      </c>
      <c r="G303" s="11" t="s">
        <v>688</v>
      </c>
      <c r="H303" s="11" t="s">
        <v>363</v>
      </c>
      <c r="I303" s="73">
        <v>703925</v>
      </c>
      <c r="J303" s="73">
        <v>540371</v>
      </c>
      <c r="K303" s="73">
        <v>115124</v>
      </c>
      <c r="L303" s="73">
        <v>425247</v>
      </c>
      <c r="M303" s="73">
        <v>0</v>
      </c>
      <c r="N303" s="73">
        <v>588801</v>
      </c>
      <c r="O303" s="74">
        <v>58880</v>
      </c>
      <c r="P303" s="68"/>
      <c r="Q303" s="73">
        <v>163554</v>
      </c>
      <c r="R303" s="73">
        <v>0</v>
      </c>
      <c r="S303" s="75">
        <v>163554</v>
      </c>
      <c r="T303" s="76">
        <v>366367</v>
      </c>
      <c r="U303" s="77">
        <v>529921</v>
      </c>
      <c r="V303" s="68"/>
      <c r="W303" s="78">
        <v>9.9999830163331929E-2</v>
      </c>
      <c r="X303" s="78">
        <v>0.90000016983666808</v>
      </c>
    </row>
    <row r="304" spans="1:24" x14ac:dyDescent="0.25">
      <c r="A304" s="11">
        <v>2027</v>
      </c>
      <c r="B304" s="11" t="s">
        <v>6</v>
      </c>
      <c r="C304" s="71" t="s">
        <v>6</v>
      </c>
      <c r="D304" s="11" t="s">
        <v>689</v>
      </c>
      <c r="E304" s="72" t="s">
        <v>814</v>
      </c>
      <c r="F304" s="72" t="s">
        <v>801</v>
      </c>
      <c r="G304" s="11" t="s">
        <v>689</v>
      </c>
      <c r="H304" s="11" t="s">
        <v>364</v>
      </c>
      <c r="I304" s="73">
        <v>131375</v>
      </c>
      <c r="J304" s="73">
        <v>100851</v>
      </c>
      <c r="K304" s="73">
        <v>21486</v>
      </c>
      <c r="L304" s="73">
        <v>79365</v>
      </c>
      <c r="M304" s="73">
        <v>0</v>
      </c>
      <c r="N304" s="73">
        <v>109889</v>
      </c>
      <c r="O304" s="74">
        <v>10989</v>
      </c>
      <c r="P304" s="68"/>
      <c r="Q304" s="73">
        <v>30524</v>
      </c>
      <c r="R304" s="73">
        <v>0</v>
      </c>
      <c r="S304" s="75">
        <v>30524</v>
      </c>
      <c r="T304" s="76">
        <v>68376</v>
      </c>
      <c r="U304" s="77">
        <v>98900</v>
      </c>
      <c r="V304" s="68"/>
      <c r="W304" s="78">
        <v>0.10000091000919109</v>
      </c>
      <c r="X304" s="78">
        <v>0.89999908999080891</v>
      </c>
    </row>
    <row r="305" spans="1:24" x14ac:dyDescent="0.25">
      <c r="A305" s="11">
        <v>2027</v>
      </c>
      <c r="B305" s="11" t="s">
        <v>9</v>
      </c>
      <c r="C305" s="71" t="s">
        <v>9</v>
      </c>
      <c r="D305" s="11" t="s">
        <v>690</v>
      </c>
      <c r="E305" s="72" t="s">
        <v>801</v>
      </c>
      <c r="F305" s="72" t="s">
        <v>801</v>
      </c>
      <c r="G305" s="11" t="s">
        <v>690</v>
      </c>
      <c r="H305" s="11" t="s">
        <v>365</v>
      </c>
      <c r="I305" s="73">
        <v>327109</v>
      </c>
      <c r="J305" s="73">
        <v>258821</v>
      </c>
      <c r="K305" s="73">
        <v>55141</v>
      </c>
      <c r="L305" s="73">
        <v>203680</v>
      </c>
      <c r="M305" s="73">
        <v>0</v>
      </c>
      <c r="N305" s="73">
        <v>271968</v>
      </c>
      <c r="O305" s="74">
        <v>27197</v>
      </c>
      <c r="P305" s="68"/>
      <c r="Q305" s="73">
        <v>68288</v>
      </c>
      <c r="R305" s="73">
        <v>0</v>
      </c>
      <c r="S305" s="75">
        <v>68288</v>
      </c>
      <c r="T305" s="76">
        <v>176483</v>
      </c>
      <c r="U305" s="77">
        <v>244771</v>
      </c>
      <c r="V305" s="68"/>
      <c r="W305" s="78">
        <v>0.10000073538063302</v>
      </c>
      <c r="X305" s="78">
        <v>0.89999926461936697</v>
      </c>
    </row>
    <row r="306" spans="1:24" x14ac:dyDescent="0.25">
      <c r="A306" s="11">
        <v>2027</v>
      </c>
      <c r="B306" s="11" t="s">
        <v>13</v>
      </c>
      <c r="C306" s="71" t="s">
        <v>13</v>
      </c>
      <c r="D306" s="11" t="s">
        <v>691</v>
      </c>
      <c r="E306" s="72" t="s">
        <v>801</v>
      </c>
      <c r="F306" s="72" t="s">
        <v>801</v>
      </c>
      <c r="G306" s="11" t="s">
        <v>691</v>
      </c>
      <c r="H306" s="11" t="s">
        <v>366</v>
      </c>
      <c r="I306" s="73">
        <v>160156</v>
      </c>
      <c r="J306" s="73">
        <v>127324</v>
      </c>
      <c r="K306" s="73">
        <v>27126</v>
      </c>
      <c r="L306" s="73">
        <v>100198</v>
      </c>
      <c r="M306" s="73">
        <v>0</v>
      </c>
      <c r="N306" s="73">
        <v>133030</v>
      </c>
      <c r="O306" s="74">
        <v>13303</v>
      </c>
      <c r="P306" s="68"/>
      <c r="Q306" s="73">
        <v>32832</v>
      </c>
      <c r="R306" s="73">
        <v>0</v>
      </c>
      <c r="S306" s="75">
        <v>32832</v>
      </c>
      <c r="T306" s="76">
        <v>86895</v>
      </c>
      <c r="U306" s="77">
        <v>119727</v>
      </c>
      <c r="V306" s="68"/>
      <c r="W306" s="78">
        <v>0.1</v>
      </c>
      <c r="X306" s="78">
        <v>0.9</v>
      </c>
    </row>
    <row r="307" spans="1:24" x14ac:dyDescent="0.25">
      <c r="A307" s="11">
        <v>2027</v>
      </c>
      <c r="B307" s="11" t="s">
        <v>5</v>
      </c>
      <c r="C307" s="71" t="s">
        <v>5</v>
      </c>
      <c r="D307" s="11" t="s">
        <v>692</v>
      </c>
      <c r="E307" s="72" t="s">
        <v>801</v>
      </c>
      <c r="F307" s="72" t="s">
        <v>801</v>
      </c>
      <c r="G307" s="11" t="s">
        <v>692</v>
      </c>
      <c r="H307" s="11" t="s">
        <v>367</v>
      </c>
      <c r="I307" s="73">
        <v>109024</v>
      </c>
      <c r="J307" s="73">
        <v>82732</v>
      </c>
      <c r="K307" s="73">
        <v>17626</v>
      </c>
      <c r="L307" s="73">
        <v>65106</v>
      </c>
      <c r="M307" s="73">
        <v>4423</v>
      </c>
      <c r="N307" s="73">
        <v>95821</v>
      </c>
      <c r="O307" s="74">
        <v>9582</v>
      </c>
      <c r="P307" s="68"/>
      <c r="Q307" s="73">
        <v>26292</v>
      </c>
      <c r="R307" s="73">
        <v>4423</v>
      </c>
      <c r="S307" s="75">
        <v>30715</v>
      </c>
      <c r="T307" s="76">
        <v>55524</v>
      </c>
      <c r="U307" s="77">
        <v>86239</v>
      </c>
      <c r="V307" s="68"/>
      <c r="W307" s="78">
        <v>9.9998956387430726E-2</v>
      </c>
      <c r="X307" s="78">
        <v>0.90000104361256927</v>
      </c>
    </row>
    <row r="308" spans="1:24" x14ac:dyDescent="0.25">
      <c r="A308" s="11">
        <v>2027</v>
      </c>
      <c r="B308" s="11" t="s">
        <v>10</v>
      </c>
      <c r="C308" s="71" t="s">
        <v>10</v>
      </c>
      <c r="D308" s="11" t="s">
        <v>693</v>
      </c>
      <c r="E308" s="72" t="s">
        <v>801</v>
      </c>
      <c r="F308" s="72" t="s">
        <v>801</v>
      </c>
      <c r="G308" s="11" t="s">
        <v>693</v>
      </c>
      <c r="H308" s="11" t="s">
        <v>368</v>
      </c>
      <c r="I308" s="73">
        <v>373670</v>
      </c>
      <c r="J308" s="73">
        <v>301693</v>
      </c>
      <c r="K308" s="73">
        <v>64274</v>
      </c>
      <c r="L308" s="73">
        <v>237419</v>
      </c>
      <c r="M308" s="73">
        <v>1001</v>
      </c>
      <c r="N308" s="73">
        <v>310397</v>
      </c>
      <c r="O308" s="74">
        <v>31040</v>
      </c>
      <c r="P308" s="68"/>
      <c r="Q308" s="73">
        <v>71977</v>
      </c>
      <c r="R308" s="73">
        <v>1001</v>
      </c>
      <c r="S308" s="75">
        <v>72978</v>
      </c>
      <c r="T308" s="76">
        <v>206379</v>
      </c>
      <c r="U308" s="77">
        <v>279357</v>
      </c>
      <c r="V308" s="68"/>
      <c r="W308" s="78">
        <v>0.10000096650418658</v>
      </c>
      <c r="X308" s="78">
        <v>0.89999903349581345</v>
      </c>
    </row>
    <row r="309" spans="1:24" x14ac:dyDescent="0.25">
      <c r="A309" s="11">
        <v>2027</v>
      </c>
      <c r="B309" s="11" t="s">
        <v>5</v>
      </c>
      <c r="C309" s="71" t="s">
        <v>5</v>
      </c>
      <c r="D309" s="11" t="s">
        <v>694</v>
      </c>
      <c r="E309" s="72" t="s">
        <v>801</v>
      </c>
      <c r="F309" s="72" t="s">
        <v>801</v>
      </c>
      <c r="G309" s="11" t="s">
        <v>694</v>
      </c>
      <c r="H309" s="11" t="s">
        <v>369</v>
      </c>
      <c r="I309" s="73">
        <v>538990</v>
      </c>
      <c r="J309" s="73">
        <v>409010</v>
      </c>
      <c r="K309" s="73">
        <v>87138</v>
      </c>
      <c r="L309" s="73">
        <v>321872</v>
      </c>
      <c r="M309" s="73">
        <v>4152</v>
      </c>
      <c r="N309" s="73">
        <v>456004</v>
      </c>
      <c r="O309" s="74">
        <v>45600</v>
      </c>
      <c r="P309" s="68"/>
      <c r="Q309" s="73">
        <v>129980</v>
      </c>
      <c r="R309" s="73">
        <v>4152</v>
      </c>
      <c r="S309" s="75">
        <v>134132</v>
      </c>
      <c r="T309" s="76">
        <v>276272</v>
      </c>
      <c r="U309" s="77">
        <v>410404</v>
      </c>
      <c r="V309" s="68"/>
      <c r="W309" s="78">
        <v>9.9999122814712155E-2</v>
      </c>
      <c r="X309" s="78">
        <v>0.90000087718528787</v>
      </c>
    </row>
    <row r="310" spans="1:24" x14ac:dyDescent="0.25">
      <c r="A310" s="11">
        <v>2027</v>
      </c>
      <c r="B310" s="11" t="s">
        <v>10</v>
      </c>
      <c r="C310" s="71" t="s">
        <v>10</v>
      </c>
      <c r="D310" s="11" t="s">
        <v>695</v>
      </c>
      <c r="E310" s="72" t="s">
        <v>801</v>
      </c>
      <c r="F310" s="72" t="s">
        <v>801</v>
      </c>
      <c r="G310" s="11" t="s">
        <v>695</v>
      </c>
      <c r="H310" s="11" t="s">
        <v>370</v>
      </c>
      <c r="I310" s="73">
        <v>3270194</v>
      </c>
      <c r="J310" s="73">
        <v>2640284</v>
      </c>
      <c r="K310" s="73">
        <v>562502</v>
      </c>
      <c r="L310" s="73">
        <v>2077782</v>
      </c>
      <c r="M310" s="73">
        <v>31761</v>
      </c>
      <c r="N310" s="73">
        <v>2739453</v>
      </c>
      <c r="O310" s="74">
        <v>273945</v>
      </c>
      <c r="P310" s="68"/>
      <c r="Q310" s="73">
        <v>629910</v>
      </c>
      <c r="R310" s="73">
        <v>31761</v>
      </c>
      <c r="S310" s="75">
        <v>661671</v>
      </c>
      <c r="T310" s="76">
        <v>1803837</v>
      </c>
      <c r="U310" s="77">
        <v>2465508</v>
      </c>
      <c r="V310" s="68"/>
      <c r="W310" s="78">
        <v>9.9999890489086696E-2</v>
      </c>
      <c r="X310" s="78">
        <v>0.90000010951091336</v>
      </c>
    </row>
    <row r="311" spans="1:24" x14ac:dyDescent="0.25">
      <c r="A311" s="11">
        <v>2027</v>
      </c>
      <c r="B311" s="11" t="s">
        <v>7</v>
      </c>
      <c r="C311" s="71" t="s">
        <v>7</v>
      </c>
      <c r="D311" s="11" t="s">
        <v>696</v>
      </c>
      <c r="E311" s="72" t="s">
        <v>801</v>
      </c>
      <c r="F311" s="72" t="s">
        <v>801</v>
      </c>
      <c r="G311" s="11" t="s">
        <v>696</v>
      </c>
      <c r="H311" s="11" t="s">
        <v>371</v>
      </c>
      <c r="I311" s="73">
        <v>303944</v>
      </c>
      <c r="J311" s="73">
        <v>237628</v>
      </c>
      <c r="K311" s="73">
        <v>50626</v>
      </c>
      <c r="L311" s="73">
        <v>187002</v>
      </c>
      <c r="M311" s="73">
        <v>0</v>
      </c>
      <c r="N311" s="73">
        <v>253318</v>
      </c>
      <c r="O311" s="74">
        <v>25332</v>
      </c>
      <c r="P311" s="68"/>
      <c r="Q311" s="73">
        <v>66316</v>
      </c>
      <c r="R311" s="73">
        <v>0</v>
      </c>
      <c r="S311" s="75">
        <v>66316</v>
      </c>
      <c r="T311" s="76">
        <v>161670</v>
      </c>
      <c r="U311" s="77">
        <v>227986</v>
      </c>
      <c r="V311" s="68"/>
      <c r="W311" s="78">
        <v>0.10000078952147104</v>
      </c>
      <c r="X311" s="78">
        <v>0.89999921047852893</v>
      </c>
    </row>
    <row r="312" spans="1:24" x14ac:dyDescent="0.25">
      <c r="A312" s="11">
        <v>2027</v>
      </c>
      <c r="B312" s="11" t="s">
        <v>7</v>
      </c>
      <c r="C312" s="71" t="s">
        <v>7</v>
      </c>
      <c r="D312" s="11" t="s">
        <v>697</v>
      </c>
      <c r="E312" s="72" t="s">
        <v>801</v>
      </c>
      <c r="F312" s="72" t="s">
        <v>801</v>
      </c>
      <c r="G312" s="11" t="s">
        <v>697</v>
      </c>
      <c r="H312" s="11" t="s">
        <v>372</v>
      </c>
      <c r="I312" s="73">
        <v>229637</v>
      </c>
      <c r="J312" s="73">
        <v>179534</v>
      </c>
      <c r="K312" s="73">
        <v>38249</v>
      </c>
      <c r="L312" s="73">
        <v>141285</v>
      </c>
      <c r="M312" s="73">
        <v>0</v>
      </c>
      <c r="N312" s="73">
        <v>191388</v>
      </c>
      <c r="O312" s="74">
        <v>19139</v>
      </c>
      <c r="P312" s="68"/>
      <c r="Q312" s="73">
        <v>50103</v>
      </c>
      <c r="R312" s="73">
        <v>0</v>
      </c>
      <c r="S312" s="75">
        <v>50103</v>
      </c>
      <c r="T312" s="76">
        <v>122146</v>
      </c>
      <c r="U312" s="77">
        <v>172249</v>
      </c>
      <c r="V312" s="68"/>
      <c r="W312" s="78">
        <v>0.1000010449975965</v>
      </c>
      <c r="X312" s="78">
        <v>0.89999895500240346</v>
      </c>
    </row>
    <row r="313" spans="1:24" x14ac:dyDescent="0.25">
      <c r="A313" s="11">
        <v>2027</v>
      </c>
      <c r="B313" s="11" t="s">
        <v>12</v>
      </c>
      <c r="C313" s="71" t="s">
        <v>12</v>
      </c>
      <c r="D313" s="11" t="s">
        <v>698</v>
      </c>
      <c r="E313" s="72" t="s">
        <v>801</v>
      </c>
      <c r="F313" s="72" t="s">
        <v>801</v>
      </c>
      <c r="G313" s="11" t="s">
        <v>698</v>
      </c>
      <c r="H313" s="11" t="s">
        <v>373</v>
      </c>
      <c r="I313" s="73">
        <v>141151</v>
      </c>
      <c r="J313" s="73">
        <v>111383</v>
      </c>
      <c r="K313" s="73">
        <v>23730</v>
      </c>
      <c r="L313" s="73">
        <v>87653</v>
      </c>
      <c r="M313" s="73">
        <v>6809</v>
      </c>
      <c r="N313" s="73">
        <v>124230</v>
      </c>
      <c r="O313" s="74">
        <v>12423</v>
      </c>
      <c r="P313" s="68"/>
      <c r="Q313" s="73">
        <v>29768</v>
      </c>
      <c r="R313" s="73">
        <v>6809</v>
      </c>
      <c r="S313" s="75">
        <v>36577</v>
      </c>
      <c r="T313" s="76">
        <v>75230</v>
      </c>
      <c r="U313" s="77">
        <v>111807</v>
      </c>
      <c r="V313" s="68"/>
      <c r="W313" s="78">
        <v>0.1</v>
      </c>
      <c r="X313" s="78">
        <v>0.9</v>
      </c>
    </row>
    <row r="314" spans="1:24" x14ac:dyDescent="0.25">
      <c r="A314" s="11">
        <v>2027</v>
      </c>
      <c r="B314" s="11" t="s">
        <v>8</v>
      </c>
      <c r="C314" s="71" t="s">
        <v>8</v>
      </c>
      <c r="D314" s="11" t="s">
        <v>699</v>
      </c>
      <c r="E314" s="72" t="s">
        <v>801</v>
      </c>
      <c r="F314" s="72" t="s">
        <v>801</v>
      </c>
      <c r="G314" s="11" t="s">
        <v>699</v>
      </c>
      <c r="H314" s="11" t="s">
        <v>374</v>
      </c>
      <c r="I314" s="73">
        <v>500130</v>
      </c>
      <c r="J314" s="73">
        <v>393594</v>
      </c>
      <c r="K314" s="73">
        <v>83854</v>
      </c>
      <c r="L314" s="73">
        <v>309740</v>
      </c>
      <c r="M314" s="73">
        <v>0</v>
      </c>
      <c r="N314" s="73">
        <v>416276</v>
      </c>
      <c r="O314" s="74">
        <v>41628</v>
      </c>
      <c r="P314" s="68"/>
      <c r="Q314" s="73">
        <v>106536</v>
      </c>
      <c r="R314" s="73">
        <v>0</v>
      </c>
      <c r="S314" s="75">
        <v>106536</v>
      </c>
      <c r="T314" s="76">
        <v>268112</v>
      </c>
      <c r="U314" s="77">
        <v>374648</v>
      </c>
      <c r="V314" s="68"/>
      <c r="W314" s="78">
        <v>0.10000096090094072</v>
      </c>
      <c r="X314" s="78">
        <v>0.89999903909905932</v>
      </c>
    </row>
    <row r="315" spans="1:24" x14ac:dyDescent="0.25">
      <c r="A315" s="11">
        <v>2027</v>
      </c>
      <c r="B315" s="11" t="s">
        <v>11</v>
      </c>
      <c r="C315" s="71" t="s">
        <v>11</v>
      </c>
      <c r="D315" s="11" t="s">
        <v>700</v>
      </c>
      <c r="E315" s="72" t="s">
        <v>801</v>
      </c>
      <c r="F315" s="72" t="s">
        <v>801</v>
      </c>
      <c r="G315" s="11" t="s">
        <v>700</v>
      </c>
      <c r="H315" s="11" t="s">
        <v>375</v>
      </c>
      <c r="I315" s="73">
        <v>363656</v>
      </c>
      <c r="J315" s="73">
        <v>281756</v>
      </c>
      <c r="K315" s="73">
        <v>60027</v>
      </c>
      <c r="L315" s="73">
        <v>221729</v>
      </c>
      <c r="M315" s="73">
        <v>4077</v>
      </c>
      <c r="N315" s="73">
        <v>307706</v>
      </c>
      <c r="O315" s="74">
        <v>30771</v>
      </c>
      <c r="P315" s="68"/>
      <c r="Q315" s="73">
        <v>81900</v>
      </c>
      <c r="R315" s="73">
        <v>4077</v>
      </c>
      <c r="S315" s="75">
        <v>85977</v>
      </c>
      <c r="T315" s="76">
        <v>190958</v>
      </c>
      <c r="U315" s="77">
        <v>276935</v>
      </c>
      <c r="V315" s="68"/>
      <c r="W315" s="78">
        <v>0.10000129994215258</v>
      </c>
      <c r="X315" s="78">
        <v>0.89999870005784743</v>
      </c>
    </row>
    <row r="316" spans="1:24" x14ac:dyDescent="0.25">
      <c r="A316" s="11">
        <v>2027</v>
      </c>
      <c r="B316" s="11" t="s">
        <v>7</v>
      </c>
      <c r="C316" s="71" t="s">
        <v>7</v>
      </c>
      <c r="D316" s="11" t="s">
        <v>701</v>
      </c>
      <c r="E316" s="72" t="s">
        <v>801</v>
      </c>
      <c r="F316" s="72" t="s">
        <v>801</v>
      </c>
      <c r="G316" s="11" t="s">
        <v>701</v>
      </c>
      <c r="H316" s="11" t="s">
        <v>376</v>
      </c>
      <c r="I316" s="73">
        <v>278719</v>
      </c>
      <c r="J316" s="73">
        <v>217907</v>
      </c>
      <c r="K316" s="73">
        <v>46424</v>
      </c>
      <c r="L316" s="73">
        <v>171483</v>
      </c>
      <c r="M316" s="73">
        <v>16044</v>
      </c>
      <c r="N316" s="73">
        <v>248339</v>
      </c>
      <c r="O316" s="74">
        <v>24834</v>
      </c>
      <c r="P316" s="68"/>
      <c r="Q316" s="73">
        <v>60812</v>
      </c>
      <c r="R316" s="73">
        <v>16044</v>
      </c>
      <c r="S316" s="75">
        <v>76856</v>
      </c>
      <c r="T316" s="76">
        <v>146649</v>
      </c>
      <c r="U316" s="77">
        <v>223505</v>
      </c>
      <c r="V316" s="68"/>
      <c r="W316" s="78">
        <v>0.10000040267537519</v>
      </c>
      <c r="X316" s="78">
        <v>0.89999959732462476</v>
      </c>
    </row>
    <row r="317" spans="1:24" x14ac:dyDescent="0.25">
      <c r="A317" s="11">
        <v>2027</v>
      </c>
      <c r="B317" s="11" t="s">
        <v>11</v>
      </c>
      <c r="C317" s="71" t="s">
        <v>11</v>
      </c>
      <c r="D317" s="11" t="s">
        <v>702</v>
      </c>
      <c r="E317" s="72" t="s">
        <v>801</v>
      </c>
      <c r="F317" s="72" t="s">
        <v>801</v>
      </c>
      <c r="G317" s="11" t="s">
        <v>702</v>
      </c>
      <c r="H317" s="11" t="s">
        <v>377</v>
      </c>
      <c r="I317" s="73">
        <v>241400</v>
      </c>
      <c r="J317" s="73">
        <v>187034</v>
      </c>
      <c r="K317" s="73">
        <v>39847</v>
      </c>
      <c r="L317" s="73">
        <v>147187</v>
      </c>
      <c r="M317" s="73">
        <v>822</v>
      </c>
      <c r="N317" s="73">
        <v>202375</v>
      </c>
      <c r="O317" s="74">
        <v>20238</v>
      </c>
      <c r="P317" s="68"/>
      <c r="Q317" s="73">
        <v>54366</v>
      </c>
      <c r="R317" s="73">
        <v>822</v>
      </c>
      <c r="S317" s="75">
        <v>55188</v>
      </c>
      <c r="T317" s="76">
        <v>126949</v>
      </c>
      <c r="U317" s="77">
        <v>182137</v>
      </c>
      <c r="V317" s="68"/>
      <c r="W317" s="78">
        <v>0.10000247066090179</v>
      </c>
      <c r="X317" s="78">
        <v>0.89999752933909816</v>
      </c>
    </row>
    <row r="318" spans="1:24" x14ac:dyDescent="0.25">
      <c r="A318" s="11">
        <v>2027</v>
      </c>
      <c r="B318" s="11" t="s">
        <v>11</v>
      </c>
      <c r="C318" s="71" t="s">
        <v>11</v>
      </c>
      <c r="D318" s="11" t="s">
        <v>703</v>
      </c>
      <c r="E318" s="72" t="s">
        <v>801</v>
      </c>
      <c r="F318" s="72" t="s">
        <v>801</v>
      </c>
      <c r="G318" s="11" t="s">
        <v>703</v>
      </c>
      <c r="H318" s="11" t="s">
        <v>378</v>
      </c>
      <c r="I318" s="73">
        <v>306624</v>
      </c>
      <c r="J318" s="73">
        <v>237569</v>
      </c>
      <c r="K318" s="73">
        <v>50613</v>
      </c>
      <c r="L318" s="73">
        <v>186956</v>
      </c>
      <c r="M318" s="73">
        <v>8809</v>
      </c>
      <c r="N318" s="73">
        <v>264820</v>
      </c>
      <c r="O318" s="74">
        <v>26482</v>
      </c>
      <c r="P318" s="68"/>
      <c r="Q318" s="73">
        <v>69055</v>
      </c>
      <c r="R318" s="73">
        <v>8809</v>
      </c>
      <c r="S318" s="75">
        <v>77864</v>
      </c>
      <c r="T318" s="76">
        <v>160474</v>
      </c>
      <c r="U318" s="77">
        <v>238338</v>
      </c>
      <c r="V318" s="68"/>
      <c r="W318" s="78">
        <v>0.1</v>
      </c>
      <c r="X318" s="78">
        <v>0.9</v>
      </c>
    </row>
    <row r="319" spans="1:24" x14ac:dyDescent="0.25">
      <c r="A319" s="11">
        <v>2027</v>
      </c>
      <c r="B319" s="11" t="s">
        <v>5</v>
      </c>
      <c r="C319" s="71" t="s">
        <v>5</v>
      </c>
      <c r="D319" s="11" t="s">
        <v>704</v>
      </c>
      <c r="E319" s="72" t="s">
        <v>801</v>
      </c>
      <c r="F319" s="72" t="s">
        <v>801</v>
      </c>
      <c r="G319" s="11" t="s">
        <v>704</v>
      </c>
      <c r="H319" s="11" t="s">
        <v>379</v>
      </c>
      <c r="I319" s="73">
        <v>1293221</v>
      </c>
      <c r="J319" s="73">
        <v>981353</v>
      </c>
      <c r="K319" s="73">
        <v>209073</v>
      </c>
      <c r="L319" s="73">
        <v>772280</v>
      </c>
      <c r="M319" s="73">
        <v>11229</v>
      </c>
      <c r="N319" s="73">
        <v>1095377</v>
      </c>
      <c r="O319" s="74">
        <v>109538</v>
      </c>
      <c r="P319" s="68"/>
      <c r="Q319" s="73">
        <v>311868</v>
      </c>
      <c r="R319" s="73">
        <v>11229</v>
      </c>
      <c r="S319" s="75">
        <v>323097</v>
      </c>
      <c r="T319" s="76">
        <v>662742</v>
      </c>
      <c r="U319" s="77">
        <v>985839</v>
      </c>
      <c r="V319" s="68"/>
      <c r="W319" s="78">
        <v>0.10000027387830857</v>
      </c>
      <c r="X319" s="78">
        <v>0.89999972612169143</v>
      </c>
    </row>
    <row r="320" spans="1:24" x14ac:dyDescent="0.25">
      <c r="A320" s="11">
        <v>2027</v>
      </c>
      <c r="B320" s="11" t="s">
        <v>11</v>
      </c>
      <c r="C320" s="71" t="s">
        <v>11</v>
      </c>
      <c r="D320" s="11" t="s">
        <v>705</v>
      </c>
      <c r="E320" s="72" t="s">
        <v>801</v>
      </c>
      <c r="F320" s="72" t="s">
        <v>801</v>
      </c>
      <c r="G320" s="11" t="s">
        <v>705</v>
      </c>
      <c r="H320" s="11" t="s">
        <v>380</v>
      </c>
      <c r="I320" s="73">
        <v>204280</v>
      </c>
      <c r="J320" s="73">
        <v>158273</v>
      </c>
      <c r="K320" s="73">
        <v>33719</v>
      </c>
      <c r="L320" s="73">
        <v>124554</v>
      </c>
      <c r="M320" s="73">
        <v>12013</v>
      </c>
      <c r="N320" s="73">
        <v>182574</v>
      </c>
      <c r="O320" s="74">
        <v>18257</v>
      </c>
      <c r="P320" s="68"/>
      <c r="Q320" s="73">
        <v>46007</v>
      </c>
      <c r="R320" s="73">
        <v>12013</v>
      </c>
      <c r="S320" s="75">
        <v>58020</v>
      </c>
      <c r="T320" s="76">
        <v>106297</v>
      </c>
      <c r="U320" s="77">
        <v>164317</v>
      </c>
      <c r="V320" s="68"/>
      <c r="W320" s="78">
        <v>9.9997809107539956E-2</v>
      </c>
      <c r="X320" s="78">
        <v>0.90000219089246003</v>
      </c>
    </row>
    <row r="321" spans="1:24" x14ac:dyDescent="0.25">
      <c r="A321" s="11">
        <v>2027</v>
      </c>
      <c r="B321" s="11" t="s">
        <v>11</v>
      </c>
      <c r="C321" s="71" t="s">
        <v>11</v>
      </c>
      <c r="D321" s="11" t="s">
        <v>706</v>
      </c>
      <c r="E321" s="72" t="s">
        <v>801</v>
      </c>
      <c r="F321" s="72" t="s">
        <v>801</v>
      </c>
      <c r="G321" s="11" t="s">
        <v>706</v>
      </c>
      <c r="H321" s="11" t="s">
        <v>381</v>
      </c>
      <c r="I321" s="73">
        <v>63418</v>
      </c>
      <c r="J321" s="73">
        <v>49136</v>
      </c>
      <c r="K321" s="73">
        <v>10468</v>
      </c>
      <c r="L321" s="73">
        <v>38668</v>
      </c>
      <c r="M321" s="73">
        <v>11967</v>
      </c>
      <c r="N321" s="73">
        <v>64917</v>
      </c>
      <c r="O321" s="74">
        <v>6492</v>
      </c>
      <c r="P321" s="68"/>
      <c r="Q321" s="73">
        <v>14282</v>
      </c>
      <c r="R321" s="73">
        <v>11967</v>
      </c>
      <c r="S321" s="75">
        <v>26249</v>
      </c>
      <c r="T321" s="76">
        <v>32176</v>
      </c>
      <c r="U321" s="77">
        <v>58425</v>
      </c>
      <c r="V321" s="68"/>
      <c r="W321" s="78">
        <v>0.10000462128564166</v>
      </c>
      <c r="X321" s="78">
        <v>0.89999537871435831</v>
      </c>
    </row>
    <row r="322" spans="1:24" x14ac:dyDescent="0.25">
      <c r="A322" s="11">
        <v>2027</v>
      </c>
      <c r="B322" s="11" t="s">
        <v>9</v>
      </c>
      <c r="C322" s="71" t="s">
        <v>9</v>
      </c>
      <c r="D322" s="11" t="s">
        <v>707</v>
      </c>
      <c r="E322" s="72" t="s">
        <v>801</v>
      </c>
      <c r="F322" s="72" t="s">
        <v>801</v>
      </c>
      <c r="G322" s="11" t="s">
        <v>707</v>
      </c>
      <c r="H322" s="11" t="s">
        <v>382</v>
      </c>
      <c r="I322" s="73">
        <v>430131</v>
      </c>
      <c r="J322" s="73">
        <v>340336</v>
      </c>
      <c r="K322" s="73">
        <v>72507</v>
      </c>
      <c r="L322" s="73">
        <v>267829</v>
      </c>
      <c r="M322" s="73">
        <v>0</v>
      </c>
      <c r="N322" s="73">
        <v>357624</v>
      </c>
      <c r="O322" s="74">
        <v>35762</v>
      </c>
      <c r="P322" s="68"/>
      <c r="Q322" s="73">
        <v>89795</v>
      </c>
      <c r="R322" s="73">
        <v>0</v>
      </c>
      <c r="S322" s="75">
        <v>89795</v>
      </c>
      <c r="T322" s="76">
        <v>232067</v>
      </c>
      <c r="U322" s="77">
        <v>321862</v>
      </c>
      <c r="V322" s="68"/>
      <c r="W322" s="78">
        <v>9.9998881506833989E-2</v>
      </c>
      <c r="X322" s="78">
        <v>0.900001118493166</v>
      </c>
    </row>
    <row r="323" spans="1:24" x14ac:dyDescent="0.25">
      <c r="A323" s="11">
        <v>2027</v>
      </c>
      <c r="B323" s="11" t="s">
        <v>8</v>
      </c>
      <c r="C323" s="71" t="s">
        <v>8</v>
      </c>
      <c r="D323" s="11" t="s">
        <v>708</v>
      </c>
      <c r="E323" s="72" t="s">
        <v>801</v>
      </c>
      <c r="F323" s="72" t="s">
        <v>801</v>
      </c>
      <c r="G323" s="11" t="s">
        <v>708</v>
      </c>
      <c r="H323" s="11" t="s">
        <v>383</v>
      </c>
      <c r="I323" s="73">
        <v>301334</v>
      </c>
      <c r="J323" s="73">
        <v>237144</v>
      </c>
      <c r="K323" s="73">
        <v>50523</v>
      </c>
      <c r="L323" s="73">
        <v>186621</v>
      </c>
      <c r="M323" s="73">
        <v>20948</v>
      </c>
      <c r="N323" s="73">
        <v>271759</v>
      </c>
      <c r="O323" s="74">
        <v>27176</v>
      </c>
      <c r="P323" s="68"/>
      <c r="Q323" s="73">
        <v>64190</v>
      </c>
      <c r="R323" s="73">
        <v>20948</v>
      </c>
      <c r="S323" s="75">
        <v>85138</v>
      </c>
      <c r="T323" s="76">
        <v>159445</v>
      </c>
      <c r="U323" s="77">
        <v>244583</v>
      </c>
      <c r="V323" s="68"/>
      <c r="W323" s="78">
        <v>0.10000036797309381</v>
      </c>
      <c r="X323" s="78">
        <v>0.89999963202690614</v>
      </c>
    </row>
    <row r="324" spans="1:24" x14ac:dyDescent="0.25">
      <c r="A324" s="11">
        <v>2027</v>
      </c>
      <c r="B324" s="11" t="s">
        <v>13</v>
      </c>
      <c r="C324" s="71" t="s">
        <v>13</v>
      </c>
      <c r="D324" s="11" t="s">
        <v>709</v>
      </c>
      <c r="E324" s="72" t="s">
        <v>801</v>
      </c>
      <c r="F324" s="72" t="s">
        <v>801</v>
      </c>
      <c r="G324" s="11" t="s">
        <v>709</v>
      </c>
      <c r="H324" s="11" t="s">
        <v>384</v>
      </c>
      <c r="I324" s="73">
        <v>121184</v>
      </c>
      <c r="J324" s="73">
        <v>96341</v>
      </c>
      <c r="K324" s="73">
        <v>20525</v>
      </c>
      <c r="L324" s="73">
        <v>75816</v>
      </c>
      <c r="M324" s="73">
        <v>37</v>
      </c>
      <c r="N324" s="73">
        <v>100696</v>
      </c>
      <c r="O324" s="74">
        <v>10070</v>
      </c>
      <c r="P324" s="68"/>
      <c r="Q324" s="73">
        <v>24843</v>
      </c>
      <c r="R324" s="73">
        <v>37</v>
      </c>
      <c r="S324" s="75">
        <v>24880</v>
      </c>
      <c r="T324" s="76">
        <v>65746</v>
      </c>
      <c r="U324" s="77">
        <v>90626</v>
      </c>
      <c r="V324" s="68"/>
      <c r="W324" s="78">
        <v>0.10000397235242711</v>
      </c>
      <c r="X324" s="78">
        <v>0.89999602764757292</v>
      </c>
    </row>
    <row r="325" spans="1:24" x14ac:dyDescent="0.25">
      <c r="A325" s="11">
        <v>2027</v>
      </c>
      <c r="B325" s="11" t="s">
        <v>10</v>
      </c>
      <c r="C325" s="71" t="s">
        <v>10</v>
      </c>
      <c r="D325" s="11" t="s">
        <v>710</v>
      </c>
      <c r="E325" s="72" t="s">
        <v>801</v>
      </c>
      <c r="F325" s="72" t="s">
        <v>801</v>
      </c>
      <c r="G325" s="11" t="s">
        <v>710</v>
      </c>
      <c r="H325" s="11" t="s">
        <v>385</v>
      </c>
      <c r="I325" s="73">
        <v>653776</v>
      </c>
      <c r="J325" s="73">
        <v>527844</v>
      </c>
      <c r="K325" s="73">
        <v>112455</v>
      </c>
      <c r="L325" s="73">
        <v>415389</v>
      </c>
      <c r="M325" s="73">
        <v>0</v>
      </c>
      <c r="N325" s="73">
        <v>541321</v>
      </c>
      <c r="O325" s="74">
        <v>54132</v>
      </c>
      <c r="P325" s="68"/>
      <c r="Q325" s="73">
        <v>125932</v>
      </c>
      <c r="R325" s="73">
        <v>0</v>
      </c>
      <c r="S325" s="75">
        <v>125932</v>
      </c>
      <c r="T325" s="76">
        <v>361257</v>
      </c>
      <c r="U325" s="77">
        <v>487189</v>
      </c>
      <c r="V325" s="68"/>
      <c r="W325" s="78">
        <v>9.9999815266727132E-2</v>
      </c>
      <c r="X325" s="78">
        <v>0.90000018473327281</v>
      </c>
    </row>
    <row r="326" spans="1:24" x14ac:dyDescent="0.25">
      <c r="A326" s="11">
        <v>2027</v>
      </c>
      <c r="B326" s="11" t="s">
        <v>12</v>
      </c>
      <c r="C326" s="71" t="s">
        <v>12</v>
      </c>
      <c r="D326" s="11" t="s">
        <v>711</v>
      </c>
      <c r="E326" s="72" t="s">
        <v>801</v>
      </c>
      <c r="F326" s="72" t="s">
        <v>801</v>
      </c>
      <c r="G326" s="11" t="s">
        <v>711</v>
      </c>
      <c r="H326" s="11" t="s">
        <v>386</v>
      </c>
      <c r="I326" s="73">
        <v>212168</v>
      </c>
      <c r="J326" s="73">
        <v>167423</v>
      </c>
      <c r="K326" s="73">
        <v>35669</v>
      </c>
      <c r="L326" s="73">
        <v>131754</v>
      </c>
      <c r="M326" s="73">
        <v>0</v>
      </c>
      <c r="N326" s="73">
        <v>176499</v>
      </c>
      <c r="O326" s="74">
        <v>17650</v>
      </c>
      <c r="P326" s="68"/>
      <c r="Q326" s="73">
        <v>44745</v>
      </c>
      <c r="R326" s="73">
        <v>0</v>
      </c>
      <c r="S326" s="75">
        <v>44745</v>
      </c>
      <c r="T326" s="76">
        <v>114104</v>
      </c>
      <c r="U326" s="77">
        <v>158849</v>
      </c>
      <c r="V326" s="68"/>
      <c r="W326" s="78">
        <v>0.10000056657544802</v>
      </c>
      <c r="X326" s="78">
        <v>0.89999943342455202</v>
      </c>
    </row>
    <row r="327" spans="1:24" x14ac:dyDescent="0.25">
      <c r="A327" s="11">
        <v>2027</v>
      </c>
      <c r="B327" s="11" t="s">
        <v>11</v>
      </c>
      <c r="C327" s="71" t="s">
        <v>11</v>
      </c>
      <c r="D327" s="11" t="s">
        <v>712</v>
      </c>
      <c r="E327" s="72" t="s">
        <v>801</v>
      </c>
      <c r="F327" s="72" t="s">
        <v>801</v>
      </c>
      <c r="G327" s="11" t="s">
        <v>712</v>
      </c>
      <c r="H327" s="11" t="s">
        <v>387</v>
      </c>
      <c r="I327" s="73">
        <v>218954</v>
      </c>
      <c r="J327" s="73">
        <v>169643</v>
      </c>
      <c r="K327" s="73">
        <v>36142</v>
      </c>
      <c r="L327" s="73">
        <v>133501</v>
      </c>
      <c r="M327" s="73">
        <v>0</v>
      </c>
      <c r="N327" s="73">
        <v>182812</v>
      </c>
      <c r="O327" s="74">
        <v>18281</v>
      </c>
      <c r="P327" s="68"/>
      <c r="Q327" s="73">
        <v>49311</v>
      </c>
      <c r="R327" s="73">
        <v>0</v>
      </c>
      <c r="S327" s="75">
        <v>49311</v>
      </c>
      <c r="T327" s="76">
        <v>115220</v>
      </c>
      <c r="U327" s="77">
        <v>164531</v>
      </c>
      <c r="V327" s="68"/>
      <c r="W327" s="78">
        <v>9.9998905979913788E-2</v>
      </c>
      <c r="X327" s="78">
        <v>0.90000109402008621</v>
      </c>
    </row>
    <row r="328" spans="1:24" x14ac:dyDescent="0.25">
      <c r="A328" s="11">
        <v>2027</v>
      </c>
      <c r="B328" s="11" t="s">
        <v>10</v>
      </c>
      <c r="C328" s="71" t="s">
        <v>10</v>
      </c>
      <c r="D328" s="11" t="s">
        <v>713</v>
      </c>
      <c r="E328" s="72" t="s">
        <v>801</v>
      </c>
      <c r="F328" s="72" t="s">
        <v>801</v>
      </c>
      <c r="G328" s="11" t="s">
        <v>713</v>
      </c>
      <c r="H328" s="11" t="s">
        <v>388</v>
      </c>
      <c r="I328" s="73">
        <v>429081</v>
      </c>
      <c r="J328" s="73">
        <v>346431</v>
      </c>
      <c r="K328" s="73">
        <v>73806</v>
      </c>
      <c r="L328" s="73">
        <v>272625</v>
      </c>
      <c r="M328" s="73">
        <v>0</v>
      </c>
      <c r="N328" s="73">
        <v>355275</v>
      </c>
      <c r="O328" s="74">
        <v>35528</v>
      </c>
      <c r="P328" s="68"/>
      <c r="Q328" s="73">
        <v>82650</v>
      </c>
      <c r="R328" s="73">
        <v>0</v>
      </c>
      <c r="S328" s="75">
        <v>82650</v>
      </c>
      <c r="T328" s="76">
        <v>237097</v>
      </c>
      <c r="U328" s="77">
        <v>319747</v>
      </c>
      <c r="V328" s="68"/>
      <c r="W328" s="78">
        <v>0.10000140736049538</v>
      </c>
      <c r="X328" s="78">
        <v>0.89999859263950466</v>
      </c>
    </row>
    <row r="329" spans="1:24" ht="15.75" thickBot="1" x14ac:dyDescent="0.3">
      <c r="H329" s="79" t="s">
        <v>815</v>
      </c>
      <c r="I329" s="80">
        <v>193186565</v>
      </c>
      <c r="J329" s="80">
        <v>152549357</v>
      </c>
      <c r="K329" s="80">
        <v>32500000</v>
      </c>
      <c r="L329" s="80">
        <v>120049357</v>
      </c>
      <c r="M329" s="80">
        <v>1728967</v>
      </c>
      <c r="N329" s="80">
        <v>162415532</v>
      </c>
      <c r="O329" s="80">
        <v>16241577</v>
      </c>
      <c r="P329" s="68"/>
      <c r="Q329" s="80">
        <v>40637208</v>
      </c>
      <c r="R329" s="80">
        <v>1728967</v>
      </c>
      <c r="S329" s="80">
        <v>42366175</v>
      </c>
      <c r="T329" s="80">
        <v>103807780</v>
      </c>
      <c r="U329" s="80">
        <v>146173955</v>
      </c>
      <c r="V329" s="68"/>
    </row>
  </sheetData>
  <pageMargins left="0.7" right="0.7" top="0.75" bottom="0.75" header="0.3" footer="0.3"/>
  <pageSetup scale="41" fitToHeight="0" orientation="landscape" r:id="rId1"/>
  <headerFooter>
    <oddHeader>&amp;C&amp;"-,Bold"&amp;16Department of Management - Final FY 2026 Amounts - 2% SSA - $32.5 million Reduction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Data</vt:lpstr>
      <vt:lpstr>Notes</vt:lpstr>
      <vt:lpstr>Payment</vt:lpstr>
      <vt:lpstr>PaymentCodingDetailCheck-old</vt:lpstr>
      <vt:lpstr>PaymentCodingTotal</vt:lpstr>
      <vt:lpstr>PaymentCodingDetai_July-Feb</vt:lpstr>
      <vt:lpstr>PaymentCodingDetai_Sept-May-old</vt:lpstr>
      <vt:lpstr>PaymentCodingDetail_April</vt:lpstr>
      <vt:lpstr>Special Education Breakdown</vt:lpstr>
      <vt:lpstr>PaymentBreakdown-FY26 and beyon</vt:lpstr>
      <vt:lpstr>PaymentCodingDetail_June-old</vt:lpstr>
      <vt:lpstr>PaymentCodingTotal-old</vt:lpstr>
      <vt:lpstr>Final Total Check-old</vt:lpstr>
      <vt:lpstr>Data_Detail-old</vt:lpstr>
      <vt:lpstr>'Final Total Check-old'!Print_Area</vt:lpstr>
      <vt:lpstr>'PaymentCodingDetai_July-Feb'!Print_Area</vt:lpstr>
      <vt:lpstr>'PaymentCodingDetai_Sept-May-old'!Print_Area</vt:lpstr>
      <vt:lpstr>PaymentCodingDetail_April!Print_Area</vt:lpstr>
      <vt:lpstr>'PaymentCodingDetail_June-old'!Print_Area</vt:lpstr>
      <vt:lpstr>'PaymentCodingDetailCheck-old'!Print_Area</vt:lpstr>
      <vt:lpstr>PaymentCodingTotal!Print_Area</vt:lpstr>
      <vt:lpstr>'PaymentCodingTotal-old'!Print_Area</vt:lpstr>
      <vt:lpstr>'Special Education Breakdown'!Print_Area</vt:lpstr>
      <vt:lpstr>'Special Education Breakdown'!Print_Titles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2025-09-10T16:00:09Z</cp:lastPrinted>
  <dcterms:created xsi:type="dcterms:W3CDTF">2017-09-06T19:30:28Z</dcterms:created>
  <dcterms:modified xsi:type="dcterms:W3CDTF">2026-07-15T14:25:19Z</dcterms:modified>
</cp:coreProperties>
</file>